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drawings/drawing7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8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9.xml" ContentType="application/vnd.openxmlformats-officedocument.drawing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10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11.xml" ContentType="application/vnd.openxmlformats-officedocument.drawing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drawings/drawing12.xml" ContentType="application/vnd.openxmlformats-officedocument.drawing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E:\IAEE conference\NEWAGE_article_coupling\xcel_data\"/>
    </mc:Choice>
  </mc:AlternateContent>
  <bookViews>
    <workbookView xWindow="120" yWindow="450" windowWidth="20730" windowHeight="11640" firstSheet="12" activeTab="15"/>
  </bookViews>
  <sheets>
    <sheet name="Diagramm1" sheetId="6" r:id="rId1"/>
    <sheet name="Pivot" sheetId="5" r:id="rId2"/>
    <sheet name="18x18x4_ETS75" sheetId="9" r:id="rId3"/>
    <sheet name="co2pfad_ets" sheetId="8" r:id="rId4"/>
    <sheet name="co2pfad_nonets" sheetId="10" r:id="rId5"/>
    <sheet name="co2pfad_nonets_vorher" sheetId="19" r:id="rId6"/>
    <sheet name="CO2 EU-ETS" sheetId="1" r:id="rId7"/>
    <sheet name="BMWi_exp" sheetId="12" r:id="rId8"/>
    <sheet name="BMWi_lin" sheetId="13" r:id="rId9"/>
    <sheet name="Historische_Emissionen" sheetId="14" r:id="rId10"/>
    <sheet name="DEHst_1vs4" sheetId="15" r:id="rId11"/>
    <sheet name="Umlaufmenge" sheetId="18" r:id="rId12"/>
    <sheet name="EU-Pfad" sheetId="16" r:id="rId13"/>
    <sheet name="RoW-Pfad" sheetId="20" r:id="rId14"/>
    <sheet name="EU-Pfad_ENAVI" sheetId="21" r:id="rId15"/>
    <sheet name="Reference_2020" sheetId="28" r:id="rId16"/>
    <sheet name="EU-Pfad_REEEM" sheetId="26" r:id="rId17"/>
    <sheet name="REEEM_pathways" sheetId="27" r:id="rId18"/>
    <sheet name="EU-Reference CO2 emissions" sheetId="22" r:id="rId19"/>
    <sheet name="carbon tax" sheetId="23" r:id="rId20"/>
    <sheet name="DEU-Pfad" sheetId="24" r:id="rId21"/>
    <sheet name="DEU-Pfad-2" sheetId="25" r:id="rId22"/>
  </sheets>
  <externalReferences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calcPr calcId="152511"/>
  <pivotCaches>
    <pivotCache cacheId="0" r:id="rId35"/>
  </pivotCaches>
</workbook>
</file>

<file path=xl/calcChain.xml><?xml version="1.0" encoding="utf-8"?>
<calcChain xmlns="http://schemas.openxmlformats.org/spreadsheetml/2006/main">
  <c r="L60" i="21" l="1"/>
  <c r="G60" i="21"/>
  <c r="H60" i="21"/>
  <c r="M60" i="21"/>
  <c r="J60" i="21" l="1"/>
  <c r="I67" i="21"/>
  <c r="K60" i="21"/>
  <c r="H67" i="21" s="1"/>
  <c r="I60" i="21"/>
  <c r="F67" i="21" s="1"/>
  <c r="E67" i="21"/>
  <c r="C67" i="21"/>
  <c r="D67" i="21"/>
  <c r="G67" i="21"/>
  <c r="J67" i="21"/>
  <c r="B67" i="21"/>
  <c r="F135" i="26" l="1"/>
  <c r="F133" i="26"/>
  <c r="F132" i="26"/>
  <c r="C129" i="26"/>
  <c r="D129" i="26"/>
  <c r="E129" i="26"/>
  <c r="F129" i="26"/>
  <c r="G129" i="26"/>
  <c r="H129" i="26"/>
  <c r="I129" i="26"/>
  <c r="J129" i="26"/>
  <c r="K129" i="26"/>
  <c r="L129" i="26"/>
  <c r="M129" i="26"/>
  <c r="B129" i="26"/>
  <c r="F127" i="26"/>
  <c r="G127" i="26"/>
  <c r="H127" i="26"/>
  <c r="I127" i="26"/>
  <c r="J127" i="26"/>
  <c r="K127" i="26"/>
  <c r="L127" i="26"/>
  <c r="M127" i="26"/>
  <c r="E127" i="26"/>
  <c r="F126" i="26"/>
  <c r="G126" i="26"/>
  <c r="H126" i="26"/>
  <c r="I126" i="26"/>
  <c r="J126" i="26"/>
  <c r="K126" i="26"/>
  <c r="L126" i="26"/>
  <c r="M126" i="26"/>
  <c r="E126" i="26"/>
  <c r="M111" i="26"/>
  <c r="K125" i="26"/>
  <c r="L125" i="26"/>
  <c r="M125" i="26"/>
  <c r="J125" i="26"/>
  <c r="M113" i="26"/>
  <c r="J118" i="26"/>
  <c r="M112" i="26" l="1"/>
  <c r="L112" i="26"/>
  <c r="K112" i="26"/>
  <c r="J112" i="26"/>
  <c r="I112" i="26"/>
  <c r="H112" i="26"/>
  <c r="G112" i="26"/>
  <c r="F112" i="26"/>
  <c r="G113" i="26" l="1"/>
  <c r="D118" i="26" s="1"/>
  <c r="H113" i="26"/>
  <c r="E118" i="26" s="1"/>
  <c r="I113" i="26"/>
  <c r="F118" i="26" s="1"/>
  <c r="J113" i="26"/>
  <c r="G118" i="26" s="1"/>
  <c r="K113" i="26"/>
  <c r="H118" i="26" s="1"/>
  <c r="L113" i="26"/>
  <c r="I118" i="26" s="1"/>
  <c r="F113" i="26"/>
  <c r="C118" i="26" s="1"/>
  <c r="H111" i="26"/>
  <c r="I111" i="26"/>
  <c r="J111" i="26"/>
  <c r="K111" i="26"/>
  <c r="L111" i="26"/>
  <c r="G111" i="26"/>
  <c r="G99" i="26"/>
  <c r="B118" i="26"/>
  <c r="M109" i="26"/>
  <c r="L108" i="26"/>
  <c r="M87" i="26"/>
  <c r="M99" i="26"/>
  <c r="I99" i="26"/>
  <c r="J99" i="26"/>
  <c r="K99" i="26"/>
  <c r="L99" i="26"/>
  <c r="H99" i="26"/>
  <c r="J106" i="26"/>
  <c r="B106" i="26"/>
  <c r="M108" i="26" l="1"/>
  <c r="F31" i="27"/>
  <c r="J32" i="27"/>
  <c r="H33" i="27"/>
  <c r="C35" i="27"/>
  <c r="D35" i="27"/>
  <c r="C36" i="27"/>
  <c r="D36" i="27"/>
  <c r="C37" i="27"/>
  <c r="D37" i="27"/>
  <c r="B36" i="27"/>
  <c r="B37" i="27"/>
  <c r="B35" i="27"/>
  <c r="D25" i="27"/>
  <c r="F25" i="27"/>
  <c r="H31" i="27" s="1"/>
  <c r="G25" i="27"/>
  <c r="I31" i="27" s="1"/>
  <c r="H25" i="27"/>
  <c r="J31" i="27" s="1"/>
  <c r="C26" i="27"/>
  <c r="E32" i="27" s="1"/>
  <c r="E36" i="27" s="1"/>
  <c r="D26" i="27"/>
  <c r="F32" i="27" s="1"/>
  <c r="F26" i="27"/>
  <c r="H32" i="27" s="1"/>
  <c r="H26" i="27"/>
  <c r="D27" i="27"/>
  <c r="F33" i="27" s="1"/>
  <c r="E27" i="27"/>
  <c r="G33" i="27" s="1"/>
  <c r="F27" i="27"/>
  <c r="H27" i="27"/>
  <c r="J33" i="27" s="1"/>
  <c r="B26" i="27"/>
  <c r="B27" i="27"/>
  <c r="B25" i="27"/>
  <c r="G24" i="27"/>
  <c r="G27" i="27" s="1"/>
  <c r="I33" i="27" s="1"/>
  <c r="G23" i="27"/>
  <c r="G26" i="27" s="1"/>
  <c r="I32" i="27" s="1"/>
  <c r="G22" i="27"/>
  <c r="E24" i="27"/>
  <c r="E23" i="27"/>
  <c r="E26" i="27" s="1"/>
  <c r="G32" i="27" s="1"/>
  <c r="E22" i="27"/>
  <c r="E25" i="27" s="1"/>
  <c r="G31" i="27" s="1"/>
  <c r="C23" i="27"/>
  <c r="C24" i="27"/>
  <c r="C27" i="27" s="1"/>
  <c r="E33" i="27" s="1"/>
  <c r="C22" i="27"/>
  <c r="C25" i="27" s="1"/>
  <c r="E31" i="27" s="1"/>
  <c r="E35" i="27" s="1"/>
  <c r="F37" i="27" l="1"/>
  <c r="E37" i="27"/>
  <c r="D9" i="27"/>
  <c r="E9" i="27"/>
  <c r="F13" i="27" s="1"/>
  <c r="F9" i="27"/>
  <c r="G13" i="27" s="1"/>
  <c r="G9" i="27"/>
  <c r="H13" i="27" s="1"/>
  <c r="H9" i="27"/>
  <c r="I13" i="27" s="1"/>
  <c r="I9" i="27"/>
  <c r="J13" i="27" s="1"/>
  <c r="B9" i="27"/>
  <c r="E13" i="27"/>
  <c r="C14" i="27"/>
  <c r="D14" i="27"/>
  <c r="E14" i="27"/>
  <c r="B14" i="27"/>
  <c r="G37" i="27" l="1"/>
  <c r="F36" i="27"/>
  <c r="F35" i="27"/>
  <c r="F14" i="27"/>
  <c r="C43" i="21"/>
  <c r="D43" i="21"/>
  <c r="E43" i="21"/>
  <c r="I43" i="21"/>
  <c r="I12" i="22"/>
  <c r="J43" i="21" s="1"/>
  <c r="B43" i="21" l="1"/>
  <c r="H37" i="27"/>
  <c r="G36" i="27"/>
  <c r="G35" i="27"/>
  <c r="G14" i="27"/>
  <c r="C36" i="20"/>
  <c r="D36" i="20"/>
  <c r="E36" i="20"/>
  <c r="F36" i="20"/>
  <c r="G36" i="20"/>
  <c r="H36" i="20"/>
  <c r="I36" i="20"/>
  <c r="J36" i="20"/>
  <c r="B36" i="20"/>
  <c r="C35" i="20"/>
  <c r="D35" i="20"/>
  <c r="E35" i="20"/>
  <c r="F35" i="20"/>
  <c r="G35" i="20"/>
  <c r="H35" i="20"/>
  <c r="I35" i="20"/>
  <c r="J35" i="20"/>
  <c r="B35" i="20"/>
  <c r="C34" i="20"/>
  <c r="D34" i="20"/>
  <c r="E34" i="20"/>
  <c r="F34" i="20"/>
  <c r="G34" i="20"/>
  <c r="H34" i="20"/>
  <c r="I34" i="20"/>
  <c r="J34" i="20"/>
  <c r="B34" i="20"/>
  <c r="C33" i="20"/>
  <c r="D33" i="20"/>
  <c r="E33" i="20"/>
  <c r="F33" i="20"/>
  <c r="G33" i="20"/>
  <c r="H33" i="20"/>
  <c r="I33" i="20"/>
  <c r="J33" i="20"/>
  <c r="B33" i="20"/>
  <c r="C32" i="20"/>
  <c r="D32" i="20"/>
  <c r="E32" i="20"/>
  <c r="F32" i="20"/>
  <c r="G32" i="20"/>
  <c r="H32" i="20"/>
  <c r="I32" i="20"/>
  <c r="J32" i="20"/>
  <c r="B32" i="20"/>
  <c r="H36" i="27" l="1"/>
  <c r="I37" i="27"/>
  <c r="J37" i="27"/>
  <c r="H35" i="27"/>
  <c r="H14" i="27"/>
  <c r="F102" i="24"/>
  <c r="F24" i="20" s="1"/>
  <c r="G102" i="24"/>
  <c r="G24" i="20" s="1"/>
  <c r="H102" i="24"/>
  <c r="H24" i="20" s="1"/>
  <c r="I102" i="24"/>
  <c r="I24" i="20" s="1"/>
  <c r="J102" i="24"/>
  <c r="J24" i="20" s="1"/>
  <c r="E102" i="24"/>
  <c r="E24" i="20" s="1"/>
  <c r="F92" i="24"/>
  <c r="G92" i="24"/>
  <c r="H92" i="24"/>
  <c r="I92" i="24"/>
  <c r="J92" i="24"/>
  <c r="F93" i="24"/>
  <c r="G93" i="24"/>
  <c r="H93" i="24"/>
  <c r="I93" i="24"/>
  <c r="J93" i="24"/>
  <c r="F94" i="24"/>
  <c r="G94" i="24"/>
  <c r="H94" i="24"/>
  <c r="I94" i="24"/>
  <c r="J94" i="24"/>
  <c r="F95" i="24"/>
  <c r="G95" i="24"/>
  <c r="H95" i="24"/>
  <c r="I95" i="24"/>
  <c r="J95" i="24"/>
  <c r="E93" i="24"/>
  <c r="E94" i="24"/>
  <c r="E95" i="24"/>
  <c r="E92" i="24"/>
  <c r="J36" i="27" l="1"/>
  <c r="I36" i="27"/>
  <c r="J35" i="27"/>
  <c r="I35" i="27"/>
  <c r="J14" i="27"/>
  <c r="I14" i="27"/>
  <c r="C106" i="26"/>
  <c r="I106" i="26"/>
  <c r="D106" i="26"/>
  <c r="M102" i="26"/>
  <c r="L102" i="26"/>
  <c r="K102" i="26"/>
  <c r="J102" i="26"/>
  <c r="I102" i="26"/>
  <c r="H102" i="26"/>
  <c r="G102" i="26"/>
  <c r="F102" i="26"/>
  <c r="E102" i="26"/>
  <c r="B100" i="26"/>
  <c r="Q102" i="26" s="1"/>
  <c r="H106" i="26"/>
  <c r="G106" i="26"/>
  <c r="F106" i="26"/>
  <c r="E106" i="26"/>
  <c r="M97" i="26"/>
  <c r="J87" i="26"/>
  <c r="G94" i="26" s="1"/>
  <c r="C94" i="26"/>
  <c r="J94" i="26"/>
  <c r="B94" i="26"/>
  <c r="H87" i="26"/>
  <c r="E94" i="26" s="1"/>
  <c r="I87" i="26"/>
  <c r="F94" i="26" s="1"/>
  <c r="L87" i="26"/>
  <c r="I94" i="26" s="1"/>
  <c r="G87" i="26"/>
  <c r="D94" i="26" s="1"/>
  <c r="M90" i="26"/>
  <c r="L90" i="26"/>
  <c r="K90" i="26"/>
  <c r="J90" i="26"/>
  <c r="I90" i="26"/>
  <c r="H90" i="26"/>
  <c r="G90" i="26"/>
  <c r="F90" i="26"/>
  <c r="E90" i="26"/>
  <c r="B88" i="26"/>
  <c r="Q90" i="26" s="1"/>
  <c r="M85" i="26"/>
  <c r="L84" i="26"/>
  <c r="O90" i="26" l="1"/>
  <c r="K87" i="26"/>
  <c r="H94" i="26" s="1"/>
  <c r="L96" i="26"/>
  <c r="O102" i="26"/>
  <c r="M96" i="26"/>
  <c r="M84" i="26"/>
  <c r="M38" i="22"/>
  <c r="N38" i="22"/>
  <c r="P38" i="22" s="1"/>
  <c r="Q38" i="22"/>
  <c r="J38" i="22"/>
  <c r="K38" i="22"/>
  <c r="Q35" i="22"/>
  <c r="J35" i="22"/>
  <c r="K35" i="22"/>
  <c r="N35" i="22" s="1"/>
  <c r="Q32" i="22"/>
  <c r="M35" i="22" l="1"/>
  <c r="L35" i="22"/>
  <c r="P35" i="22"/>
  <c r="O35" i="22"/>
  <c r="L38" i="22"/>
  <c r="O38" i="22"/>
  <c r="G29" i="22" l="1"/>
  <c r="H29" i="22"/>
  <c r="C31" i="20" l="1"/>
  <c r="D31" i="20"/>
  <c r="E31" i="20"/>
  <c r="F31" i="20"/>
  <c r="G31" i="20"/>
  <c r="H31" i="20"/>
  <c r="I31" i="20"/>
  <c r="J31" i="20"/>
  <c r="B31" i="20"/>
  <c r="C30" i="20"/>
  <c r="D30" i="20"/>
  <c r="E30" i="20"/>
  <c r="F30" i="20"/>
  <c r="G30" i="20"/>
  <c r="H30" i="20"/>
  <c r="I30" i="20"/>
  <c r="J30" i="20"/>
  <c r="B30" i="20"/>
  <c r="D76" i="21" l="1"/>
  <c r="C76" i="21"/>
  <c r="B76" i="21"/>
  <c r="J76" i="21"/>
  <c r="I76" i="21"/>
  <c r="H76" i="21"/>
  <c r="G76" i="21"/>
  <c r="F76" i="21"/>
  <c r="E76" i="21"/>
  <c r="B6" i="21" l="1"/>
  <c r="E8" i="21"/>
  <c r="F8" i="21"/>
  <c r="G8" i="21"/>
  <c r="I2" i="22" l="1"/>
  <c r="Q29" i="22"/>
  <c r="R29" i="22" s="1"/>
  <c r="B17" i="26" l="1"/>
  <c r="C17" i="26"/>
  <c r="D17" i="26"/>
  <c r="E17" i="26"/>
  <c r="F17" i="26"/>
  <c r="G17" i="26"/>
  <c r="H17" i="26"/>
  <c r="I17" i="26"/>
  <c r="J17" i="26"/>
  <c r="K17" i="26"/>
  <c r="L17" i="26"/>
  <c r="M17" i="26"/>
  <c r="C18" i="26"/>
  <c r="D18" i="26"/>
  <c r="F18" i="26"/>
  <c r="G18" i="26"/>
  <c r="H18" i="26"/>
  <c r="I18" i="26"/>
  <c r="J18" i="26"/>
  <c r="K18" i="26"/>
  <c r="L18" i="26"/>
  <c r="M18" i="26"/>
  <c r="C19" i="26"/>
  <c r="D19" i="26"/>
  <c r="F19" i="26"/>
  <c r="G19" i="26"/>
  <c r="H19" i="26"/>
  <c r="I19" i="26"/>
  <c r="J19" i="26"/>
  <c r="K19" i="26"/>
  <c r="L19" i="26"/>
  <c r="M19" i="26"/>
  <c r="C20" i="26"/>
  <c r="D20" i="26"/>
  <c r="F20" i="26"/>
  <c r="G20" i="26"/>
  <c r="H20" i="26"/>
  <c r="I20" i="26"/>
  <c r="J20" i="26"/>
  <c r="K20" i="26"/>
  <c r="L20" i="26"/>
  <c r="M20" i="26"/>
  <c r="C21" i="26"/>
  <c r="D21" i="26"/>
  <c r="F21" i="26"/>
  <c r="G21" i="26"/>
  <c r="H21" i="26"/>
  <c r="I21" i="26"/>
  <c r="J21" i="26"/>
  <c r="K21" i="26"/>
  <c r="L21" i="26"/>
  <c r="M21" i="26"/>
  <c r="C22" i="26"/>
  <c r="D22" i="26"/>
  <c r="F22" i="26"/>
  <c r="G22" i="26"/>
  <c r="H22" i="26"/>
  <c r="I22" i="26"/>
  <c r="J22" i="26"/>
  <c r="K22" i="26"/>
  <c r="L22" i="26"/>
  <c r="M22" i="26"/>
  <c r="C23" i="26"/>
  <c r="D23" i="26"/>
  <c r="F23" i="26"/>
  <c r="G23" i="26"/>
  <c r="H23" i="26"/>
  <c r="I23" i="26"/>
  <c r="J23" i="26"/>
  <c r="K23" i="26"/>
  <c r="L23" i="26"/>
  <c r="M23" i="26"/>
  <c r="C24" i="26"/>
  <c r="D24" i="26"/>
  <c r="F24" i="26"/>
  <c r="G24" i="26"/>
  <c r="H24" i="26"/>
  <c r="I24" i="26"/>
  <c r="J24" i="26"/>
  <c r="K24" i="26"/>
  <c r="L24" i="26"/>
  <c r="M24" i="26"/>
  <c r="C25" i="26"/>
  <c r="D25" i="26"/>
  <c r="F25" i="26"/>
  <c r="G25" i="26"/>
  <c r="H25" i="26"/>
  <c r="I25" i="26"/>
  <c r="J25" i="26"/>
  <c r="K25" i="26"/>
  <c r="L25" i="26"/>
  <c r="M25" i="26"/>
  <c r="C26" i="26"/>
  <c r="D26" i="26"/>
  <c r="F26" i="26"/>
  <c r="G26" i="26"/>
  <c r="H26" i="26"/>
  <c r="I26" i="26"/>
  <c r="J26" i="26"/>
  <c r="K26" i="26"/>
  <c r="L26" i="26"/>
  <c r="M26" i="26"/>
  <c r="B19" i="26"/>
  <c r="B20" i="26"/>
  <c r="B21" i="26"/>
  <c r="B22" i="26"/>
  <c r="B23" i="26"/>
  <c r="B24" i="26"/>
  <c r="B25" i="26"/>
  <c r="B26" i="26"/>
  <c r="B18" i="26"/>
  <c r="A19" i="26"/>
  <c r="A20" i="26"/>
  <c r="A21" i="26"/>
  <c r="A22" i="26"/>
  <c r="A23" i="26"/>
  <c r="A24" i="26"/>
  <c r="A25" i="26"/>
  <c r="A26" i="26"/>
  <c r="A18" i="26"/>
  <c r="A35" i="26" s="1"/>
  <c r="A5" i="26"/>
  <c r="M32" i="22"/>
  <c r="N32" i="22" s="1"/>
  <c r="P32" i="22"/>
  <c r="O32" i="22"/>
  <c r="J32" i="22" l="1"/>
  <c r="K32" i="22"/>
  <c r="B55" i="26"/>
  <c r="C55" i="26"/>
  <c r="D55" i="26"/>
  <c r="E55" i="26"/>
  <c r="F55" i="26"/>
  <c r="G55" i="26"/>
  <c r="H55" i="26"/>
  <c r="I55" i="26"/>
  <c r="J55" i="26"/>
  <c r="B56" i="26"/>
  <c r="C56" i="26"/>
  <c r="D56" i="26"/>
  <c r="E56" i="26"/>
  <c r="F56" i="26"/>
  <c r="G56" i="26"/>
  <c r="H56" i="26"/>
  <c r="I56" i="26"/>
  <c r="J56" i="26"/>
  <c r="B57" i="26"/>
  <c r="C57" i="26"/>
  <c r="D57" i="26"/>
  <c r="E57" i="26"/>
  <c r="F57" i="26"/>
  <c r="G57" i="26"/>
  <c r="H57" i="26"/>
  <c r="I57" i="26"/>
  <c r="J57" i="26"/>
  <c r="B58" i="26"/>
  <c r="C58" i="26"/>
  <c r="D58" i="26"/>
  <c r="E58" i="26"/>
  <c r="F58" i="26"/>
  <c r="G58" i="26"/>
  <c r="H58" i="26"/>
  <c r="I58" i="26"/>
  <c r="J58" i="26"/>
  <c r="B59" i="26"/>
  <c r="C59" i="26"/>
  <c r="D59" i="26"/>
  <c r="E59" i="26"/>
  <c r="F59" i="26"/>
  <c r="G59" i="26"/>
  <c r="H59" i="26"/>
  <c r="I59" i="26"/>
  <c r="J59" i="26"/>
  <c r="B60" i="26"/>
  <c r="C60" i="26"/>
  <c r="D60" i="26"/>
  <c r="E60" i="26"/>
  <c r="F60" i="26"/>
  <c r="G60" i="26"/>
  <c r="H60" i="26"/>
  <c r="I60" i="26"/>
  <c r="J60" i="26"/>
  <c r="B61" i="26"/>
  <c r="C61" i="26"/>
  <c r="D61" i="26"/>
  <c r="E61" i="26"/>
  <c r="F61" i="26"/>
  <c r="G61" i="26"/>
  <c r="H61" i="26"/>
  <c r="I61" i="26"/>
  <c r="J61" i="26"/>
  <c r="B62" i="26"/>
  <c r="C62" i="26"/>
  <c r="D62" i="26"/>
  <c r="E62" i="26"/>
  <c r="F62" i="26"/>
  <c r="G62" i="26"/>
  <c r="H62" i="26"/>
  <c r="I62" i="26"/>
  <c r="J62" i="26"/>
  <c r="B63" i="26"/>
  <c r="C63" i="26"/>
  <c r="D63" i="26"/>
  <c r="E63" i="26"/>
  <c r="F63" i="26"/>
  <c r="G63" i="26"/>
  <c r="H63" i="26"/>
  <c r="I63" i="26"/>
  <c r="J63" i="26"/>
  <c r="B64" i="26"/>
  <c r="C64" i="26"/>
  <c r="D64" i="26"/>
  <c r="E64" i="26"/>
  <c r="F64" i="26"/>
  <c r="G64" i="26"/>
  <c r="H64" i="26"/>
  <c r="I64" i="26"/>
  <c r="J64" i="26"/>
  <c r="A57" i="26"/>
  <c r="A58" i="26"/>
  <c r="A59" i="26"/>
  <c r="A60" i="26"/>
  <c r="A61" i="26"/>
  <c r="A62" i="26"/>
  <c r="A63" i="26"/>
  <c r="A64" i="26"/>
  <c r="A56" i="26"/>
  <c r="A41" i="26"/>
  <c r="A38" i="26"/>
  <c r="A43" i="26"/>
  <c r="A42" i="26"/>
  <c r="A40" i="26"/>
  <c r="A39" i="26"/>
  <c r="A37" i="26"/>
  <c r="A36" i="26"/>
  <c r="L32" i="22" l="1"/>
  <c r="C78" i="24" l="1"/>
  <c r="D82" i="24"/>
  <c r="E48" i="24"/>
  <c r="D84" i="24"/>
  <c r="D85" i="24"/>
  <c r="D86" i="24"/>
  <c r="G88" i="24"/>
  <c r="G82" i="24" s="1"/>
  <c r="J83" i="24"/>
  <c r="J84" i="24"/>
  <c r="J85" i="24"/>
  <c r="J86" i="24"/>
  <c r="J88" i="24"/>
  <c r="M88" i="24" s="1"/>
  <c r="J82" i="24"/>
  <c r="H83" i="24"/>
  <c r="H84" i="24"/>
  <c r="H85" i="24"/>
  <c r="H86" i="24"/>
  <c r="H88" i="24"/>
  <c r="I88" i="24" s="1"/>
  <c r="H82" i="24"/>
  <c r="F83" i="24"/>
  <c r="F84" i="24"/>
  <c r="F85" i="24"/>
  <c r="F86" i="24"/>
  <c r="F88" i="24"/>
  <c r="F82" i="24"/>
  <c r="C65" i="24"/>
  <c r="D65" i="24"/>
  <c r="E65" i="24"/>
  <c r="F65" i="24"/>
  <c r="G65" i="24"/>
  <c r="H65" i="24"/>
  <c r="I65" i="24"/>
  <c r="J65" i="24"/>
  <c r="K65" i="24"/>
  <c r="L65" i="24"/>
  <c r="C66" i="24"/>
  <c r="D66" i="24"/>
  <c r="E66" i="24"/>
  <c r="F66" i="24"/>
  <c r="D83" i="24" s="1"/>
  <c r="G66" i="24"/>
  <c r="H66" i="24"/>
  <c r="I66" i="24"/>
  <c r="G83" i="24" s="1"/>
  <c r="J66" i="24"/>
  <c r="K66" i="24"/>
  <c r="L66" i="24"/>
  <c r="C67" i="24"/>
  <c r="D67" i="24"/>
  <c r="E67" i="24"/>
  <c r="F67" i="24"/>
  <c r="G67" i="24"/>
  <c r="H67" i="24"/>
  <c r="I67" i="24"/>
  <c r="J67" i="24"/>
  <c r="K67" i="24"/>
  <c r="I84" i="24" s="1"/>
  <c r="L67" i="24"/>
  <c r="C68" i="24"/>
  <c r="D68" i="24"/>
  <c r="E68" i="24"/>
  <c r="F68" i="24"/>
  <c r="G68" i="24"/>
  <c r="H68" i="24"/>
  <c r="I68" i="24"/>
  <c r="G85" i="24" s="1"/>
  <c r="J68" i="24"/>
  <c r="K68" i="24"/>
  <c r="L68" i="24"/>
  <c r="C69" i="24"/>
  <c r="D69" i="24"/>
  <c r="E69" i="24"/>
  <c r="F69" i="24"/>
  <c r="G69" i="24"/>
  <c r="H69" i="24"/>
  <c r="I69" i="24"/>
  <c r="J69" i="24"/>
  <c r="K69" i="24"/>
  <c r="I86" i="24" s="1"/>
  <c r="L69" i="24"/>
  <c r="C70" i="24"/>
  <c r="D70" i="24"/>
  <c r="E70" i="24"/>
  <c r="F70" i="24"/>
  <c r="D87" i="24" s="1"/>
  <c r="G70" i="24"/>
  <c r="H70" i="24"/>
  <c r="I70" i="24"/>
  <c r="J70" i="24"/>
  <c r="K70" i="24"/>
  <c r="L70" i="24"/>
  <c r="C71" i="24"/>
  <c r="D71" i="24"/>
  <c r="E71" i="24"/>
  <c r="F71" i="24"/>
  <c r="G71" i="24"/>
  <c r="H71" i="24"/>
  <c r="I71" i="24"/>
  <c r="J71" i="24"/>
  <c r="K71" i="24"/>
  <c r="L71" i="24"/>
  <c r="B66" i="24"/>
  <c r="B67" i="24"/>
  <c r="B68" i="24"/>
  <c r="B69" i="24"/>
  <c r="B70" i="24"/>
  <c r="B71" i="24"/>
  <c r="B65" i="24"/>
  <c r="D78" i="24"/>
  <c r="B88" i="24" s="1"/>
  <c r="E78" i="24"/>
  <c r="C88" i="24" s="1"/>
  <c r="B78" i="24"/>
  <c r="E88" i="24" l="1"/>
  <c r="C83" i="24"/>
  <c r="C84" i="24"/>
  <c r="C85" i="24"/>
  <c r="C86" i="24"/>
  <c r="C87" i="24"/>
  <c r="C102" i="24"/>
  <c r="C24" i="20" s="1"/>
  <c r="C82" i="24"/>
  <c r="C92" i="24" s="1"/>
  <c r="D102" i="24"/>
  <c r="B83" i="24"/>
  <c r="B93" i="24" s="1"/>
  <c r="B84" i="24"/>
  <c r="B94" i="24" s="1"/>
  <c r="B87" i="24"/>
  <c r="B102" i="24"/>
  <c r="B24" i="20" s="1"/>
  <c r="B85" i="24"/>
  <c r="B95" i="24" s="1"/>
  <c r="B86" i="24"/>
  <c r="B82" i="24"/>
  <c r="B92" i="24" s="1"/>
  <c r="G86" i="24"/>
  <c r="I83" i="24"/>
  <c r="G84" i="24"/>
  <c r="B79" i="24"/>
  <c r="I82" i="24"/>
  <c r="I85" i="24"/>
  <c r="D24" i="20"/>
  <c r="D94" i="24" l="1"/>
  <c r="C95" i="24"/>
  <c r="D95" i="24"/>
  <c r="D92" i="24"/>
  <c r="K78" i="24" s="1"/>
  <c r="C93" i="24"/>
  <c r="C94" i="24"/>
  <c r="D93" i="24"/>
  <c r="E83" i="24"/>
  <c r="E85" i="24"/>
  <c r="E86" i="24"/>
  <c r="E82" i="24"/>
  <c r="E84" i="24"/>
  <c r="E87" i="24"/>
  <c r="D45" i="24"/>
  <c r="E45" i="24"/>
  <c r="F45" i="24"/>
  <c r="G45" i="24"/>
  <c r="H45" i="24"/>
  <c r="I45" i="24"/>
  <c r="J45" i="24"/>
  <c r="C45" i="24"/>
  <c r="B45" i="24"/>
  <c r="M63" i="21" l="1"/>
  <c r="L63" i="21"/>
  <c r="K63" i="21"/>
  <c r="J63" i="21"/>
  <c r="I63" i="21"/>
  <c r="H63" i="21"/>
  <c r="G63" i="21"/>
  <c r="F63" i="21"/>
  <c r="E63" i="21"/>
  <c r="B61" i="21"/>
  <c r="Q63" i="21" s="1"/>
  <c r="M58" i="21"/>
  <c r="L57" i="21"/>
  <c r="C12" i="21"/>
  <c r="M3" i="21"/>
  <c r="B12" i="21"/>
  <c r="Q8" i="21"/>
  <c r="H8" i="21"/>
  <c r="I8" i="21"/>
  <c r="J8" i="21"/>
  <c r="K8" i="21"/>
  <c r="L8" i="21"/>
  <c r="M8" i="21"/>
  <c r="O8" i="21" s="1"/>
  <c r="O63" i="21" l="1"/>
  <c r="M57" i="21"/>
  <c r="Q24" i="20"/>
  <c r="Q25" i="20" s="1"/>
  <c r="Q10" i="23" l="1"/>
  <c r="Q9" i="23"/>
  <c r="Q8" i="23"/>
  <c r="Q7" i="23"/>
  <c r="Q6" i="23"/>
  <c r="Q5" i="23"/>
  <c r="Q4" i="23"/>
  <c r="E3" i="23"/>
  <c r="F3" i="23"/>
  <c r="G3" i="23"/>
  <c r="H3" i="23"/>
  <c r="I3" i="23"/>
  <c r="J3" i="23"/>
  <c r="D3" i="23" l="1"/>
  <c r="C9" i="23" l="1"/>
  <c r="C10" i="23"/>
  <c r="C11" i="23"/>
  <c r="C12" i="23"/>
  <c r="C13" i="23"/>
  <c r="C14" i="23"/>
  <c r="C15" i="23"/>
  <c r="C8" i="23"/>
  <c r="C7" i="23"/>
  <c r="Q14" i="23" l="1"/>
  <c r="Q13" i="23"/>
  <c r="Q21" i="23"/>
  <c r="Q20" i="23"/>
  <c r="Q19" i="23"/>
  <c r="Q18" i="23"/>
  <c r="Q17" i="23"/>
  <c r="Q16" i="23"/>
  <c r="Q15" i="23"/>
  <c r="C6" i="23"/>
  <c r="C10" i="20"/>
  <c r="C29" i="21" l="1"/>
  <c r="D29" i="21"/>
  <c r="E29" i="21"/>
  <c r="B46" i="21" s="1"/>
  <c r="F29" i="21"/>
  <c r="C46" i="21" s="1"/>
  <c r="G29" i="21"/>
  <c r="D46" i="21" s="1"/>
  <c r="H29" i="21"/>
  <c r="E46" i="21" s="1"/>
  <c r="I29" i="21"/>
  <c r="F46" i="21" s="1"/>
  <c r="J29" i="21"/>
  <c r="G46" i="21" s="1"/>
  <c r="K29" i="21"/>
  <c r="H46" i="21" s="1"/>
  <c r="L29" i="21"/>
  <c r="I46" i="21" s="1"/>
  <c r="M29" i="21"/>
  <c r="J46" i="21" s="1"/>
  <c r="C30" i="21"/>
  <c r="D30" i="21"/>
  <c r="F30" i="21"/>
  <c r="G30" i="21"/>
  <c r="H30" i="21"/>
  <c r="I30" i="21"/>
  <c r="J30" i="21"/>
  <c r="K30" i="21"/>
  <c r="L30" i="21"/>
  <c r="M30" i="21"/>
  <c r="C31" i="21"/>
  <c r="D31" i="21"/>
  <c r="F31" i="21"/>
  <c r="G31" i="21"/>
  <c r="H31" i="21"/>
  <c r="I31" i="21"/>
  <c r="J31" i="21"/>
  <c r="K31" i="21"/>
  <c r="L31" i="21"/>
  <c r="M31" i="21"/>
  <c r="C32" i="21"/>
  <c r="D32" i="21"/>
  <c r="F32" i="21"/>
  <c r="G32" i="21"/>
  <c r="H32" i="21"/>
  <c r="I32" i="21"/>
  <c r="J32" i="21"/>
  <c r="K32" i="21"/>
  <c r="L32" i="21"/>
  <c r="M32" i="21"/>
  <c r="C33" i="21"/>
  <c r="D33" i="21"/>
  <c r="E33" i="21"/>
  <c r="B50" i="21" s="1"/>
  <c r="F33" i="21"/>
  <c r="C50" i="21" s="1"/>
  <c r="G33" i="21"/>
  <c r="H33" i="21"/>
  <c r="I33" i="21"/>
  <c r="J33" i="21"/>
  <c r="K33" i="21"/>
  <c r="L33" i="21"/>
  <c r="M33" i="21"/>
  <c r="J50" i="21" s="1"/>
  <c r="C34" i="21"/>
  <c r="D34" i="21"/>
  <c r="F34" i="21"/>
  <c r="G34" i="21"/>
  <c r="H34" i="21"/>
  <c r="I34" i="21"/>
  <c r="J34" i="21"/>
  <c r="K34" i="21"/>
  <c r="L34" i="21"/>
  <c r="M34" i="21"/>
  <c r="C35" i="21"/>
  <c r="D35" i="21"/>
  <c r="F35" i="21"/>
  <c r="G35" i="21"/>
  <c r="H35" i="21"/>
  <c r="I35" i="21"/>
  <c r="J35" i="21"/>
  <c r="K35" i="21"/>
  <c r="L35" i="21"/>
  <c r="M35" i="21"/>
  <c r="C36" i="21"/>
  <c r="D36" i="21"/>
  <c r="E36" i="21"/>
  <c r="F36" i="21"/>
  <c r="G36" i="21"/>
  <c r="H36" i="21"/>
  <c r="I36" i="21"/>
  <c r="J36" i="21"/>
  <c r="K36" i="21"/>
  <c r="L36" i="21"/>
  <c r="M36" i="21"/>
  <c r="J53" i="21" s="1"/>
  <c r="C37" i="21"/>
  <c r="D37" i="21"/>
  <c r="E37" i="21"/>
  <c r="B54" i="21" s="1"/>
  <c r="F37" i="21"/>
  <c r="G37" i="21"/>
  <c r="H37" i="21"/>
  <c r="I37" i="21"/>
  <c r="J37" i="21"/>
  <c r="K37" i="21"/>
  <c r="L37" i="21"/>
  <c r="M37" i="21"/>
  <c r="J54" i="21" s="1"/>
  <c r="C38" i="21"/>
  <c r="D38" i="21"/>
  <c r="F38" i="21"/>
  <c r="G38" i="21"/>
  <c r="H38" i="21"/>
  <c r="I38" i="21"/>
  <c r="J38" i="21"/>
  <c r="K38" i="21"/>
  <c r="L38" i="21"/>
  <c r="M38" i="21"/>
  <c r="B30" i="21"/>
  <c r="B31" i="21"/>
  <c r="B32" i="21"/>
  <c r="B33" i="21"/>
  <c r="B34" i="21"/>
  <c r="B35" i="21"/>
  <c r="B36" i="21"/>
  <c r="B37" i="21"/>
  <c r="B38" i="21"/>
  <c r="B29" i="21"/>
  <c r="A37" i="21"/>
  <c r="A54" i="21" s="1"/>
  <c r="A38" i="21"/>
  <c r="A55" i="21" s="1"/>
  <c r="A31" i="21"/>
  <c r="A48" i="21" s="1"/>
  <c r="A32" i="21"/>
  <c r="A49" i="21" s="1"/>
  <c r="A33" i="21"/>
  <c r="A50" i="21" s="1"/>
  <c r="A34" i="21"/>
  <c r="A51" i="21" s="1"/>
  <c r="A35" i="21"/>
  <c r="A52" i="21" s="1"/>
  <c r="A36" i="21"/>
  <c r="A53" i="21" s="1"/>
  <c r="A30" i="21"/>
  <c r="A47" i="21" s="1"/>
  <c r="A19" i="21"/>
  <c r="A7" i="26" s="1"/>
  <c r="A20" i="21"/>
  <c r="A8" i="26" s="1"/>
  <c r="A21" i="21"/>
  <c r="A9" i="26" s="1"/>
  <c r="A22" i="21"/>
  <c r="A10" i="26" s="1"/>
  <c r="A23" i="21"/>
  <c r="A11" i="26" s="1"/>
  <c r="A24" i="21"/>
  <c r="A12" i="26" s="1"/>
  <c r="A25" i="21"/>
  <c r="A13" i="26" s="1"/>
  <c r="A26" i="21"/>
  <c r="A14" i="26" s="1"/>
  <c r="A27" i="21"/>
  <c r="A15" i="26" s="1"/>
  <c r="A18" i="21"/>
  <c r="A6" i="26" s="1"/>
  <c r="B18" i="21"/>
  <c r="B6" i="26" s="1"/>
  <c r="C18" i="21"/>
  <c r="C6" i="26" s="1"/>
  <c r="D18" i="21"/>
  <c r="D6" i="26" s="1"/>
  <c r="E18" i="21"/>
  <c r="E6" i="26" s="1"/>
  <c r="F18" i="21"/>
  <c r="F6" i="26" s="1"/>
  <c r="G18" i="21"/>
  <c r="G6" i="26" s="1"/>
  <c r="H18" i="21"/>
  <c r="H6" i="26" s="1"/>
  <c r="I18" i="21"/>
  <c r="I6" i="26" s="1"/>
  <c r="J18" i="21"/>
  <c r="J6" i="26" s="1"/>
  <c r="K18" i="21"/>
  <c r="K6" i="26" s="1"/>
  <c r="L18" i="21"/>
  <c r="L6" i="26" s="1"/>
  <c r="M18" i="21"/>
  <c r="M6" i="26" s="1"/>
  <c r="B19" i="21"/>
  <c r="B7" i="26" s="1"/>
  <c r="C19" i="21"/>
  <c r="C7" i="26" s="1"/>
  <c r="D19" i="21"/>
  <c r="D7" i="26" s="1"/>
  <c r="E19" i="21"/>
  <c r="E7" i="26" s="1"/>
  <c r="F19" i="21"/>
  <c r="F7" i="26" s="1"/>
  <c r="G19" i="21"/>
  <c r="G7" i="26" s="1"/>
  <c r="H19" i="21"/>
  <c r="H7" i="26" s="1"/>
  <c r="I19" i="21"/>
  <c r="I7" i="26" s="1"/>
  <c r="J19" i="21"/>
  <c r="J7" i="26" s="1"/>
  <c r="K19" i="21"/>
  <c r="K7" i="26" s="1"/>
  <c r="L19" i="21"/>
  <c r="L7" i="26" s="1"/>
  <c r="M19" i="21"/>
  <c r="M7" i="26" s="1"/>
  <c r="B20" i="21"/>
  <c r="B8" i="26" s="1"/>
  <c r="C20" i="21"/>
  <c r="C8" i="26" s="1"/>
  <c r="D20" i="21"/>
  <c r="D8" i="26" s="1"/>
  <c r="E20" i="21"/>
  <c r="E8" i="26" s="1"/>
  <c r="F20" i="21"/>
  <c r="F8" i="26" s="1"/>
  <c r="G20" i="21"/>
  <c r="G8" i="26" s="1"/>
  <c r="H20" i="21"/>
  <c r="H8" i="26" s="1"/>
  <c r="I20" i="21"/>
  <c r="I8" i="26" s="1"/>
  <c r="J20" i="21"/>
  <c r="J8" i="26" s="1"/>
  <c r="K20" i="21"/>
  <c r="K8" i="26" s="1"/>
  <c r="L20" i="21"/>
  <c r="L8" i="26" s="1"/>
  <c r="M20" i="21"/>
  <c r="M8" i="26" s="1"/>
  <c r="B21" i="21"/>
  <c r="B9" i="26" s="1"/>
  <c r="C21" i="21"/>
  <c r="C9" i="26" s="1"/>
  <c r="D21" i="21"/>
  <c r="D9" i="26" s="1"/>
  <c r="F21" i="21"/>
  <c r="F9" i="26" s="1"/>
  <c r="G21" i="21"/>
  <c r="G9" i="26" s="1"/>
  <c r="H21" i="21"/>
  <c r="H9" i="26" s="1"/>
  <c r="I21" i="21"/>
  <c r="I9" i="26" s="1"/>
  <c r="J21" i="21"/>
  <c r="J9" i="26" s="1"/>
  <c r="K21" i="21"/>
  <c r="K9" i="26" s="1"/>
  <c r="L21" i="21"/>
  <c r="L9" i="26" s="1"/>
  <c r="M21" i="21"/>
  <c r="M9" i="26" s="1"/>
  <c r="B22" i="21"/>
  <c r="B10" i="26" s="1"/>
  <c r="C22" i="21"/>
  <c r="C10" i="26" s="1"/>
  <c r="D22" i="21"/>
  <c r="D10" i="26" s="1"/>
  <c r="E22" i="21"/>
  <c r="E10" i="26" s="1"/>
  <c r="F22" i="21"/>
  <c r="F10" i="26" s="1"/>
  <c r="G22" i="21"/>
  <c r="G10" i="26" s="1"/>
  <c r="H22" i="21"/>
  <c r="H10" i="26" s="1"/>
  <c r="I22" i="21"/>
  <c r="I10" i="26" s="1"/>
  <c r="J22" i="21"/>
  <c r="J10" i="26" s="1"/>
  <c r="K22" i="21"/>
  <c r="K10" i="26" s="1"/>
  <c r="L22" i="21"/>
  <c r="L10" i="26" s="1"/>
  <c r="M22" i="21"/>
  <c r="M10" i="26" s="1"/>
  <c r="B23" i="21"/>
  <c r="B11" i="26" s="1"/>
  <c r="C23" i="21"/>
  <c r="C11" i="26" s="1"/>
  <c r="D23" i="21"/>
  <c r="D11" i="26" s="1"/>
  <c r="F23" i="21"/>
  <c r="F11" i="26" s="1"/>
  <c r="G23" i="21"/>
  <c r="G11" i="26" s="1"/>
  <c r="H23" i="21"/>
  <c r="H11" i="26" s="1"/>
  <c r="I23" i="21"/>
  <c r="I11" i="26" s="1"/>
  <c r="J23" i="21"/>
  <c r="J11" i="26" s="1"/>
  <c r="K23" i="21"/>
  <c r="K11" i="26" s="1"/>
  <c r="L23" i="21"/>
  <c r="L11" i="26" s="1"/>
  <c r="M23" i="21"/>
  <c r="M11" i="26" s="1"/>
  <c r="B24" i="21"/>
  <c r="B12" i="26" s="1"/>
  <c r="C24" i="21"/>
  <c r="C12" i="26" s="1"/>
  <c r="D24" i="21"/>
  <c r="D12" i="26" s="1"/>
  <c r="E24" i="21"/>
  <c r="E12" i="26" s="1"/>
  <c r="F24" i="21"/>
  <c r="F12" i="26" s="1"/>
  <c r="G24" i="21"/>
  <c r="G12" i="26" s="1"/>
  <c r="H24" i="21"/>
  <c r="H12" i="26" s="1"/>
  <c r="I24" i="21"/>
  <c r="I12" i="26" s="1"/>
  <c r="J24" i="21"/>
  <c r="J12" i="26" s="1"/>
  <c r="K24" i="21"/>
  <c r="K12" i="26" s="1"/>
  <c r="L24" i="21"/>
  <c r="L12" i="26" s="1"/>
  <c r="M24" i="21"/>
  <c r="M12" i="26" s="1"/>
  <c r="B25" i="21"/>
  <c r="B13" i="26" s="1"/>
  <c r="C25" i="21"/>
  <c r="C13" i="26" s="1"/>
  <c r="D25" i="21"/>
  <c r="D13" i="26" s="1"/>
  <c r="F25" i="21"/>
  <c r="F13" i="26" s="1"/>
  <c r="G25" i="21"/>
  <c r="G13" i="26" s="1"/>
  <c r="H25" i="21"/>
  <c r="H13" i="26" s="1"/>
  <c r="I25" i="21"/>
  <c r="I13" i="26" s="1"/>
  <c r="J25" i="21"/>
  <c r="J13" i="26" s="1"/>
  <c r="K25" i="21"/>
  <c r="K13" i="26" s="1"/>
  <c r="L25" i="21"/>
  <c r="L13" i="26" s="1"/>
  <c r="M25" i="21"/>
  <c r="M13" i="26" s="1"/>
  <c r="B26" i="21"/>
  <c r="B14" i="26" s="1"/>
  <c r="C26" i="21"/>
  <c r="C14" i="26" s="1"/>
  <c r="D26" i="21"/>
  <c r="D14" i="26" s="1"/>
  <c r="F26" i="21"/>
  <c r="F14" i="26" s="1"/>
  <c r="G26" i="21"/>
  <c r="G14" i="26" s="1"/>
  <c r="H26" i="21"/>
  <c r="H14" i="26" s="1"/>
  <c r="I26" i="21"/>
  <c r="I14" i="26" s="1"/>
  <c r="J26" i="21"/>
  <c r="J14" i="26" s="1"/>
  <c r="K26" i="21"/>
  <c r="K14" i="26" s="1"/>
  <c r="L26" i="21"/>
  <c r="L14" i="26" s="1"/>
  <c r="M26" i="21"/>
  <c r="M14" i="26" s="1"/>
  <c r="B27" i="21"/>
  <c r="B15" i="26" s="1"/>
  <c r="C27" i="21"/>
  <c r="C15" i="26" s="1"/>
  <c r="D27" i="21"/>
  <c r="D15" i="26" s="1"/>
  <c r="E27" i="21"/>
  <c r="F27" i="21"/>
  <c r="G27" i="21"/>
  <c r="G15" i="26" s="1"/>
  <c r="H27" i="21"/>
  <c r="H15" i="26" s="1"/>
  <c r="I27" i="21"/>
  <c r="I15" i="26" s="1"/>
  <c r="J27" i="21"/>
  <c r="J15" i="26" s="1"/>
  <c r="K27" i="21"/>
  <c r="K15" i="26" s="1"/>
  <c r="L27" i="21"/>
  <c r="L15" i="26" s="1"/>
  <c r="M27" i="21"/>
  <c r="J44" i="21" s="1"/>
  <c r="L17" i="21"/>
  <c r="M17" i="21"/>
  <c r="K17" i="21"/>
  <c r="I17" i="21"/>
  <c r="J17" i="21"/>
  <c r="C17" i="21"/>
  <c r="C5" i="26" s="1"/>
  <c r="D17" i="21"/>
  <c r="D5" i="26" s="1"/>
  <c r="E17" i="21"/>
  <c r="F17" i="21"/>
  <c r="G17" i="21"/>
  <c r="H17" i="21"/>
  <c r="B17" i="21"/>
  <c r="B5" i="26" s="1"/>
  <c r="I23" i="22"/>
  <c r="E26" i="26" s="1"/>
  <c r="I22" i="22"/>
  <c r="E25" i="26" s="1"/>
  <c r="I21" i="22"/>
  <c r="E24" i="26" s="1"/>
  <c r="I20" i="22"/>
  <c r="E23" i="26" s="1"/>
  <c r="I19" i="22"/>
  <c r="E22" i="26" s="1"/>
  <c r="I18" i="22"/>
  <c r="E21" i="26" s="1"/>
  <c r="I17" i="22"/>
  <c r="E20" i="26" s="1"/>
  <c r="I16" i="22"/>
  <c r="E19" i="26" s="1"/>
  <c r="I15" i="22"/>
  <c r="E30" i="21" s="1"/>
  <c r="B47" i="21" s="1"/>
  <c r="I3" i="22"/>
  <c r="I4" i="22"/>
  <c r="I5" i="22"/>
  <c r="E21" i="21" s="1"/>
  <c r="E9" i="26" s="1"/>
  <c r="I6" i="22"/>
  <c r="I7" i="22"/>
  <c r="E23" i="21" s="1"/>
  <c r="E11" i="26" s="1"/>
  <c r="I8" i="22"/>
  <c r="I9" i="22"/>
  <c r="E25" i="21" s="1"/>
  <c r="E13" i="26" s="1"/>
  <c r="I10" i="22"/>
  <c r="E26" i="21" s="1"/>
  <c r="E14" i="26" s="1"/>
  <c r="I11" i="22"/>
  <c r="E35" i="21" l="1"/>
  <c r="B52" i="21" s="1"/>
  <c r="B39" i="26"/>
  <c r="J39" i="26"/>
  <c r="G39" i="26"/>
  <c r="D39" i="26"/>
  <c r="F39" i="26"/>
  <c r="E39" i="26"/>
  <c r="C39" i="26"/>
  <c r="I39" i="26"/>
  <c r="H39" i="26"/>
  <c r="E32" i="21"/>
  <c r="B49" i="21" s="1"/>
  <c r="I43" i="26"/>
  <c r="D43" i="26"/>
  <c r="E43" i="26"/>
  <c r="F43" i="26"/>
  <c r="B43" i="26"/>
  <c r="C43" i="26"/>
  <c r="H43" i="26"/>
  <c r="J43" i="26"/>
  <c r="G43" i="26"/>
  <c r="C51" i="21"/>
  <c r="H41" i="26"/>
  <c r="B41" i="26"/>
  <c r="D41" i="26"/>
  <c r="F41" i="26"/>
  <c r="J41" i="26"/>
  <c r="E41" i="26"/>
  <c r="C41" i="26"/>
  <c r="I41" i="26"/>
  <c r="G41" i="26"/>
  <c r="E34" i="21"/>
  <c r="I51" i="21" s="1"/>
  <c r="I29" i="22"/>
  <c r="S29" i="22" s="1"/>
  <c r="E18" i="26"/>
  <c r="I28" i="22"/>
  <c r="J36" i="26"/>
  <c r="D36" i="26"/>
  <c r="I36" i="26"/>
  <c r="E36" i="26"/>
  <c r="B36" i="26"/>
  <c r="F36" i="26"/>
  <c r="G36" i="26"/>
  <c r="H36" i="26"/>
  <c r="C36" i="26"/>
  <c r="I37" i="26"/>
  <c r="H37" i="26"/>
  <c r="D37" i="26"/>
  <c r="F37" i="26"/>
  <c r="G37" i="26"/>
  <c r="E37" i="26"/>
  <c r="J37" i="26"/>
  <c r="C37" i="26"/>
  <c r="B37" i="26"/>
  <c r="E38" i="21"/>
  <c r="B55" i="21" s="1"/>
  <c r="I38" i="26"/>
  <c r="H38" i="26"/>
  <c r="E38" i="26"/>
  <c r="G38" i="26"/>
  <c r="C38" i="26"/>
  <c r="D38" i="26"/>
  <c r="J38" i="26"/>
  <c r="B38" i="26"/>
  <c r="F38" i="26"/>
  <c r="E40" i="26"/>
  <c r="H40" i="26"/>
  <c r="C40" i="26"/>
  <c r="J40" i="26"/>
  <c r="I40" i="26"/>
  <c r="G40" i="26"/>
  <c r="D40" i="26"/>
  <c r="F40" i="26"/>
  <c r="B40" i="26"/>
  <c r="I38" i="22"/>
  <c r="I35" i="22"/>
  <c r="I32" i="22"/>
  <c r="S11" i="22"/>
  <c r="H42" i="26"/>
  <c r="F42" i="26"/>
  <c r="D42" i="26"/>
  <c r="G42" i="26"/>
  <c r="C42" i="26"/>
  <c r="B42" i="26"/>
  <c r="E42" i="26"/>
  <c r="I42" i="26"/>
  <c r="J42" i="26"/>
  <c r="E31" i="21"/>
  <c r="B48" i="21" s="1"/>
  <c r="D54" i="21"/>
  <c r="F15" i="26"/>
  <c r="C44" i="21"/>
  <c r="P27" i="21"/>
  <c r="O40" i="21"/>
  <c r="O27" i="21"/>
  <c r="O38" i="21"/>
  <c r="G42" i="21"/>
  <c r="J5" i="26"/>
  <c r="G30" i="26" s="1"/>
  <c r="G34" i="26" s="1"/>
  <c r="F42" i="21"/>
  <c r="I5" i="26"/>
  <c r="F30" i="26" s="1"/>
  <c r="F34" i="26" s="1"/>
  <c r="E42" i="21"/>
  <c r="H5" i="26"/>
  <c r="E30" i="26" s="1"/>
  <c r="E34" i="26" s="1"/>
  <c r="H42" i="21"/>
  <c r="K5" i="26"/>
  <c r="H30" i="26" s="1"/>
  <c r="H34" i="26" s="1"/>
  <c r="D42" i="21"/>
  <c r="G5" i="26"/>
  <c r="D30" i="26" s="1"/>
  <c r="D34" i="26" s="1"/>
  <c r="C42" i="21"/>
  <c r="F5" i="26"/>
  <c r="C30" i="26" s="1"/>
  <c r="C34" i="26" s="1"/>
  <c r="I42" i="21"/>
  <c r="L5" i="26"/>
  <c r="I30" i="26" s="1"/>
  <c r="I34" i="26" s="1"/>
  <c r="B42" i="21"/>
  <c r="E5" i="26"/>
  <c r="B30" i="26" s="1"/>
  <c r="B34" i="26" s="1"/>
  <c r="E15" i="26"/>
  <c r="B31" i="26" s="1"/>
  <c r="B44" i="21"/>
  <c r="J42" i="21"/>
  <c r="M5" i="26"/>
  <c r="J30" i="26" s="1"/>
  <c r="J34" i="26" s="1"/>
  <c r="J52" i="21"/>
  <c r="M15" i="26"/>
  <c r="I50" i="21"/>
  <c r="H50" i="21"/>
  <c r="C54" i="21"/>
  <c r="G50" i="21"/>
  <c r="J47" i="21"/>
  <c r="E55" i="21"/>
  <c r="C53" i="21"/>
  <c r="D50" i="21"/>
  <c r="E47" i="21"/>
  <c r="H44" i="21"/>
  <c r="H54" i="21"/>
  <c r="F52" i="21"/>
  <c r="G49" i="21"/>
  <c r="G44" i="21"/>
  <c r="G54" i="21"/>
  <c r="G53" i="21"/>
  <c r="E52" i="21"/>
  <c r="F54" i="21"/>
  <c r="E49" i="21"/>
  <c r="E54" i="21"/>
  <c r="C52" i="21"/>
  <c r="D55" i="21"/>
  <c r="D47" i="21"/>
  <c r="C55" i="21"/>
  <c r="D52" i="21"/>
  <c r="C47" i="21"/>
  <c r="I55" i="21"/>
  <c r="I47" i="21"/>
  <c r="H55" i="21"/>
  <c r="H47" i="21"/>
  <c r="I53" i="21"/>
  <c r="B53" i="21"/>
  <c r="I52" i="21"/>
  <c r="G55" i="21"/>
  <c r="E53" i="21"/>
  <c r="H52" i="21"/>
  <c r="F50" i="21"/>
  <c r="D48" i="21"/>
  <c r="G47" i="21"/>
  <c r="H53" i="21"/>
  <c r="I44" i="21"/>
  <c r="F55" i="21"/>
  <c r="I54" i="21"/>
  <c r="D53" i="21"/>
  <c r="G52" i="21"/>
  <c r="F51" i="21"/>
  <c r="E50" i="21"/>
  <c r="H49" i="21"/>
  <c r="C48" i="21"/>
  <c r="F47" i="21"/>
  <c r="E44" i="21"/>
  <c r="H51" i="21"/>
  <c r="F53" i="21"/>
  <c r="F48" i="21"/>
  <c r="E51" i="21"/>
  <c r="F44" i="21"/>
  <c r="D44" i="21"/>
  <c r="H48" i="21"/>
  <c r="B51" i="21"/>
  <c r="E48" i="21"/>
  <c r="K27" i="22" l="1"/>
  <c r="J27" i="22"/>
  <c r="Q27" i="22"/>
  <c r="L27" i="22"/>
  <c r="M27" i="22"/>
  <c r="O27" i="22"/>
  <c r="P27" i="22"/>
  <c r="N27" i="22"/>
  <c r="R40" i="21"/>
  <c r="I39" i="22"/>
  <c r="B82" i="26" s="1"/>
  <c r="J39" i="22"/>
  <c r="C82" i="26" s="1"/>
  <c r="J49" i="21"/>
  <c r="G51" i="21"/>
  <c r="G48" i="21"/>
  <c r="I49" i="21"/>
  <c r="I48" i="21"/>
  <c r="I27" i="22"/>
  <c r="D51" i="21"/>
  <c r="B35" i="26"/>
  <c r="D35" i="26"/>
  <c r="C35" i="26"/>
  <c r="I35" i="26"/>
  <c r="E35" i="26"/>
  <c r="H35" i="26"/>
  <c r="J35" i="26"/>
  <c r="G35" i="26"/>
  <c r="F35" i="26"/>
  <c r="F49" i="21"/>
  <c r="J31" i="26"/>
  <c r="P40" i="21"/>
  <c r="D49" i="21"/>
  <c r="J48" i="21"/>
  <c r="J51" i="21"/>
  <c r="I33" i="22"/>
  <c r="B52" i="26" s="1"/>
  <c r="Q36" i="22"/>
  <c r="J73" i="26" s="1"/>
  <c r="K36" i="22"/>
  <c r="D73" i="26" s="1"/>
  <c r="N36" i="22"/>
  <c r="G73" i="26" s="1"/>
  <c r="K39" i="22"/>
  <c r="D82" i="26" s="1"/>
  <c r="M39" i="22"/>
  <c r="F82" i="26" s="1"/>
  <c r="Q39" i="22"/>
  <c r="J82" i="26" s="1"/>
  <c r="P39" i="22"/>
  <c r="I82" i="26" s="1"/>
  <c r="N39" i="22"/>
  <c r="G82" i="26" s="1"/>
  <c r="P36" i="22"/>
  <c r="I73" i="26" s="1"/>
  <c r="O36" i="22"/>
  <c r="H73" i="26" s="1"/>
  <c r="L39" i="22"/>
  <c r="E82" i="26" s="1"/>
  <c r="O39" i="22"/>
  <c r="H82" i="26" s="1"/>
  <c r="M36" i="22"/>
  <c r="F73" i="26" s="1"/>
  <c r="L36" i="22"/>
  <c r="E73" i="26" s="1"/>
  <c r="Q33" i="22"/>
  <c r="J52" i="26" s="1"/>
  <c r="M33" i="22"/>
  <c r="F52" i="26" s="1"/>
  <c r="N33" i="22"/>
  <c r="G52" i="26" s="1"/>
  <c r="P33" i="22"/>
  <c r="I52" i="26" s="1"/>
  <c r="O33" i="22"/>
  <c r="H52" i="26" s="1"/>
  <c r="J33" i="22"/>
  <c r="C52" i="26" s="1"/>
  <c r="K33" i="22"/>
  <c r="D52" i="26" s="1"/>
  <c r="L33" i="22"/>
  <c r="E52" i="26" s="1"/>
  <c r="I36" i="22"/>
  <c r="B73" i="26" s="1"/>
  <c r="J36" i="22"/>
  <c r="C73" i="26" s="1"/>
  <c r="C49" i="21"/>
  <c r="J55" i="21"/>
  <c r="I31" i="26"/>
  <c r="F31" i="26"/>
  <c r="H31" i="26"/>
  <c r="G31" i="26"/>
  <c r="E31" i="26"/>
  <c r="C31" i="26"/>
  <c r="D31" i="26"/>
  <c r="M5" i="21"/>
  <c r="G5" i="21" l="1"/>
  <c r="D12" i="21" s="1"/>
  <c r="J12" i="21"/>
  <c r="L2" i="21"/>
  <c r="M2" i="21"/>
  <c r="J5" i="21"/>
  <c r="G12" i="21" s="1"/>
  <c r="L5" i="21"/>
  <c r="I12" i="21" s="1"/>
  <c r="K5" i="21"/>
  <c r="H12" i="21" s="1"/>
  <c r="H5" i="21"/>
  <c r="E12" i="21" s="1"/>
  <c r="I5" i="21"/>
  <c r="F12" i="21" s="1"/>
  <c r="K160" i="16" l="1"/>
  <c r="J160" i="16"/>
  <c r="I160" i="16"/>
  <c r="H160" i="16"/>
  <c r="G160" i="16"/>
  <c r="F160" i="16"/>
  <c r="E160" i="16"/>
  <c r="D160" i="16"/>
  <c r="C160" i="16"/>
  <c r="K159" i="16"/>
  <c r="J159" i="16"/>
  <c r="I159" i="16"/>
  <c r="H159" i="16"/>
  <c r="G159" i="16"/>
  <c r="F159" i="16"/>
  <c r="E159" i="16"/>
  <c r="D159" i="16"/>
  <c r="C159" i="16"/>
  <c r="K158" i="16"/>
  <c r="J158" i="16"/>
  <c r="I158" i="16"/>
  <c r="H158" i="16"/>
  <c r="G158" i="16"/>
  <c r="F158" i="16"/>
  <c r="E158" i="16"/>
  <c r="D158" i="16"/>
  <c r="C158" i="16"/>
  <c r="K157" i="16"/>
  <c r="J157" i="16"/>
  <c r="I157" i="16"/>
  <c r="H157" i="16"/>
  <c r="G157" i="16"/>
  <c r="F157" i="16"/>
  <c r="E157" i="16"/>
  <c r="D157" i="16"/>
  <c r="C157" i="16"/>
  <c r="K156" i="16"/>
  <c r="J156" i="16"/>
  <c r="I156" i="16"/>
  <c r="H156" i="16"/>
  <c r="G156" i="16"/>
  <c r="F156" i="16"/>
  <c r="E156" i="16"/>
  <c r="D156" i="16"/>
  <c r="C156" i="16"/>
  <c r="K155" i="16"/>
  <c r="J155" i="16"/>
  <c r="I155" i="16"/>
  <c r="H155" i="16"/>
  <c r="G155" i="16"/>
  <c r="F155" i="16"/>
  <c r="E155" i="16"/>
  <c r="D155" i="16"/>
  <c r="C155" i="16"/>
  <c r="K154" i="16"/>
  <c r="J154" i="16"/>
  <c r="I154" i="16"/>
  <c r="H154" i="16"/>
  <c r="G154" i="16"/>
  <c r="F154" i="16"/>
  <c r="E154" i="16"/>
  <c r="D154" i="16"/>
  <c r="C154" i="16"/>
  <c r="K153" i="16"/>
  <c r="J153" i="16"/>
  <c r="I153" i="16"/>
  <c r="H153" i="16"/>
  <c r="G153" i="16"/>
  <c r="F153" i="16"/>
  <c r="E153" i="16"/>
  <c r="D153" i="16"/>
  <c r="C153" i="16"/>
  <c r="K152" i="16"/>
  <c r="J152" i="16"/>
  <c r="I152" i="16"/>
  <c r="H152" i="16"/>
  <c r="G152" i="16"/>
  <c r="F152" i="16"/>
  <c r="E152" i="16"/>
  <c r="D152" i="16"/>
  <c r="C152" i="16"/>
  <c r="D137" i="16"/>
  <c r="E137" i="16"/>
  <c r="F137" i="16"/>
  <c r="G137" i="16"/>
  <c r="H137" i="16"/>
  <c r="I137" i="16"/>
  <c r="J137" i="16"/>
  <c r="K137" i="16"/>
  <c r="D138" i="16"/>
  <c r="E138" i="16"/>
  <c r="F138" i="16"/>
  <c r="G138" i="16"/>
  <c r="H138" i="16"/>
  <c r="I138" i="16"/>
  <c r="J138" i="16"/>
  <c r="K138" i="16"/>
  <c r="D139" i="16"/>
  <c r="E139" i="16"/>
  <c r="F139" i="16"/>
  <c r="G139" i="16"/>
  <c r="H139" i="16"/>
  <c r="I139" i="16"/>
  <c r="J139" i="16"/>
  <c r="K139" i="16"/>
  <c r="D140" i="16"/>
  <c r="E140" i="16"/>
  <c r="F140" i="16"/>
  <c r="G140" i="16"/>
  <c r="H140" i="16"/>
  <c r="I140" i="16"/>
  <c r="J140" i="16"/>
  <c r="K140" i="16"/>
  <c r="D141" i="16"/>
  <c r="E141" i="16"/>
  <c r="F141" i="16"/>
  <c r="G141" i="16"/>
  <c r="H141" i="16"/>
  <c r="I141" i="16"/>
  <c r="J141" i="16"/>
  <c r="K141" i="16"/>
  <c r="D142" i="16"/>
  <c r="E142" i="16"/>
  <c r="F142" i="16"/>
  <c r="G142" i="16"/>
  <c r="H142" i="16"/>
  <c r="I142" i="16"/>
  <c r="J142" i="16"/>
  <c r="K142" i="16"/>
  <c r="D143" i="16"/>
  <c r="E143" i="16"/>
  <c r="F143" i="16"/>
  <c r="G143" i="16"/>
  <c r="H143" i="16"/>
  <c r="I143" i="16"/>
  <c r="J143" i="16"/>
  <c r="K143" i="16"/>
  <c r="D144" i="16"/>
  <c r="E144" i="16"/>
  <c r="F144" i="16"/>
  <c r="G144" i="16"/>
  <c r="H144" i="16"/>
  <c r="I144" i="16"/>
  <c r="J144" i="16"/>
  <c r="K144" i="16"/>
  <c r="D145" i="16"/>
  <c r="E145" i="16"/>
  <c r="F145" i="16"/>
  <c r="G145" i="16"/>
  <c r="H145" i="16"/>
  <c r="I145" i="16"/>
  <c r="J145" i="16"/>
  <c r="K145" i="16"/>
  <c r="C138" i="16"/>
  <c r="C139" i="16"/>
  <c r="C140" i="16"/>
  <c r="C141" i="16"/>
  <c r="C142" i="16"/>
  <c r="C143" i="16"/>
  <c r="C144" i="16"/>
  <c r="C145" i="16"/>
  <c r="C137" i="16"/>
  <c r="C22" i="20"/>
  <c r="C37" i="20" s="1"/>
  <c r="J10" i="20" l="1"/>
  <c r="I10" i="20"/>
  <c r="H10" i="20"/>
  <c r="G10" i="20"/>
  <c r="F10" i="20"/>
  <c r="E10" i="20"/>
  <c r="D10" i="20"/>
  <c r="B10" i="20"/>
  <c r="J9" i="20"/>
  <c r="I9" i="20"/>
  <c r="H9" i="20"/>
  <c r="G9" i="20"/>
  <c r="F9" i="20"/>
  <c r="E9" i="20"/>
  <c r="D9" i="20"/>
  <c r="C9" i="20"/>
  <c r="B9" i="20"/>
  <c r="D22" i="20" l="1"/>
  <c r="D37" i="20" s="1"/>
  <c r="E22" i="20"/>
  <c r="E37" i="20" s="1"/>
  <c r="F22" i="20"/>
  <c r="F37" i="20" s="1"/>
  <c r="G22" i="20"/>
  <c r="G37" i="20" s="1"/>
  <c r="H22" i="20"/>
  <c r="H37" i="20" s="1"/>
  <c r="I22" i="20"/>
  <c r="I37" i="20" s="1"/>
  <c r="J22" i="20"/>
  <c r="J37" i="20" s="1"/>
  <c r="C23" i="20"/>
  <c r="C38" i="20" s="1"/>
  <c r="D23" i="20"/>
  <c r="D38" i="20" s="1"/>
  <c r="E23" i="20"/>
  <c r="E38" i="20" s="1"/>
  <c r="F23" i="20"/>
  <c r="F38" i="20" s="1"/>
  <c r="G23" i="20"/>
  <c r="G38" i="20" s="1"/>
  <c r="H23" i="20"/>
  <c r="H38" i="20" s="1"/>
  <c r="I23" i="20"/>
  <c r="I38" i="20" s="1"/>
  <c r="J23" i="20"/>
  <c r="J38" i="20" s="1"/>
  <c r="B23" i="20"/>
  <c r="B38" i="20" s="1"/>
  <c r="B22" i="20"/>
  <c r="B37" i="20" s="1"/>
  <c r="I119" i="16" l="1"/>
  <c r="G119" i="16"/>
  <c r="H119" i="16" s="1"/>
  <c r="E119" i="16"/>
  <c r="F119" i="16" s="1"/>
  <c r="C119" i="16"/>
  <c r="G130" i="16"/>
  <c r="F130" i="16" s="1"/>
  <c r="F131" i="16" s="1"/>
  <c r="H130" i="16"/>
  <c r="H131" i="16"/>
  <c r="F128" i="16"/>
  <c r="F129" i="16" s="1"/>
  <c r="I130" i="16"/>
  <c r="I131" i="16" s="1"/>
  <c r="K119" i="16" s="1"/>
  <c r="E131" i="16"/>
  <c r="D131" i="16"/>
  <c r="C131" i="16"/>
  <c r="G131" i="16"/>
  <c r="C129" i="16"/>
  <c r="D129" i="16"/>
  <c r="E129" i="16"/>
  <c r="G129" i="16"/>
  <c r="H129" i="16"/>
  <c r="I128" i="16"/>
  <c r="I129" i="16" s="1"/>
  <c r="H128" i="16"/>
  <c r="G128" i="16"/>
  <c r="J119" i="16" l="1"/>
  <c r="C69" i="16"/>
  <c r="C7" i="16" l="1"/>
  <c r="I45" i="16" l="1"/>
  <c r="H45" i="16"/>
  <c r="G45" i="16"/>
  <c r="F45" i="16"/>
  <c r="I44" i="16"/>
  <c r="H44" i="16"/>
  <c r="G44" i="16"/>
  <c r="F44" i="16"/>
  <c r="I43" i="16"/>
  <c r="H43" i="16"/>
  <c r="G43" i="16"/>
  <c r="F43" i="16"/>
  <c r="I42" i="16"/>
  <c r="H42" i="16"/>
  <c r="G42" i="16"/>
  <c r="F42" i="16"/>
  <c r="I41" i="16"/>
  <c r="H41" i="16"/>
  <c r="G41" i="16"/>
  <c r="F41" i="16"/>
  <c r="I29" i="16"/>
  <c r="H29" i="16"/>
  <c r="G29" i="16"/>
  <c r="F29" i="16"/>
  <c r="I28" i="16"/>
  <c r="H28" i="16"/>
  <c r="G28" i="16"/>
  <c r="F28" i="16"/>
  <c r="I27" i="16"/>
  <c r="H27" i="16"/>
  <c r="G27" i="16"/>
  <c r="F27" i="16"/>
  <c r="I26" i="16"/>
  <c r="H26" i="16"/>
  <c r="G26" i="16"/>
  <c r="F26" i="16"/>
  <c r="I25" i="16"/>
  <c r="H25" i="16"/>
  <c r="G25" i="16"/>
  <c r="F25" i="16"/>
  <c r="L20" i="19" l="1"/>
  <c r="K20" i="19"/>
  <c r="J20" i="19"/>
  <c r="I20" i="19"/>
  <c r="H20" i="19"/>
  <c r="G20" i="19"/>
  <c r="F20" i="19"/>
  <c r="E20" i="19"/>
  <c r="D20" i="19"/>
  <c r="L19" i="19"/>
  <c r="K19" i="19"/>
  <c r="J19" i="19"/>
  <c r="I19" i="19"/>
  <c r="H19" i="19"/>
  <c r="G19" i="19"/>
  <c r="F19" i="19"/>
  <c r="E19" i="19"/>
  <c r="D19" i="19"/>
  <c r="L18" i="19"/>
  <c r="K18" i="19"/>
  <c r="J18" i="19"/>
  <c r="I18" i="19"/>
  <c r="H18" i="19"/>
  <c r="G18" i="19"/>
  <c r="F18" i="19"/>
  <c r="E18" i="19"/>
  <c r="D18" i="19"/>
  <c r="L17" i="19"/>
  <c r="K17" i="19"/>
  <c r="J17" i="19"/>
  <c r="I17" i="19"/>
  <c r="H17" i="19"/>
  <c r="G17" i="19"/>
  <c r="F17" i="19"/>
  <c r="E17" i="19"/>
  <c r="D17" i="19"/>
  <c r="L16" i="19"/>
  <c r="K16" i="19"/>
  <c r="J16" i="19"/>
  <c r="I16" i="19"/>
  <c r="H16" i="19"/>
  <c r="G16" i="19"/>
  <c r="F16" i="19"/>
  <c r="E16" i="19"/>
  <c r="D16" i="19"/>
  <c r="L15" i="19"/>
  <c r="K15" i="19"/>
  <c r="J15" i="19"/>
  <c r="I15" i="19"/>
  <c r="H15" i="19"/>
  <c r="G15" i="19"/>
  <c r="F15" i="19"/>
  <c r="E15" i="19"/>
  <c r="D15" i="19"/>
  <c r="L14" i="19"/>
  <c r="K14" i="19"/>
  <c r="J14" i="19"/>
  <c r="I14" i="19"/>
  <c r="H14" i="19"/>
  <c r="G14" i="19"/>
  <c r="F14" i="19"/>
  <c r="E14" i="19"/>
  <c r="D14" i="19"/>
  <c r="L13" i="19"/>
  <c r="K13" i="19"/>
  <c r="J13" i="19"/>
  <c r="I13" i="19"/>
  <c r="H13" i="19"/>
  <c r="G13" i="19"/>
  <c r="F13" i="19"/>
  <c r="E13" i="19"/>
  <c r="L12" i="19"/>
  <c r="K12" i="19"/>
  <c r="J12" i="19"/>
  <c r="I12" i="19"/>
  <c r="H12" i="19"/>
  <c r="G12" i="19"/>
  <c r="F12" i="19"/>
  <c r="E12" i="19"/>
  <c r="D12" i="19"/>
  <c r="L11" i="19"/>
  <c r="K11" i="19"/>
  <c r="J11" i="19"/>
  <c r="I11" i="19"/>
  <c r="H11" i="19"/>
  <c r="G11" i="19"/>
  <c r="F11" i="19"/>
  <c r="E11" i="19"/>
  <c r="D11" i="19"/>
  <c r="L10" i="19"/>
  <c r="K10" i="19"/>
  <c r="J10" i="19"/>
  <c r="I10" i="19"/>
  <c r="H10" i="19"/>
  <c r="G10" i="19"/>
  <c r="F10" i="19"/>
  <c r="E10" i="19"/>
  <c r="D10" i="19"/>
  <c r="L9" i="19"/>
  <c r="K9" i="19"/>
  <c r="J9" i="19"/>
  <c r="I9" i="19"/>
  <c r="H9" i="19"/>
  <c r="G9" i="19"/>
  <c r="F9" i="19"/>
  <c r="E9" i="19"/>
  <c r="D9" i="19"/>
  <c r="L8" i="19"/>
  <c r="K8" i="19"/>
  <c r="J8" i="19"/>
  <c r="I8" i="19"/>
  <c r="H8" i="19"/>
  <c r="G8" i="19"/>
  <c r="F8" i="19"/>
  <c r="E8" i="19"/>
  <c r="D8" i="19"/>
  <c r="L7" i="19"/>
  <c r="D7" i="19"/>
  <c r="C7" i="19"/>
  <c r="L6" i="19"/>
  <c r="K6" i="19"/>
  <c r="K7" i="19" s="1"/>
  <c r="J6" i="19"/>
  <c r="J7" i="19" s="1"/>
  <c r="I6" i="19"/>
  <c r="I7" i="19" s="1"/>
  <c r="H6" i="19"/>
  <c r="H7" i="19" s="1"/>
  <c r="G6" i="19"/>
  <c r="G7" i="19" s="1"/>
  <c r="F6" i="19"/>
  <c r="F7" i="19" s="1"/>
  <c r="E6" i="19"/>
  <c r="E7" i="19" s="1"/>
  <c r="D6" i="19"/>
  <c r="L5" i="19"/>
  <c r="K5" i="19"/>
  <c r="J5" i="19"/>
  <c r="I5" i="19"/>
  <c r="H5" i="19"/>
  <c r="G5" i="19"/>
  <c r="F5" i="19"/>
  <c r="E5" i="19"/>
  <c r="D5" i="19"/>
  <c r="L4" i="19"/>
  <c r="K4" i="19"/>
  <c r="J4" i="19"/>
  <c r="I4" i="19"/>
  <c r="H4" i="19"/>
  <c r="G4" i="19"/>
  <c r="F4" i="19"/>
  <c r="E4" i="19"/>
  <c r="D4" i="19"/>
  <c r="L3" i="19"/>
  <c r="K3" i="19"/>
  <c r="J3" i="19"/>
  <c r="I3" i="19"/>
  <c r="H3" i="19"/>
  <c r="G3" i="19"/>
  <c r="F3" i="19"/>
  <c r="E3" i="19"/>
  <c r="D3" i="19"/>
  <c r="L44" i="16" l="1"/>
  <c r="L43" i="16"/>
  <c r="A34" i="16" l="1"/>
  <c r="A42" i="16" s="1"/>
  <c r="A50" i="16" s="1"/>
  <c r="A35" i="16"/>
  <c r="A36" i="16"/>
  <c r="A37" i="16"/>
  <c r="A45" i="16" s="1"/>
  <c r="A53" i="16" s="1"/>
  <c r="A33" i="16"/>
  <c r="A41" i="16" s="1"/>
  <c r="A49" i="16" s="1"/>
  <c r="F31" i="16"/>
  <c r="F39" i="16" s="1"/>
  <c r="F47" i="16" s="1"/>
  <c r="C32" i="16"/>
  <c r="C40" i="16" s="1"/>
  <c r="D32" i="16"/>
  <c r="D40" i="16" s="1"/>
  <c r="E32" i="16"/>
  <c r="E40" i="16" s="1"/>
  <c r="F32" i="16"/>
  <c r="F40" i="16" s="1"/>
  <c r="F48" i="16" s="1"/>
  <c r="G32" i="16"/>
  <c r="G40" i="16" s="1"/>
  <c r="G48" i="16" s="1"/>
  <c r="H32" i="16"/>
  <c r="H40" i="16" s="1"/>
  <c r="H48" i="16" s="1"/>
  <c r="I32" i="16"/>
  <c r="I40" i="16" s="1"/>
  <c r="I48" i="16" s="1"/>
  <c r="B32" i="16"/>
  <c r="B40" i="16" s="1"/>
  <c r="B31" i="16"/>
  <c r="B39" i="16" s="1"/>
  <c r="I49" i="16" l="1"/>
  <c r="G49" i="16"/>
  <c r="H49" i="16"/>
  <c r="F49" i="16"/>
  <c r="A44" i="16"/>
  <c r="A52" i="16" s="1"/>
  <c r="I52" i="16"/>
  <c r="R27" i="16" s="1"/>
  <c r="G52" i="16"/>
  <c r="P27" i="16" s="1"/>
  <c r="H52" i="16"/>
  <c r="Q27" i="16" s="1"/>
  <c r="F52" i="16"/>
  <c r="A43" i="16"/>
  <c r="A51" i="16" s="1"/>
  <c r="I51" i="16"/>
  <c r="G51" i="16"/>
  <c r="H51" i="16"/>
  <c r="F51" i="16"/>
  <c r="I50" i="16"/>
  <c r="R24" i="16" s="1"/>
  <c r="G50" i="16"/>
  <c r="P24" i="16" s="1"/>
  <c r="H50" i="16"/>
  <c r="F50" i="16"/>
  <c r="I53" i="16"/>
  <c r="G53" i="16"/>
  <c r="H53" i="16"/>
  <c r="F53" i="16"/>
  <c r="Q23" i="16"/>
  <c r="O23" i="16"/>
  <c r="P26" i="16"/>
  <c r="P23" i="16"/>
  <c r="Q26" i="16"/>
  <c r="O26" i="16"/>
  <c r="O24" i="16" l="1"/>
  <c r="Q24" i="16"/>
  <c r="O27" i="16"/>
  <c r="R23" i="16"/>
  <c r="R26" i="16"/>
  <c r="C33" i="18"/>
  <c r="D33" i="18"/>
  <c r="E33" i="18"/>
  <c r="F33" i="18"/>
  <c r="B33" i="18"/>
  <c r="C35" i="18"/>
  <c r="D35" i="18"/>
  <c r="E35" i="18"/>
  <c r="F35" i="18"/>
  <c r="C36" i="18"/>
  <c r="D36" i="18"/>
  <c r="E36" i="18"/>
  <c r="F36" i="18"/>
  <c r="I36" i="18" s="1"/>
  <c r="C37" i="18"/>
  <c r="D37" i="18"/>
  <c r="E37" i="18"/>
  <c r="F37" i="18"/>
  <c r="C38" i="18"/>
  <c r="D38" i="18"/>
  <c r="E38" i="18"/>
  <c r="F38" i="18"/>
  <c r="C39" i="18"/>
  <c r="D39" i="18"/>
  <c r="E39" i="18"/>
  <c r="F39" i="18"/>
  <c r="C40" i="18"/>
  <c r="D40" i="18"/>
  <c r="E40" i="18"/>
  <c r="F40" i="18"/>
  <c r="C41" i="18"/>
  <c r="D41" i="18"/>
  <c r="E41" i="18"/>
  <c r="F41" i="18"/>
  <c r="I41" i="18" s="1"/>
  <c r="C42" i="18"/>
  <c r="D42" i="18"/>
  <c r="E42" i="18"/>
  <c r="F42" i="18"/>
  <c r="C43" i="18"/>
  <c r="D43" i="18"/>
  <c r="E43" i="18"/>
  <c r="F43" i="18"/>
  <c r="C44" i="18"/>
  <c r="D44" i="18"/>
  <c r="E44" i="18"/>
  <c r="F44" i="18"/>
  <c r="C45" i="18"/>
  <c r="D45" i="18"/>
  <c r="E45" i="18"/>
  <c r="F45" i="18"/>
  <c r="C46" i="18"/>
  <c r="D46" i="18"/>
  <c r="E46" i="18"/>
  <c r="F46" i="18"/>
  <c r="I46" i="18" s="1"/>
  <c r="C47" i="18"/>
  <c r="D47" i="18"/>
  <c r="E47" i="18"/>
  <c r="F47" i="18"/>
  <c r="C48" i="18"/>
  <c r="D48" i="18"/>
  <c r="E48" i="18"/>
  <c r="F48" i="18"/>
  <c r="C49" i="18"/>
  <c r="D49" i="18"/>
  <c r="E49" i="18"/>
  <c r="F49" i="18"/>
  <c r="C50" i="18"/>
  <c r="D50" i="18"/>
  <c r="E50" i="18"/>
  <c r="F50" i="18"/>
  <c r="C51" i="18"/>
  <c r="D51" i="18"/>
  <c r="E51" i="18"/>
  <c r="F51" i="18"/>
  <c r="I51" i="18" s="1"/>
  <c r="D34" i="18"/>
  <c r="E34" i="18"/>
  <c r="F34" i="18"/>
  <c r="I34" i="18" s="1"/>
  <c r="C34" i="18"/>
  <c r="C6" i="18"/>
  <c r="D104" i="16" s="1"/>
  <c r="C7" i="18"/>
  <c r="D7" i="18"/>
  <c r="E7" i="18"/>
  <c r="F7" i="18"/>
  <c r="C8" i="18"/>
  <c r="D105" i="16" s="1"/>
  <c r="D8" i="18"/>
  <c r="E105" i="16" s="1"/>
  <c r="E8" i="18"/>
  <c r="F105" i="16" s="1"/>
  <c r="F8" i="18"/>
  <c r="C9" i="18"/>
  <c r="D9" i="18"/>
  <c r="E9" i="18"/>
  <c r="F9" i="18"/>
  <c r="C10" i="18"/>
  <c r="D10" i="18"/>
  <c r="E10" i="18"/>
  <c r="F10" i="18"/>
  <c r="C11" i="18"/>
  <c r="D11" i="18"/>
  <c r="E11" i="18"/>
  <c r="F11" i="18"/>
  <c r="C12" i="18"/>
  <c r="D12" i="18"/>
  <c r="E12" i="18"/>
  <c r="F12" i="18"/>
  <c r="C13" i="18"/>
  <c r="D106" i="16" s="1"/>
  <c r="D13" i="18"/>
  <c r="E106" i="16" s="1"/>
  <c r="E13" i="18"/>
  <c r="F106" i="16" s="1"/>
  <c r="F13" i="18"/>
  <c r="C14" i="18"/>
  <c r="D14" i="18"/>
  <c r="E14" i="18"/>
  <c r="F14" i="18"/>
  <c r="C15" i="18"/>
  <c r="D15" i="18"/>
  <c r="E15" i="18"/>
  <c r="F15" i="18"/>
  <c r="C16" i="18"/>
  <c r="D16" i="18"/>
  <c r="E16" i="18"/>
  <c r="F16" i="18"/>
  <c r="C17" i="18"/>
  <c r="D17" i="18"/>
  <c r="E17" i="18"/>
  <c r="F17" i="18"/>
  <c r="C18" i="18"/>
  <c r="D107" i="16" s="1"/>
  <c r="D18" i="18"/>
  <c r="E107" i="16" s="1"/>
  <c r="E18" i="18"/>
  <c r="F107" i="16" s="1"/>
  <c r="F18" i="18"/>
  <c r="C19" i="18"/>
  <c r="D19" i="18"/>
  <c r="E19" i="18"/>
  <c r="F19" i="18"/>
  <c r="C20" i="18"/>
  <c r="D20" i="18"/>
  <c r="E20" i="18"/>
  <c r="F20" i="18"/>
  <c r="C21" i="18"/>
  <c r="D21" i="18"/>
  <c r="E21" i="18"/>
  <c r="F21" i="18"/>
  <c r="C22" i="18"/>
  <c r="D22" i="18"/>
  <c r="E22" i="18"/>
  <c r="F22" i="18"/>
  <c r="C23" i="18"/>
  <c r="D108" i="16" s="1"/>
  <c r="D23" i="18"/>
  <c r="E108" i="16" s="1"/>
  <c r="E23" i="18"/>
  <c r="F108" i="16" s="1"/>
  <c r="F23" i="18"/>
  <c r="D6" i="18"/>
  <c r="E104" i="16" s="1"/>
  <c r="E6" i="18"/>
  <c r="F104" i="16" s="1"/>
  <c r="F6" i="18"/>
  <c r="I6" i="18" l="1"/>
  <c r="G104" i="16"/>
  <c r="C26" i="18"/>
  <c r="H8" i="18" s="1"/>
  <c r="I23" i="18"/>
  <c r="G108" i="16"/>
  <c r="I13" i="18"/>
  <c r="G106" i="16"/>
  <c r="I18" i="18"/>
  <c r="G107" i="16"/>
  <c r="I8" i="18"/>
  <c r="G8" i="18"/>
  <c r="G105" i="16"/>
  <c r="B13" i="16"/>
  <c r="C13" i="16"/>
  <c r="B14" i="16"/>
  <c r="C14" i="16"/>
  <c r="D111" i="16" l="1" a="1"/>
  <c r="F112" i="16" s="1"/>
  <c r="C57" i="18"/>
  <c r="C56" i="18"/>
  <c r="C55" i="18"/>
  <c r="C54" i="18"/>
  <c r="H36" i="18" s="1"/>
  <c r="G51" i="18"/>
  <c r="G50" i="18"/>
  <c r="G49" i="18"/>
  <c r="G48" i="18"/>
  <c r="G47" i="18"/>
  <c r="H46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H33" i="18"/>
  <c r="C8" i="16"/>
  <c r="C18" i="16"/>
  <c r="C45" i="16" l="1"/>
  <c r="C44" i="16"/>
  <c r="C42" i="16"/>
  <c r="C43" i="16"/>
  <c r="C41" i="16"/>
  <c r="H113" i="16"/>
  <c r="E114" i="16"/>
  <c r="D111" i="16"/>
  <c r="G114" i="16"/>
  <c r="E112" i="16"/>
  <c r="D114" i="16"/>
  <c r="E111" i="16"/>
  <c r="G112" i="16"/>
  <c r="F111" i="16"/>
  <c r="D112" i="16"/>
  <c r="D113" i="16"/>
  <c r="G113" i="16"/>
  <c r="H111" i="16"/>
  <c r="H112" i="16"/>
  <c r="F113" i="16"/>
  <c r="E113" i="16"/>
  <c r="F114" i="16"/>
  <c r="G111" i="16"/>
  <c r="H114" i="16"/>
  <c r="C26" i="16"/>
  <c r="C25" i="16"/>
  <c r="C27" i="16"/>
  <c r="C28" i="16"/>
  <c r="C29" i="16"/>
  <c r="C19" i="16"/>
  <c r="H41" i="18"/>
  <c r="H51" i="18"/>
  <c r="J5" i="16" l="1"/>
  <c r="B6" i="16"/>
  <c r="D6" i="16"/>
  <c r="E6" i="16"/>
  <c r="F6" i="16"/>
  <c r="G6" i="16"/>
  <c r="H6" i="16"/>
  <c r="I6" i="16"/>
  <c r="J6" i="16"/>
  <c r="K6" i="16"/>
  <c r="L6" i="16"/>
  <c r="M6" i="16"/>
  <c r="B7" i="16"/>
  <c r="D7" i="16"/>
  <c r="D19" i="16" s="1"/>
  <c r="E7" i="16"/>
  <c r="B9" i="16"/>
  <c r="B10" i="16"/>
  <c r="A7" i="16"/>
  <c r="A8" i="16"/>
  <c r="A13" i="16"/>
  <c r="A4" i="16"/>
  <c r="B3" i="16"/>
  <c r="I18" i="16" l="1"/>
  <c r="F18" i="16"/>
  <c r="K18" i="16"/>
  <c r="B18" i="16"/>
  <c r="H18" i="16"/>
  <c r="G18" i="16"/>
  <c r="M18" i="16"/>
  <c r="E18" i="16"/>
  <c r="L18" i="16"/>
  <c r="J18" i="16"/>
  <c r="B8" i="16"/>
  <c r="B26" i="16"/>
  <c r="D45" i="16"/>
  <c r="D43" i="16"/>
  <c r="D41" i="16"/>
  <c r="D44" i="16"/>
  <c r="D42" i="16"/>
  <c r="E45" i="16"/>
  <c r="E43" i="16"/>
  <c r="E41" i="16"/>
  <c r="E44" i="16"/>
  <c r="E42" i="16"/>
  <c r="B45" i="16"/>
  <c r="B43" i="16"/>
  <c r="B41" i="16"/>
  <c r="B44" i="16"/>
  <c r="B42" i="16"/>
  <c r="E8" i="16"/>
  <c r="E29" i="16"/>
  <c r="E27" i="16"/>
  <c r="E28" i="16"/>
  <c r="E25" i="16"/>
  <c r="E26" i="16"/>
  <c r="B27" i="16"/>
  <c r="B28" i="16"/>
  <c r="B29" i="16"/>
  <c r="B37" i="16" s="1"/>
  <c r="B25" i="16"/>
  <c r="D25" i="16"/>
  <c r="D26" i="16"/>
  <c r="D27" i="16"/>
  <c r="D28" i="16"/>
  <c r="D29" i="16"/>
  <c r="B16" i="16"/>
  <c r="C16" i="16"/>
  <c r="D8" i="16"/>
  <c r="B19" i="16"/>
  <c r="B20" i="16" s="1"/>
  <c r="G7" i="16"/>
  <c r="I7" i="16"/>
  <c r="F7" i="16"/>
  <c r="E19" i="16"/>
  <c r="E20" i="16" s="1"/>
  <c r="E10" i="16"/>
  <c r="E9" i="16"/>
  <c r="D10" i="16"/>
  <c r="D9" i="16"/>
  <c r="H5" i="18"/>
  <c r="G23" i="18"/>
  <c r="C29" i="18"/>
  <c r="H23" i="18" s="1"/>
  <c r="C28" i="18"/>
  <c r="H18" i="18" s="1"/>
  <c r="C27" i="18"/>
  <c r="H13" i="18" s="1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7" i="18"/>
  <c r="G6" i="18"/>
  <c r="E37" i="16" l="1"/>
  <c r="B34" i="16"/>
  <c r="E33" i="16"/>
  <c r="B33" i="16"/>
  <c r="E34" i="16"/>
  <c r="D34" i="16"/>
  <c r="F34" i="16"/>
  <c r="D78" i="16" s="1"/>
  <c r="G34" i="16"/>
  <c r="E78" i="16" s="1"/>
  <c r="I34" i="16"/>
  <c r="G78" i="16" s="1"/>
  <c r="H34" i="16"/>
  <c r="F78" i="16" s="1"/>
  <c r="C34" i="16"/>
  <c r="E36" i="16"/>
  <c r="D33" i="16"/>
  <c r="H33" i="16"/>
  <c r="I33" i="16"/>
  <c r="G74" i="16" s="1"/>
  <c r="G75" i="16" s="1"/>
  <c r="G76" i="16" s="1"/>
  <c r="F33" i="16"/>
  <c r="G33" i="16"/>
  <c r="E74" i="16" s="1"/>
  <c r="E75" i="16" s="1"/>
  <c r="C33" i="16"/>
  <c r="E35" i="16"/>
  <c r="D36" i="16"/>
  <c r="F36" i="16"/>
  <c r="D82" i="16" s="1"/>
  <c r="H36" i="16"/>
  <c r="F82" i="16" s="1"/>
  <c r="G36" i="16"/>
  <c r="E82" i="16" s="1"/>
  <c r="I36" i="16"/>
  <c r="G82" i="16" s="1"/>
  <c r="C36" i="16"/>
  <c r="B36" i="16"/>
  <c r="D35" i="16"/>
  <c r="H35" i="16"/>
  <c r="I35" i="16"/>
  <c r="G35" i="16"/>
  <c r="F35" i="16"/>
  <c r="C35" i="16"/>
  <c r="D37" i="16"/>
  <c r="I37" i="16"/>
  <c r="G37" i="16"/>
  <c r="F37" i="16"/>
  <c r="H37" i="16"/>
  <c r="C37" i="16"/>
  <c r="B35" i="16"/>
  <c r="D20" i="16"/>
  <c r="C70" i="16" s="1"/>
  <c r="C20" i="16"/>
  <c r="C75" i="16"/>
  <c r="C89" i="16"/>
  <c r="C94" i="16" s="1"/>
  <c r="E89" i="16"/>
  <c r="E94" i="16" s="1"/>
  <c r="G8" i="16"/>
  <c r="B89" i="16"/>
  <c r="B94" i="16" s="1"/>
  <c r="D89" i="16"/>
  <c r="D94" i="16" s="1"/>
  <c r="G89" i="16"/>
  <c r="G94" i="16" s="1"/>
  <c r="F89" i="16"/>
  <c r="F94" i="16" s="1"/>
  <c r="H89" i="16"/>
  <c r="H94" i="16" s="1"/>
  <c r="D91" i="16"/>
  <c r="D95" i="16"/>
  <c r="D90" i="16"/>
  <c r="K89" i="16"/>
  <c r="C90" i="16"/>
  <c r="C95" i="16"/>
  <c r="B95" i="16"/>
  <c r="B97" i="16" s="1"/>
  <c r="D27" i="18"/>
  <c r="D56" i="18"/>
  <c r="D54" i="18"/>
  <c r="D55" i="18"/>
  <c r="D57" i="18"/>
  <c r="D26" i="18"/>
  <c r="D29" i="18"/>
  <c r="D28" i="18"/>
  <c r="I8" i="16"/>
  <c r="J7" i="16"/>
  <c r="F19" i="16"/>
  <c r="F20" i="16" s="1"/>
  <c r="F8" i="16"/>
  <c r="F10" i="16"/>
  <c r="F9" i="16"/>
  <c r="D11" i="16"/>
  <c r="F11" i="16"/>
  <c r="E11" i="16"/>
  <c r="B74" i="16"/>
  <c r="G85" i="16" l="1"/>
  <c r="D74" i="16"/>
  <c r="D75" i="16" s="1"/>
  <c r="F74" i="16"/>
  <c r="F85" i="16" s="1"/>
  <c r="F79" i="16"/>
  <c r="G79" i="16"/>
  <c r="G80" i="16" s="1"/>
  <c r="G84" i="16"/>
  <c r="E85" i="16"/>
  <c r="D79" i="16"/>
  <c r="E84" i="16"/>
  <c r="E79" i="16"/>
  <c r="J8" i="16"/>
  <c r="C96" i="16"/>
  <c r="E95" i="16"/>
  <c r="E91" i="16"/>
  <c r="E90" i="16"/>
  <c r="D96" i="16"/>
  <c r="D97" i="16"/>
  <c r="D98" i="16" s="1"/>
  <c r="K7" i="16"/>
  <c r="B63" i="16"/>
  <c r="B78" i="16" s="1"/>
  <c r="B82" i="16" s="1"/>
  <c r="D85" i="16" l="1"/>
  <c r="F84" i="16"/>
  <c r="D84" i="16"/>
  <c r="F75" i="16"/>
  <c r="D70" i="16"/>
  <c r="C91" i="16"/>
  <c r="E96" i="16"/>
  <c r="E97" i="16"/>
  <c r="E98" i="16" s="1"/>
  <c r="L7" i="16"/>
  <c r="K8" i="16"/>
  <c r="C97" i="16" l="1"/>
  <c r="C98" i="16" s="1"/>
  <c r="M7" i="16"/>
  <c r="L8" i="16"/>
  <c r="E58" i="16"/>
  <c r="F58" i="16"/>
  <c r="G58" i="16"/>
  <c r="H58" i="16"/>
  <c r="I58" i="16"/>
  <c r="J58" i="16"/>
  <c r="K58" i="16"/>
  <c r="L58" i="16"/>
  <c r="C58" i="16"/>
  <c r="B57" i="16"/>
  <c r="B61" i="16" s="1"/>
  <c r="M8" i="16" l="1"/>
  <c r="C79" i="16"/>
  <c r="C85" i="16"/>
  <c r="C84" i="16"/>
  <c r="G73" i="16"/>
  <c r="H62" i="16"/>
  <c r="G77" i="16" s="1"/>
  <c r="G81" i="16" s="1"/>
  <c r="F73" i="16"/>
  <c r="G62" i="16"/>
  <c r="F77" i="16" s="1"/>
  <c r="F81" i="16" s="1"/>
  <c r="K73" i="16"/>
  <c r="L62" i="16"/>
  <c r="K77" i="16" s="1"/>
  <c r="K81" i="16" s="1"/>
  <c r="C73" i="16"/>
  <c r="D62" i="16"/>
  <c r="C77" i="16" s="1"/>
  <c r="C81" i="16" s="1"/>
  <c r="J73" i="16"/>
  <c r="K62" i="16"/>
  <c r="J77" i="16" s="1"/>
  <c r="J81" i="16" s="1"/>
  <c r="I73" i="16"/>
  <c r="J62" i="16"/>
  <c r="I77" i="16" s="1"/>
  <c r="I81" i="16" s="1"/>
  <c r="H73" i="16"/>
  <c r="I62" i="16"/>
  <c r="H77" i="16" s="1"/>
  <c r="H81" i="16" s="1"/>
  <c r="E73" i="16"/>
  <c r="F62" i="16"/>
  <c r="E77" i="16" s="1"/>
  <c r="E81" i="16" s="1"/>
  <c r="C62" i="16"/>
  <c r="D73" i="16"/>
  <c r="E62" i="16"/>
  <c r="D77" i="16" s="1"/>
  <c r="D81" i="16" s="1"/>
  <c r="H115" i="15"/>
  <c r="D114" i="15"/>
  <c r="G111" i="15"/>
  <c r="F111" i="15"/>
  <c r="E111" i="15"/>
  <c r="D111" i="15"/>
  <c r="C111" i="15"/>
  <c r="A50" i="15" l="1"/>
  <c r="A91" i="15" s="1"/>
  <c r="B56" i="15"/>
  <c r="L49" i="15"/>
  <c r="M49" i="15"/>
  <c r="N49" i="15"/>
  <c r="O49" i="15"/>
  <c r="P49" i="15"/>
  <c r="Q49" i="15"/>
  <c r="R49" i="15"/>
  <c r="S49" i="15"/>
  <c r="C81" i="15" l="1"/>
  <c r="C90" i="15" s="1"/>
  <c r="D81" i="15"/>
  <c r="D90" i="15" s="1"/>
  <c r="E81" i="15"/>
  <c r="E90" i="15" s="1"/>
  <c r="F81" i="15"/>
  <c r="F90" i="15" s="1"/>
  <c r="G81" i="15"/>
  <c r="G90" i="15" s="1"/>
  <c r="H81" i="15"/>
  <c r="H90" i="15" s="1"/>
  <c r="I81" i="15"/>
  <c r="I90" i="15" s="1"/>
  <c r="J81" i="15"/>
  <c r="J90" i="15" s="1"/>
  <c r="K81" i="15"/>
  <c r="K90" i="15" s="1"/>
  <c r="L81" i="15"/>
  <c r="L90" i="15" s="1"/>
  <c r="B79" i="15"/>
  <c r="B88" i="15" s="1"/>
  <c r="B97" i="15" s="1"/>
  <c r="B66" i="15"/>
  <c r="L59" i="15"/>
  <c r="M59" i="15"/>
  <c r="N59" i="15"/>
  <c r="O59" i="15"/>
  <c r="P59" i="15"/>
  <c r="Q59" i="15"/>
  <c r="R59" i="15"/>
  <c r="S59" i="15"/>
  <c r="I13" i="15"/>
  <c r="I12" i="15"/>
  <c r="D14" i="15"/>
  <c r="D9" i="15"/>
  <c r="J11" i="15" l="1"/>
  <c r="C29" i="15"/>
  <c r="C30" i="15" s="1"/>
  <c r="J12" i="15"/>
  <c r="J13" i="15"/>
  <c r="D15" i="15"/>
  <c r="D16" i="15" s="1"/>
  <c r="C21" i="15"/>
  <c r="C25" i="15"/>
  <c r="C26" i="15" s="1"/>
  <c r="B25" i="15"/>
  <c r="D25" i="15" l="1"/>
  <c r="C22" i="15"/>
  <c r="D29" i="15"/>
  <c r="B21" i="15"/>
  <c r="C23" i="15" s="1"/>
  <c r="C24" i="15" s="1"/>
  <c r="B29" i="15"/>
  <c r="C31" i="15" s="1"/>
  <c r="C32" i="15" s="1"/>
  <c r="D21" i="15"/>
  <c r="E21" i="15" s="1"/>
  <c r="C27" i="15"/>
  <c r="C28" i="15" s="1"/>
  <c r="A21" i="14"/>
  <c r="A31" i="14" s="1"/>
  <c r="A41" i="14" s="1"/>
  <c r="A51" i="14" s="1"/>
  <c r="A61" i="14" s="1"/>
  <c r="N3" i="14"/>
  <c r="A22" i="9"/>
  <c r="F21" i="15" l="1"/>
  <c r="F22" i="15" s="1"/>
  <c r="E22" i="15"/>
  <c r="E29" i="15"/>
  <c r="D26" i="15"/>
  <c r="D27" i="15"/>
  <c r="D28" i="15" s="1"/>
  <c r="D23" i="15"/>
  <c r="D22" i="15"/>
  <c r="D31" i="15"/>
  <c r="D32" i="15" s="1"/>
  <c r="D30" i="15"/>
  <c r="E25" i="15"/>
  <c r="E26" i="15" s="1"/>
  <c r="F25" i="15"/>
  <c r="F26" i="15" s="1"/>
  <c r="E23" i="15"/>
  <c r="E24" i="15" s="1"/>
  <c r="D24" i="15" l="1"/>
  <c r="D113" i="15"/>
  <c r="C108" i="15" s="1"/>
  <c r="E27" i="15"/>
  <c r="E28" i="15" s="1"/>
  <c r="E30" i="15"/>
  <c r="F29" i="15"/>
  <c r="E31" i="15"/>
  <c r="E32" i="15" s="1"/>
  <c r="G25" i="15"/>
  <c r="G26" i="15" s="1"/>
  <c r="F27" i="15"/>
  <c r="F28" i="15" s="1"/>
  <c r="G21" i="15"/>
  <c r="G22" i="15" s="1"/>
  <c r="F23" i="15"/>
  <c r="F24" i="15" s="1"/>
  <c r="D112" i="15" l="1"/>
  <c r="D115" i="15"/>
  <c r="C112" i="15"/>
  <c r="C115" i="15" s="1"/>
  <c r="G29" i="15"/>
  <c r="F30" i="15"/>
  <c r="F31" i="15"/>
  <c r="F32" i="15" s="1"/>
  <c r="H25" i="15"/>
  <c r="H26" i="15" s="1"/>
  <c r="G27" i="15"/>
  <c r="G28" i="15" s="1"/>
  <c r="G23" i="15"/>
  <c r="G24" i="15" s="1"/>
  <c r="H21" i="15"/>
  <c r="H22" i="15" s="1"/>
  <c r="E115" i="15" l="1"/>
  <c r="D116" i="15"/>
  <c r="D117" i="15" s="1"/>
  <c r="E112" i="15"/>
  <c r="D110" i="15"/>
  <c r="H29" i="15"/>
  <c r="G30" i="15"/>
  <c r="G31" i="15"/>
  <c r="G32" i="15" s="1"/>
  <c r="H27" i="15"/>
  <c r="H28" i="15" s="1"/>
  <c r="I25" i="15"/>
  <c r="I26" i="15" s="1"/>
  <c r="H23" i="15"/>
  <c r="H24" i="15" s="1"/>
  <c r="I21" i="15"/>
  <c r="I22" i="15" s="1"/>
  <c r="F112" i="15" l="1"/>
  <c r="E113" i="15"/>
  <c r="E114" i="15" s="1"/>
  <c r="F115" i="15"/>
  <c r="E116" i="15"/>
  <c r="E117" i="15" s="1"/>
  <c r="I29" i="15"/>
  <c r="H30" i="15"/>
  <c r="H31" i="15"/>
  <c r="H32" i="15" s="1"/>
  <c r="I27" i="15"/>
  <c r="I28" i="15" s="1"/>
  <c r="J25" i="15"/>
  <c r="J26" i="15" s="1"/>
  <c r="J21" i="15"/>
  <c r="J22" i="15" s="1"/>
  <c r="I23" i="15"/>
  <c r="I24" i="15" s="1"/>
  <c r="G115" i="15" l="1"/>
  <c r="F116" i="15"/>
  <c r="F117" i="15" s="1"/>
  <c r="F113" i="15"/>
  <c r="F114" i="15" s="1"/>
  <c r="G112" i="15"/>
  <c r="J29" i="15"/>
  <c r="I30" i="15"/>
  <c r="I31" i="15"/>
  <c r="I32" i="15" s="1"/>
  <c r="K25" i="15"/>
  <c r="K26" i="15" s="1"/>
  <c r="J27" i="15"/>
  <c r="J28" i="15" s="1"/>
  <c r="K21" i="15"/>
  <c r="K22" i="15" s="1"/>
  <c r="J23" i="15"/>
  <c r="J24" i="15" s="1"/>
  <c r="G113" i="15" l="1"/>
  <c r="G114" i="15" s="1"/>
  <c r="G116" i="15"/>
  <c r="G117" i="15" s="1"/>
  <c r="C107" i="15"/>
  <c r="H112" i="15" s="1"/>
  <c r="I112" i="15" s="1"/>
  <c r="K29" i="15"/>
  <c r="J30" i="15"/>
  <c r="J31" i="15"/>
  <c r="J32" i="15" s="1"/>
  <c r="K23" i="15"/>
  <c r="K24" i="15" s="1"/>
  <c r="N21" i="15"/>
  <c r="K27" i="15"/>
  <c r="K28" i="15" s="1"/>
  <c r="N25" i="15"/>
  <c r="K30" i="15" l="1"/>
  <c r="N29" i="15"/>
  <c r="K31" i="15"/>
  <c r="K32" i="15" s="1"/>
  <c r="D4" i="13" l="1"/>
  <c r="B35" i="13"/>
  <c r="B34" i="13"/>
  <c r="B33" i="13"/>
  <c r="B33" i="12" l="1"/>
  <c r="B34" i="12"/>
  <c r="B35" i="12"/>
  <c r="D4" i="12"/>
  <c r="BL22" i="9" l="1"/>
  <c r="L19" i="10" l="1"/>
  <c r="K19" i="10"/>
  <c r="J19" i="10"/>
  <c r="I19" i="10"/>
  <c r="H19" i="10"/>
  <c r="G19" i="10"/>
  <c r="F19" i="10"/>
  <c r="E19" i="10"/>
  <c r="D19" i="10"/>
  <c r="L18" i="10"/>
  <c r="K18" i="10"/>
  <c r="J18" i="10"/>
  <c r="I18" i="10"/>
  <c r="H18" i="10"/>
  <c r="G18" i="10"/>
  <c r="F18" i="10"/>
  <c r="E18" i="10"/>
  <c r="D18" i="10"/>
  <c r="L17" i="10"/>
  <c r="K17" i="10"/>
  <c r="J17" i="10"/>
  <c r="I17" i="10"/>
  <c r="H17" i="10"/>
  <c r="G17" i="10"/>
  <c r="F17" i="10"/>
  <c r="E17" i="10"/>
  <c r="D17" i="10"/>
  <c r="L16" i="10"/>
  <c r="K16" i="10"/>
  <c r="J16" i="10"/>
  <c r="I16" i="10"/>
  <c r="H16" i="10"/>
  <c r="G16" i="10"/>
  <c r="F16" i="10"/>
  <c r="E16" i="10"/>
  <c r="D16" i="10"/>
  <c r="L15" i="10"/>
  <c r="K15" i="10"/>
  <c r="J15" i="10"/>
  <c r="I15" i="10"/>
  <c r="H15" i="10"/>
  <c r="G15" i="10"/>
  <c r="F15" i="10"/>
  <c r="E15" i="10"/>
  <c r="D15" i="10"/>
  <c r="L14" i="10"/>
  <c r="K14" i="10"/>
  <c r="J14" i="10"/>
  <c r="I14" i="10"/>
  <c r="H14" i="10"/>
  <c r="G14" i="10"/>
  <c r="F14" i="10"/>
  <c r="E14" i="10"/>
  <c r="D14" i="10"/>
  <c r="L13" i="10"/>
  <c r="K13" i="10"/>
  <c r="J13" i="10"/>
  <c r="I13" i="10"/>
  <c r="H13" i="10"/>
  <c r="G13" i="10"/>
  <c r="F13" i="10"/>
  <c r="E13" i="10"/>
  <c r="D13" i="10"/>
  <c r="L12" i="10"/>
  <c r="K12" i="10"/>
  <c r="J12" i="10"/>
  <c r="I12" i="10"/>
  <c r="H12" i="10"/>
  <c r="G12" i="10"/>
  <c r="F12" i="10"/>
  <c r="E12" i="10"/>
  <c r="L11" i="10"/>
  <c r="K11" i="10"/>
  <c r="J11" i="10"/>
  <c r="I11" i="10"/>
  <c r="H11" i="10"/>
  <c r="G11" i="10"/>
  <c r="F11" i="10"/>
  <c r="E11" i="10"/>
  <c r="D11" i="10"/>
  <c r="L10" i="10"/>
  <c r="K10" i="10"/>
  <c r="J10" i="10"/>
  <c r="I10" i="10"/>
  <c r="H10" i="10"/>
  <c r="G10" i="10"/>
  <c r="F10" i="10"/>
  <c r="E10" i="10"/>
  <c r="D10" i="10"/>
  <c r="L9" i="10"/>
  <c r="K9" i="10"/>
  <c r="J9" i="10"/>
  <c r="I9" i="10"/>
  <c r="H9" i="10"/>
  <c r="G9" i="10"/>
  <c r="F9" i="10"/>
  <c r="E9" i="10"/>
  <c r="D9" i="10"/>
  <c r="L8" i="10"/>
  <c r="K8" i="10"/>
  <c r="J8" i="10"/>
  <c r="I8" i="10"/>
  <c r="H8" i="10"/>
  <c r="G8" i="10"/>
  <c r="F8" i="10"/>
  <c r="E8" i="10"/>
  <c r="D8" i="10"/>
  <c r="L7" i="10"/>
  <c r="K7" i="10"/>
  <c r="J7" i="10"/>
  <c r="I7" i="10"/>
  <c r="H7" i="10"/>
  <c r="G7" i="10"/>
  <c r="F7" i="10"/>
  <c r="E7" i="10"/>
  <c r="D7" i="10"/>
  <c r="C6" i="10"/>
  <c r="L5" i="10"/>
  <c r="L6" i="10" s="1"/>
  <c r="K5" i="10"/>
  <c r="K6" i="10" s="1"/>
  <c r="J5" i="10"/>
  <c r="J6" i="10" s="1"/>
  <c r="I5" i="10"/>
  <c r="I6" i="10" s="1"/>
  <c r="H5" i="10"/>
  <c r="H6" i="10" s="1"/>
  <c r="G5" i="10"/>
  <c r="G6" i="10" s="1"/>
  <c r="F5" i="10"/>
  <c r="F6" i="10" s="1"/>
  <c r="E5" i="10"/>
  <c r="E6" i="10" s="1"/>
  <c r="D5" i="10"/>
  <c r="D6" i="10" s="1"/>
  <c r="L4" i="10"/>
  <c r="K4" i="10"/>
  <c r="J4" i="10"/>
  <c r="I4" i="10"/>
  <c r="H4" i="10"/>
  <c r="G4" i="10"/>
  <c r="F4" i="10"/>
  <c r="E4" i="10"/>
  <c r="D4" i="10"/>
  <c r="L3" i="10"/>
  <c r="K3" i="10"/>
  <c r="J3" i="10"/>
  <c r="I3" i="10"/>
  <c r="H3" i="10"/>
  <c r="G3" i="10"/>
  <c r="F3" i="10"/>
  <c r="E3" i="10"/>
  <c r="D3" i="10"/>
  <c r="AG58" i="9" l="1"/>
  <c r="AO58" i="9" s="1"/>
  <c r="AW58" i="9" s="1"/>
  <c r="BE58" i="9" s="1"/>
  <c r="AG57" i="9"/>
  <c r="AO57" i="9" s="1"/>
  <c r="AW57" i="9" s="1"/>
  <c r="BE57" i="9" s="1"/>
  <c r="AG50" i="9"/>
  <c r="AO50" i="9" s="1"/>
  <c r="AW50" i="9" s="1"/>
  <c r="BE50" i="9" s="1"/>
  <c r="AG41" i="9"/>
  <c r="AO41" i="9" s="1"/>
  <c r="AW41" i="9" s="1"/>
  <c r="BE41" i="9" s="1"/>
  <c r="AG34" i="9"/>
  <c r="AO34" i="9" s="1"/>
  <c r="AW34" i="9" s="1"/>
  <c r="BE34" i="9" s="1"/>
  <c r="AV22" i="9"/>
  <c r="I68" i="9"/>
  <c r="Q68" i="9" s="1"/>
  <c r="Y68" i="9" s="1"/>
  <c r="AG68" i="9" s="1"/>
  <c r="AO68" i="9" s="1"/>
  <c r="AW68" i="9" s="1"/>
  <c r="BE68" i="9" s="1"/>
  <c r="I67" i="9"/>
  <c r="Q67" i="9" s="1"/>
  <c r="Y67" i="9" s="1"/>
  <c r="AG67" i="9" s="1"/>
  <c r="AO67" i="9" s="1"/>
  <c r="AW67" i="9" s="1"/>
  <c r="BE67" i="9" s="1"/>
  <c r="I66" i="9"/>
  <c r="Q66" i="9" s="1"/>
  <c r="Y66" i="9" s="1"/>
  <c r="AG66" i="9" s="1"/>
  <c r="AO66" i="9" s="1"/>
  <c r="AW66" i="9" s="1"/>
  <c r="BE66" i="9" s="1"/>
  <c r="I65" i="9"/>
  <c r="Q65" i="9" s="1"/>
  <c r="Y65" i="9" s="1"/>
  <c r="AG65" i="9" s="1"/>
  <c r="AO65" i="9" s="1"/>
  <c r="AW65" i="9" s="1"/>
  <c r="BE65" i="9" s="1"/>
  <c r="I64" i="9"/>
  <c r="Q64" i="9" s="1"/>
  <c r="Y64" i="9" s="1"/>
  <c r="AG64" i="9" s="1"/>
  <c r="AO64" i="9" s="1"/>
  <c r="AW64" i="9" s="1"/>
  <c r="BE64" i="9" s="1"/>
  <c r="I63" i="9"/>
  <c r="Q63" i="9" s="1"/>
  <c r="Y63" i="9" s="1"/>
  <c r="AG63" i="9" s="1"/>
  <c r="AO63" i="9" s="1"/>
  <c r="AW63" i="9" s="1"/>
  <c r="BE63" i="9" s="1"/>
  <c r="I62" i="9"/>
  <c r="Q62" i="9" s="1"/>
  <c r="Y62" i="9" s="1"/>
  <c r="AG62" i="9" s="1"/>
  <c r="AO62" i="9" s="1"/>
  <c r="AW62" i="9" s="1"/>
  <c r="BE62" i="9" s="1"/>
  <c r="I61" i="9"/>
  <c r="Q61" i="9" s="1"/>
  <c r="Y61" i="9" s="1"/>
  <c r="AG61" i="9" s="1"/>
  <c r="AO61" i="9" s="1"/>
  <c r="AW61" i="9" s="1"/>
  <c r="BE61" i="9" s="1"/>
  <c r="I60" i="9"/>
  <c r="Q60" i="9" s="1"/>
  <c r="Y60" i="9" s="1"/>
  <c r="AG60" i="9" s="1"/>
  <c r="AO60" i="9" s="1"/>
  <c r="AW60" i="9" s="1"/>
  <c r="BE60" i="9" s="1"/>
  <c r="I59" i="9"/>
  <c r="Q59" i="9" s="1"/>
  <c r="Y59" i="9" s="1"/>
  <c r="AG59" i="9" s="1"/>
  <c r="AO59" i="9" s="1"/>
  <c r="AW59" i="9" s="1"/>
  <c r="BE59" i="9" s="1"/>
  <c r="I58" i="9"/>
  <c r="Q58" i="9" s="1"/>
  <c r="Y58" i="9" s="1"/>
  <c r="I57" i="9"/>
  <c r="Q57" i="9" s="1"/>
  <c r="Y57" i="9" s="1"/>
  <c r="I56" i="9"/>
  <c r="Q56" i="9" s="1"/>
  <c r="Y56" i="9" s="1"/>
  <c r="AG56" i="9" s="1"/>
  <c r="AO56" i="9" s="1"/>
  <c r="AW56" i="9" s="1"/>
  <c r="BE56" i="9" s="1"/>
  <c r="I55" i="9"/>
  <c r="Q55" i="9" s="1"/>
  <c r="Y55" i="9" s="1"/>
  <c r="AG55" i="9" s="1"/>
  <c r="AO55" i="9" s="1"/>
  <c r="AW55" i="9" s="1"/>
  <c r="BE55" i="9" s="1"/>
  <c r="I54" i="9"/>
  <c r="Q54" i="9" s="1"/>
  <c r="Y54" i="9" s="1"/>
  <c r="AG54" i="9" s="1"/>
  <c r="AO54" i="9" s="1"/>
  <c r="AW54" i="9" s="1"/>
  <c r="BE54" i="9" s="1"/>
  <c r="I53" i="9"/>
  <c r="Q53" i="9" s="1"/>
  <c r="Y53" i="9" s="1"/>
  <c r="AG53" i="9" s="1"/>
  <c r="AO53" i="9" s="1"/>
  <c r="AW53" i="9" s="1"/>
  <c r="BE53" i="9" s="1"/>
  <c r="I52" i="9"/>
  <c r="Q52" i="9" s="1"/>
  <c r="Y52" i="9" s="1"/>
  <c r="AG52" i="9" s="1"/>
  <c r="AO52" i="9" s="1"/>
  <c r="AW52" i="9" s="1"/>
  <c r="BE52" i="9" s="1"/>
  <c r="I51" i="9"/>
  <c r="Q51" i="9" s="1"/>
  <c r="Y51" i="9" s="1"/>
  <c r="AG51" i="9" s="1"/>
  <c r="AO51" i="9" s="1"/>
  <c r="AW51" i="9" s="1"/>
  <c r="BE51" i="9" s="1"/>
  <c r="I50" i="9"/>
  <c r="Q50" i="9" s="1"/>
  <c r="Y50" i="9" s="1"/>
  <c r="I49" i="9"/>
  <c r="Q49" i="9" s="1"/>
  <c r="Y49" i="9" s="1"/>
  <c r="AG49" i="9" s="1"/>
  <c r="AO49" i="9" s="1"/>
  <c r="AW49" i="9" s="1"/>
  <c r="BE49" i="9" s="1"/>
  <c r="I48" i="9"/>
  <c r="Q48" i="9" s="1"/>
  <c r="Y48" i="9" s="1"/>
  <c r="AG48" i="9" s="1"/>
  <c r="AO48" i="9" s="1"/>
  <c r="AW48" i="9" s="1"/>
  <c r="BE48" i="9" s="1"/>
  <c r="I47" i="9"/>
  <c r="Q47" i="9" s="1"/>
  <c r="Y47" i="9" s="1"/>
  <c r="AG47" i="9" s="1"/>
  <c r="AO47" i="9" s="1"/>
  <c r="AW47" i="9" s="1"/>
  <c r="BE47" i="9" s="1"/>
  <c r="I46" i="9"/>
  <c r="Q46" i="9" s="1"/>
  <c r="Y46" i="9" s="1"/>
  <c r="AG46" i="9" s="1"/>
  <c r="AO46" i="9" s="1"/>
  <c r="AW46" i="9" s="1"/>
  <c r="BE46" i="9" s="1"/>
  <c r="I45" i="9"/>
  <c r="Q45" i="9" s="1"/>
  <c r="Y45" i="9" s="1"/>
  <c r="AG45" i="9" s="1"/>
  <c r="AO45" i="9" s="1"/>
  <c r="AW45" i="9" s="1"/>
  <c r="BE45" i="9" s="1"/>
  <c r="I44" i="9"/>
  <c r="Q44" i="9" s="1"/>
  <c r="Y44" i="9" s="1"/>
  <c r="AG44" i="9" s="1"/>
  <c r="AO44" i="9" s="1"/>
  <c r="AW44" i="9" s="1"/>
  <c r="BE44" i="9" s="1"/>
  <c r="I43" i="9"/>
  <c r="Q43" i="9" s="1"/>
  <c r="Y43" i="9" s="1"/>
  <c r="AG43" i="9" s="1"/>
  <c r="AO43" i="9" s="1"/>
  <c r="AW43" i="9" s="1"/>
  <c r="BE43" i="9" s="1"/>
  <c r="I42" i="9"/>
  <c r="Q42" i="9" s="1"/>
  <c r="Y42" i="9" s="1"/>
  <c r="AG42" i="9" s="1"/>
  <c r="AO42" i="9" s="1"/>
  <c r="AW42" i="9" s="1"/>
  <c r="BE42" i="9" s="1"/>
  <c r="I41" i="9"/>
  <c r="Q41" i="9" s="1"/>
  <c r="Y41" i="9" s="1"/>
  <c r="I40" i="9"/>
  <c r="Q40" i="9" s="1"/>
  <c r="Y40" i="9" s="1"/>
  <c r="AG40" i="9" s="1"/>
  <c r="AO40" i="9" s="1"/>
  <c r="AW40" i="9" s="1"/>
  <c r="BE40" i="9" s="1"/>
  <c r="I39" i="9"/>
  <c r="Q39" i="9" s="1"/>
  <c r="Y39" i="9" s="1"/>
  <c r="AG39" i="9" s="1"/>
  <c r="AO39" i="9" s="1"/>
  <c r="AW39" i="9" s="1"/>
  <c r="BE39" i="9" s="1"/>
  <c r="I38" i="9"/>
  <c r="Q38" i="9" s="1"/>
  <c r="Y38" i="9" s="1"/>
  <c r="AG38" i="9" s="1"/>
  <c r="AO38" i="9" s="1"/>
  <c r="AW38" i="9" s="1"/>
  <c r="BE38" i="9" s="1"/>
  <c r="I37" i="9"/>
  <c r="Q37" i="9" s="1"/>
  <c r="Y37" i="9" s="1"/>
  <c r="AG37" i="9" s="1"/>
  <c r="AO37" i="9" s="1"/>
  <c r="AW37" i="9" s="1"/>
  <c r="BE37" i="9" s="1"/>
  <c r="I36" i="9"/>
  <c r="Q36" i="9" s="1"/>
  <c r="Y36" i="9" s="1"/>
  <c r="AG36" i="9" s="1"/>
  <c r="AO36" i="9" s="1"/>
  <c r="AW36" i="9" s="1"/>
  <c r="BE36" i="9" s="1"/>
  <c r="I35" i="9"/>
  <c r="Q35" i="9" s="1"/>
  <c r="Y35" i="9" s="1"/>
  <c r="AG35" i="9" s="1"/>
  <c r="AO35" i="9" s="1"/>
  <c r="AW35" i="9" s="1"/>
  <c r="BE35" i="9" s="1"/>
  <c r="I34" i="9"/>
  <c r="Q34" i="9" s="1"/>
  <c r="Y34" i="9" s="1"/>
  <c r="I33" i="9"/>
  <c r="Q33" i="9" s="1"/>
  <c r="Y33" i="9" s="1"/>
  <c r="AG33" i="9" s="1"/>
  <c r="AO33" i="9" s="1"/>
  <c r="AW33" i="9" s="1"/>
  <c r="BE33" i="9" s="1"/>
  <c r="I32" i="9"/>
  <c r="Q32" i="9" s="1"/>
  <c r="Y32" i="9" s="1"/>
  <c r="AG32" i="9" s="1"/>
  <c r="AO32" i="9" s="1"/>
  <c r="AW32" i="9" s="1"/>
  <c r="BE32" i="9" s="1"/>
  <c r="I31" i="9"/>
  <c r="Q31" i="9" s="1"/>
  <c r="Y31" i="9" s="1"/>
  <c r="AG31" i="9" s="1"/>
  <c r="AO31" i="9" s="1"/>
  <c r="AW31" i="9" s="1"/>
  <c r="BE31" i="9" s="1"/>
  <c r="I30" i="9"/>
  <c r="Q30" i="9" s="1"/>
  <c r="Y30" i="9" s="1"/>
  <c r="AG30" i="9" s="1"/>
  <c r="AO30" i="9" s="1"/>
  <c r="AW30" i="9" s="1"/>
  <c r="BE30" i="9" s="1"/>
  <c r="I29" i="9"/>
  <c r="Q29" i="9" s="1"/>
  <c r="Y29" i="9" s="1"/>
  <c r="AG29" i="9" s="1"/>
  <c r="AO29" i="9" s="1"/>
  <c r="AW29" i="9" s="1"/>
  <c r="BE29" i="9" s="1"/>
  <c r="I28" i="9"/>
  <c r="Q28" i="9" s="1"/>
  <c r="Y28" i="9" s="1"/>
  <c r="AG28" i="9" s="1"/>
  <c r="AO28" i="9" s="1"/>
  <c r="I27" i="9"/>
  <c r="Q27" i="9" s="1"/>
  <c r="Y27" i="9" s="1"/>
  <c r="AG27" i="9" s="1"/>
  <c r="AO27" i="9" s="1"/>
  <c r="AW27" i="9" s="1"/>
  <c r="BE27" i="9" s="1"/>
  <c r="I26" i="9"/>
  <c r="Q26" i="9" s="1"/>
  <c r="Y26" i="9" s="1"/>
  <c r="AG26" i="9" s="1"/>
  <c r="AO26" i="9" s="1"/>
  <c r="AW26" i="9" s="1"/>
  <c r="BE26" i="9" s="1"/>
  <c r="I25" i="9"/>
  <c r="Q25" i="9" s="1"/>
  <c r="Y25" i="9" s="1"/>
  <c r="AG25" i="9" s="1"/>
  <c r="I24" i="9"/>
  <c r="Q24" i="9" s="1"/>
  <c r="Y24" i="9" s="1"/>
  <c r="AG24" i="9" s="1"/>
  <c r="AO24" i="9" s="1"/>
  <c r="AW24" i="9" s="1"/>
  <c r="BE24" i="9" s="1"/>
  <c r="I23" i="9"/>
  <c r="Q23" i="9" s="1"/>
  <c r="Y23" i="9" s="1"/>
  <c r="AG23" i="9" s="1"/>
  <c r="AO23" i="9" s="1"/>
  <c r="AW23" i="9" s="1"/>
  <c r="BE23" i="9" s="1"/>
  <c r="AF22" i="9"/>
  <c r="O22" i="9"/>
  <c r="W22" i="9" s="1"/>
  <c r="AE22" i="9" s="1"/>
  <c r="AM22" i="9" s="1"/>
  <c r="AU22" i="9" s="1"/>
  <c r="BC22" i="9" s="1"/>
  <c r="BK22" i="9" s="1"/>
  <c r="M22" i="9"/>
  <c r="U22" i="9" s="1"/>
  <c r="AC22" i="9" s="1"/>
  <c r="AK22" i="9" s="1"/>
  <c r="AS22" i="9" s="1"/>
  <c r="BA22" i="9" s="1"/>
  <c r="BI22" i="9" s="1"/>
  <c r="G22" i="9"/>
  <c r="G21" i="9" s="1"/>
  <c r="O21" i="9" s="1"/>
  <c r="F22" i="9"/>
  <c r="E22" i="9"/>
  <c r="E21" i="9" s="1"/>
  <c r="M21" i="9" s="1"/>
  <c r="D22" i="9"/>
  <c r="L22" i="9" s="1"/>
  <c r="T22" i="9" s="1"/>
  <c r="AB22" i="9" s="1"/>
  <c r="AJ22" i="9" s="1"/>
  <c r="AR22" i="9" s="1"/>
  <c r="AZ22" i="9" s="1"/>
  <c r="BH22" i="9" s="1"/>
  <c r="C22" i="9"/>
  <c r="K22" i="9" s="1"/>
  <c r="S22" i="9" s="1"/>
  <c r="AA22" i="9" s="1"/>
  <c r="AI22" i="9" s="1"/>
  <c r="B22" i="9"/>
  <c r="E27" i="9"/>
  <c r="B28" i="9"/>
  <c r="G27" i="9"/>
  <c r="B25" i="9"/>
  <c r="C26" i="9"/>
  <c r="B29" i="9"/>
  <c r="D30" i="9"/>
  <c r="E25" i="9"/>
  <c r="G23" i="9"/>
  <c r="D25" i="9"/>
  <c r="C28" i="9"/>
  <c r="F29" i="9"/>
  <c r="C29" i="9"/>
  <c r="C24" i="9"/>
  <c r="B31" i="9"/>
  <c r="E28" i="9"/>
  <c r="B24" i="9"/>
  <c r="G28" i="9"/>
  <c r="F26" i="9"/>
  <c r="D24" i="9"/>
  <c r="B30" i="9"/>
  <c r="B23" i="9"/>
  <c r="E29" i="9"/>
  <c r="F28" i="9"/>
  <c r="C30" i="9"/>
  <c r="C27" i="9"/>
  <c r="G26" i="9"/>
  <c r="C25" i="9"/>
  <c r="G30" i="9"/>
  <c r="C31" i="9"/>
  <c r="E26" i="9"/>
  <c r="F27" i="9"/>
  <c r="G25" i="9"/>
  <c r="D23" i="9"/>
  <c r="G29" i="9"/>
  <c r="C23" i="9"/>
  <c r="G31" i="9"/>
  <c r="D29" i="9"/>
  <c r="D31" i="9"/>
  <c r="B27" i="9"/>
  <c r="E31" i="9"/>
  <c r="F30" i="9"/>
  <c r="D26" i="9"/>
  <c r="F25" i="9"/>
  <c r="E30" i="9"/>
  <c r="F31" i="9"/>
  <c r="E24" i="9"/>
  <c r="F23" i="9"/>
  <c r="D28" i="9"/>
  <c r="E23" i="9"/>
  <c r="F24" i="9"/>
  <c r="D27" i="9"/>
  <c r="G24" i="9"/>
  <c r="B26" i="9"/>
  <c r="R24" i="9" l="1"/>
  <c r="R23" i="9"/>
  <c r="AW28" i="9"/>
  <c r="BE28" i="9" s="1"/>
  <c r="AO25" i="9"/>
  <c r="J22" i="9"/>
  <c r="R22" i="9" s="1"/>
  <c r="Z22" i="9" s="1"/>
  <c r="AH22" i="9" s="1"/>
  <c r="AP22" i="9" s="1"/>
  <c r="A4" i="14" a="1"/>
  <c r="T24" i="9"/>
  <c r="W23" i="9"/>
  <c r="R25" i="9"/>
  <c r="U23" i="9"/>
  <c r="V28" i="9"/>
  <c r="AL28" i="9" s="1"/>
  <c r="BB28" i="9" s="1"/>
  <c r="T27" i="9"/>
  <c r="T30" i="9"/>
  <c r="U30" i="9"/>
  <c r="S27" i="9"/>
  <c r="U28" i="9"/>
  <c r="V25" i="9"/>
  <c r="V30" i="9"/>
  <c r="AL30" i="9" s="1"/>
  <c r="V31" i="9"/>
  <c r="AL31" i="9" s="1"/>
  <c r="BB31" i="9" s="1"/>
  <c r="T28" i="9"/>
  <c r="V29" i="9"/>
  <c r="R30" i="9"/>
  <c r="W26" i="9"/>
  <c r="S31" i="9"/>
  <c r="K20" i="9" s="1"/>
  <c r="W31" i="9"/>
  <c r="G20" i="9" s="1"/>
  <c r="U29" i="9"/>
  <c r="T31" i="9"/>
  <c r="W30" i="9"/>
  <c r="W27" i="9"/>
  <c r="V23" i="9"/>
  <c r="R29" i="9"/>
  <c r="S23" i="9"/>
  <c r="T23" i="9"/>
  <c r="R28" i="9"/>
  <c r="S30" i="9"/>
  <c r="W24" i="9"/>
  <c r="S25" i="9"/>
  <c r="AI25" i="9" s="1"/>
  <c r="U25" i="9"/>
  <c r="S28" i="9"/>
  <c r="W25" i="9"/>
  <c r="R26" i="9"/>
  <c r="AH26" i="9" s="1"/>
  <c r="S29" i="9"/>
  <c r="T26" i="9"/>
  <c r="T25" i="9"/>
  <c r="AJ25" i="9" s="1"/>
  <c r="U31" i="9"/>
  <c r="V24" i="9"/>
  <c r="U27" i="9"/>
  <c r="V26" i="9"/>
  <c r="V27" i="9"/>
  <c r="AL27" i="9" s="1"/>
  <c r="W29" i="9"/>
  <c r="S24" i="9"/>
  <c r="R27" i="9"/>
  <c r="U26" i="9"/>
  <c r="T29" i="9"/>
  <c r="AJ29" i="9" s="1"/>
  <c r="S26" i="9"/>
  <c r="U24" i="9"/>
  <c r="W28" i="9"/>
  <c r="R31" i="9"/>
  <c r="B21" i="9"/>
  <c r="J21" i="9" s="1"/>
  <c r="D21" i="9"/>
  <c r="L21" i="9" s="1"/>
  <c r="AQ22" i="9"/>
  <c r="AY22" i="9" s="1"/>
  <c r="BG22" i="9" s="1"/>
  <c r="C21" i="9"/>
  <c r="K21" i="9" s="1"/>
  <c r="J29" i="9"/>
  <c r="H29" i="9"/>
  <c r="H26" i="9"/>
  <c r="J26" i="9"/>
  <c r="H23" i="9"/>
  <c r="J23" i="9"/>
  <c r="H25" i="9"/>
  <c r="J25" i="9"/>
  <c r="K26" i="9"/>
  <c r="K27" i="9"/>
  <c r="L28" i="9"/>
  <c r="M29" i="9"/>
  <c r="K23" i="9"/>
  <c r="AA23" i="9" s="1"/>
  <c r="K24" i="9"/>
  <c r="L25" i="9"/>
  <c r="M26" i="9"/>
  <c r="L27" i="9"/>
  <c r="M28" i="9"/>
  <c r="N29" i="9"/>
  <c r="L31" i="9"/>
  <c r="L23" i="9"/>
  <c r="AB23" i="9" s="1"/>
  <c r="L24" i="9"/>
  <c r="AB24" i="9" s="1"/>
  <c r="M25" i="9"/>
  <c r="AC25" i="9" s="1"/>
  <c r="AS25" i="9" s="1"/>
  <c r="N26" i="9"/>
  <c r="N27" i="9"/>
  <c r="O28" i="9"/>
  <c r="H30" i="9"/>
  <c r="J30" i="9"/>
  <c r="O30" i="9"/>
  <c r="J28" i="9"/>
  <c r="H28" i="9"/>
  <c r="K29" i="9"/>
  <c r="AA29" i="9" s="1"/>
  <c r="M31" i="9"/>
  <c r="M23" i="9"/>
  <c r="AC23" i="9" s="1"/>
  <c r="M24" i="9"/>
  <c r="N25" i="9"/>
  <c r="O26" i="9"/>
  <c r="O27" i="9"/>
  <c r="K30" i="9"/>
  <c r="O23" i="9"/>
  <c r="AE23" i="9" s="1"/>
  <c r="N24" i="9"/>
  <c r="O25" i="9"/>
  <c r="L30" i="9"/>
  <c r="N30" i="9"/>
  <c r="K31" i="9"/>
  <c r="N23" i="9"/>
  <c r="AD23" i="9" s="1"/>
  <c r="O24" i="9"/>
  <c r="J27" i="9"/>
  <c r="H27" i="9"/>
  <c r="K28" i="9"/>
  <c r="L29" i="9"/>
  <c r="M30" i="9"/>
  <c r="N31" i="9"/>
  <c r="O31" i="9"/>
  <c r="J24" i="9"/>
  <c r="H24" i="9"/>
  <c r="K25" i="9"/>
  <c r="L26" i="9"/>
  <c r="M27" i="9"/>
  <c r="N28" i="9"/>
  <c r="O29" i="9"/>
  <c r="J31" i="9"/>
  <c r="H31" i="9"/>
  <c r="N22" i="9"/>
  <c r="V22" i="9" s="1"/>
  <c r="AD22" i="9" s="1"/>
  <c r="AL22" i="9" s="1"/>
  <c r="AT22" i="9" s="1"/>
  <c r="BB22" i="9" s="1"/>
  <c r="BJ22" i="9" s="1"/>
  <c r="F21" i="9"/>
  <c r="N21" i="9" s="1"/>
  <c r="AC30" i="9" l="1"/>
  <c r="AI29" i="9"/>
  <c r="AC24" i="9"/>
  <c r="AM28" i="9"/>
  <c r="BC28" i="9" s="1"/>
  <c r="A4" i="14"/>
  <c r="A14" i="14" s="1"/>
  <c r="A24" i="14" s="1"/>
  <c r="A34" i="14" s="1"/>
  <c r="A44" i="14" s="1"/>
  <c r="A54" i="14" s="1"/>
  <c r="B39" i="15" s="1"/>
  <c r="G4" i="14"/>
  <c r="G14" i="14" s="1"/>
  <c r="G24" i="14" s="1"/>
  <c r="G34" i="14" s="1"/>
  <c r="G44" i="14" s="1"/>
  <c r="G54" i="14" s="1"/>
  <c r="H39" i="15" s="1"/>
  <c r="D9" i="14"/>
  <c r="H10" i="14"/>
  <c r="I5" i="14"/>
  <c r="H5" i="14"/>
  <c r="C6" i="14"/>
  <c r="A6" i="14"/>
  <c r="A16" i="14" s="1"/>
  <c r="A26" i="14" s="1"/>
  <c r="A36" i="14" s="1"/>
  <c r="A46" i="14" s="1"/>
  <c r="A56" i="14" s="1"/>
  <c r="B41" i="15" s="1"/>
  <c r="G6" i="14"/>
  <c r="G5" i="14"/>
  <c r="D10" i="14"/>
  <c r="H7" i="14"/>
  <c r="B9" i="14"/>
  <c r="C4" i="14"/>
  <c r="C14" i="14" s="1"/>
  <c r="C24" i="14" s="1"/>
  <c r="C34" i="14" s="1"/>
  <c r="C44" i="14" s="1"/>
  <c r="C54" i="14" s="1"/>
  <c r="D39" i="15" s="1"/>
  <c r="J4" i="14"/>
  <c r="J14" i="14" s="1"/>
  <c r="J24" i="14" s="1"/>
  <c r="J34" i="14" s="1"/>
  <c r="J44" i="14" s="1"/>
  <c r="J54" i="14" s="1"/>
  <c r="K39" i="15" s="1"/>
  <c r="B10" i="14"/>
  <c r="E4" i="14"/>
  <c r="E14" i="14" s="1"/>
  <c r="E24" i="14" s="1"/>
  <c r="E34" i="14" s="1"/>
  <c r="E44" i="14" s="1"/>
  <c r="E54" i="14" s="1"/>
  <c r="F39" i="15" s="1"/>
  <c r="A5" i="14"/>
  <c r="A15" i="14" s="1"/>
  <c r="A25" i="14" s="1"/>
  <c r="A35" i="14" s="1"/>
  <c r="A45" i="14" s="1"/>
  <c r="A55" i="14" s="1"/>
  <c r="B40" i="15" s="1"/>
  <c r="I4" i="14"/>
  <c r="I14" i="14" s="1"/>
  <c r="I24" i="14" s="1"/>
  <c r="I34" i="14" s="1"/>
  <c r="I44" i="14" s="1"/>
  <c r="I54" i="14" s="1"/>
  <c r="J39" i="15" s="1"/>
  <c r="H8" i="14"/>
  <c r="B6" i="14"/>
  <c r="F7" i="14"/>
  <c r="F10" i="14"/>
  <c r="B4" i="14"/>
  <c r="B14" i="14" s="1"/>
  <c r="B24" i="14" s="1"/>
  <c r="B34" i="14" s="1"/>
  <c r="B44" i="14" s="1"/>
  <c r="B54" i="14" s="1"/>
  <c r="C39" i="15" s="1"/>
  <c r="F8" i="14"/>
  <c r="J9" i="14"/>
  <c r="E10" i="14"/>
  <c r="D6" i="14"/>
  <c r="F4" i="14"/>
  <c r="F14" i="14" s="1"/>
  <c r="F24" i="14" s="1"/>
  <c r="F34" i="14" s="1"/>
  <c r="F44" i="14" s="1"/>
  <c r="F54" i="14" s="1"/>
  <c r="G39" i="15" s="1"/>
  <c r="J5" i="14"/>
  <c r="H9" i="14"/>
  <c r="F9" i="14"/>
  <c r="J6" i="14"/>
  <c r="D8" i="14"/>
  <c r="G9" i="14"/>
  <c r="H4" i="14"/>
  <c r="H14" i="14" s="1"/>
  <c r="H24" i="14" s="1"/>
  <c r="H34" i="14" s="1"/>
  <c r="H44" i="14" s="1"/>
  <c r="H54" i="14" s="1"/>
  <c r="I39" i="15" s="1"/>
  <c r="A10" i="14"/>
  <c r="A20" i="14" s="1"/>
  <c r="A30" i="14" s="1"/>
  <c r="A40" i="14" s="1"/>
  <c r="A50" i="14" s="1"/>
  <c r="A60" i="14" s="1"/>
  <c r="B45" i="15" s="1"/>
  <c r="D4" i="14"/>
  <c r="D14" i="14" s="1"/>
  <c r="D24" i="14" s="1"/>
  <c r="D34" i="14" s="1"/>
  <c r="D44" i="14" s="1"/>
  <c r="D54" i="14" s="1"/>
  <c r="E39" i="15" s="1"/>
  <c r="J8" i="14"/>
  <c r="B7" i="14"/>
  <c r="D5" i="14"/>
  <c r="H6" i="14"/>
  <c r="I8" i="14"/>
  <c r="J7" i="14"/>
  <c r="E9" i="14"/>
  <c r="E8" i="14"/>
  <c r="G10" i="14"/>
  <c r="B8" i="14"/>
  <c r="F5" i="14"/>
  <c r="I10" i="14"/>
  <c r="B5" i="14"/>
  <c r="A8" i="14"/>
  <c r="A18" i="14" s="1"/>
  <c r="A28" i="14" s="1"/>
  <c r="A38" i="14" s="1"/>
  <c r="A48" i="14" s="1"/>
  <c r="A58" i="14" s="1"/>
  <c r="B43" i="15" s="1"/>
  <c r="I7" i="14"/>
  <c r="A7" i="14"/>
  <c r="A17" i="14" s="1"/>
  <c r="A27" i="14" s="1"/>
  <c r="A37" i="14" s="1"/>
  <c r="A47" i="14" s="1"/>
  <c r="A57" i="14" s="1"/>
  <c r="B42" i="15" s="1"/>
  <c r="I6" i="14"/>
  <c r="A9" i="14"/>
  <c r="A19" i="14" s="1"/>
  <c r="A29" i="14" s="1"/>
  <c r="A39" i="14" s="1"/>
  <c r="A49" i="14" s="1"/>
  <c r="A59" i="14" s="1"/>
  <c r="B44" i="15" s="1"/>
  <c r="D7" i="14"/>
  <c r="C10" i="14"/>
  <c r="C9" i="14"/>
  <c r="I9" i="14"/>
  <c r="C7" i="14"/>
  <c r="E5" i="14"/>
  <c r="J10" i="14"/>
  <c r="C5" i="14"/>
  <c r="E7" i="14"/>
  <c r="F6" i="14"/>
  <c r="G8" i="14"/>
  <c r="G7" i="14"/>
  <c r="C8" i="14"/>
  <c r="E6" i="14"/>
  <c r="AA30" i="9"/>
  <c r="AB25" i="9"/>
  <c r="AR25" i="9" s="1"/>
  <c r="AX22" i="9"/>
  <c r="BF22" i="9" s="1"/>
  <c r="A40" i="8" a="1"/>
  <c r="AJ31" i="9"/>
  <c r="AZ31" i="9" s="1"/>
  <c r="AW25" i="9"/>
  <c r="BE25" i="9" s="1"/>
  <c r="J20" i="9"/>
  <c r="B20" i="9"/>
  <c r="AK29" i="9"/>
  <c r="BB30" i="9"/>
  <c r="AK23" i="9"/>
  <c r="BA23" i="9" s="1"/>
  <c r="BB27" i="9"/>
  <c r="AJ23" i="9"/>
  <c r="AK24" i="9"/>
  <c r="AI23" i="9"/>
  <c r="AK28" i="9"/>
  <c r="BA28" i="9" s="1"/>
  <c r="AH23" i="9"/>
  <c r="AI26" i="9"/>
  <c r="AI28" i="9"/>
  <c r="AY28" i="9" s="1"/>
  <c r="AI27" i="9"/>
  <c r="AJ24" i="9"/>
  <c r="X26" i="9"/>
  <c r="AE27" i="9"/>
  <c r="X29" i="9"/>
  <c r="AH29" i="9"/>
  <c r="AE29" i="9"/>
  <c r="AE26" i="9"/>
  <c r="AE30" i="9"/>
  <c r="AR23" i="9"/>
  <c r="A11" i="8" a="1"/>
  <c r="A17" i="8" s="1"/>
  <c r="A27" i="8" s="1"/>
  <c r="B11" i="12" s="1"/>
  <c r="B28" i="12" s="1"/>
  <c r="AL24" i="9"/>
  <c r="BB24" i="9" s="1"/>
  <c r="AK27" i="9"/>
  <c r="AK25" i="9"/>
  <c r="BA25" i="9" s="1"/>
  <c r="AH24" i="9"/>
  <c r="X24" i="9"/>
  <c r="AM26" i="9"/>
  <c r="BC26" i="9" s="1"/>
  <c r="AS30" i="9"/>
  <c r="X23" i="9"/>
  <c r="AK26" i="9"/>
  <c r="BA26" i="9" s="1"/>
  <c r="AK31" i="9"/>
  <c r="AL23" i="9"/>
  <c r="BB23" i="9" s="1"/>
  <c r="X30" i="9"/>
  <c r="AH30" i="9"/>
  <c r="AK30" i="9"/>
  <c r="AB29" i="9"/>
  <c r="AR29" i="9" s="1"/>
  <c r="AB30" i="9"/>
  <c r="AR30" i="9" s="1"/>
  <c r="AS24" i="9"/>
  <c r="AB28" i="9"/>
  <c r="AR28" i="9" s="1"/>
  <c r="BH28" i="9" s="1"/>
  <c r="X27" i="9"/>
  <c r="AH27" i="9"/>
  <c r="AM24" i="9"/>
  <c r="BC24" i="9" s="1"/>
  <c r="AM27" i="9"/>
  <c r="BC27" i="9" s="1"/>
  <c r="AL29" i="9"/>
  <c r="BB29" i="9" s="1"/>
  <c r="AJ30" i="9"/>
  <c r="AZ30" i="9" s="1"/>
  <c r="AB26" i="9"/>
  <c r="AR26" i="9" s="1"/>
  <c r="AA28" i="9"/>
  <c r="AE25" i="9"/>
  <c r="AU25" i="9" s="1"/>
  <c r="AS23" i="9"/>
  <c r="AE28" i="9"/>
  <c r="AC28" i="9"/>
  <c r="AS28" i="9" s="1"/>
  <c r="BI28" i="9" s="1"/>
  <c r="AI24" i="9"/>
  <c r="AY24" i="9" s="1"/>
  <c r="AJ26" i="9"/>
  <c r="AZ26" i="9" s="1"/>
  <c r="AI30" i="9"/>
  <c r="AM30" i="9"/>
  <c r="BC30" i="9" s="1"/>
  <c r="AJ28" i="9"/>
  <c r="AZ28" i="9" s="1"/>
  <c r="AJ27" i="9"/>
  <c r="AZ27" i="9" s="1"/>
  <c r="AH31" i="9"/>
  <c r="X31" i="9"/>
  <c r="AH28" i="9"/>
  <c r="AX26" i="9" s="1"/>
  <c r="X28" i="9"/>
  <c r="AM29" i="9"/>
  <c r="BC29" i="9" s="1"/>
  <c r="AM25" i="9"/>
  <c r="BC25" i="9" s="1"/>
  <c r="AM31" i="9"/>
  <c r="BC31" i="9" s="1"/>
  <c r="AL26" i="9"/>
  <c r="BB26" i="9" s="1"/>
  <c r="AL25" i="9"/>
  <c r="BB25" i="9" s="1"/>
  <c r="X25" i="9"/>
  <c r="AH25" i="9"/>
  <c r="AU23" i="9"/>
  <c r="AE24" i="9"/>
  <c r="C20" i="9"/>
  <c r="AI31" i="9"/>
  <c r="AM23" i="9"/>
  <c r="BC23" i="9" s="1"/>
  <c r="AR24" i="9"/>
  <c r="A11" i="8"/>
  <c r="A16" i="8"/>
  <c r="A26" i="8" s="1"/>
  <c r="B10" i="12" s="1"/>
  <c r="B27" i="12" s="1"/>
  <c r="A18" i="8"/>
  <c r="A28" i="8" s="1"/>
  <c r="B12" i="12" s="1"/>
  <c r="B29" i="12" s="1"/>
  <c r="A12" i="8"/>
  <c r="A22" i="8" s="1"/>
  <c r="B6" i="12" s="1"/>
  <c r="B23" i="12" s="1"/>
  <c r="P23" i="9"/>
  <c r="Z23" i="9"/>
  <c r="P29" i="9"/>
  <c r="Z29" i="9"/>
  <c r="B32" i="9"/>
  <c r="R32" i="9" s="1"/>
  <c r="J32" i="9"/>
  <c r="O20" i="9"/>
  <c r="O32" i="9" s="1"/>
  <c r="G32" i="9"/>
  <c r="W32" i="9" s="1"/>
  <c r="AA24" i="9"/>
  <c r="AA25" i="9"/>
  <c r="AQ25" i="9" s="1"/>
  <c r="AA31" i="9"/>
  <c r="AQ31" i="9" s="1"/>
  <c r="Z28" i="9"/>
  <c r="P28" i="9"/>
  <c r="AA27" i="9"/>
  <c r="AD31" i="9"/>
  <c r="C32" i="9"/>
  <c r="K32" i="9"/>
  <c r="E20" i="9"/>
  <c r="E32" i="9" s="1"/>
  <c r="U32" i="9" s="1"/>
  <c r="M20" i="9"/>
  <c r="M32" i="9" s="1"/>
  <c r="AD27" i="9"/>
  <c r="AB27" i="9"/>
  <c r="AR27" i="9" s="1"/>
  <c r="AA26" i="9"/>
  <c r="P26" i="9"/>
  <c r="Z26" i="9"/>
  <c r="AD24" i="9"/>
  <c r="Z31" i="9"/>
  <c r="P31" i="9"/>
  <c r="AE31" i="9"/>
  <c r="AU31" i="9" s="1"/>
  <c r="AD28" i="9"/>
  <c r="N20" i="9"/>
  <c r="N32" i="9" s="1"/>
  <c r="F20" i="9"/>
  <c r="F32" i="9" s="1"/>
  <c r="V32" i="9" s="1"/>
  <c r="Z27" i="9"/>
  <c r="P27" i="9"/>
  <c r="Z24" i="9"/>
  <c r="P24" i="9"/>
  <c r="AD30" i="9"/>
  <c r="AD25" i="9"/>
  <c r="AT25" i="9" s="1"/>
  <c r="AC31" i="9"/>
  <c r="AS31" i="9" s="1"/>
  <c r="BI31" i="9" s="1"/>
  <c r="P30" i="9"/>
  <c r="Z30" i="9"/>
  <c r="AD26" i="9"/>
  <c r="D20" i="9"/>
  <c r="D32" i="9" s="1"/>
  <c r="T32" i="9" s="1"/>
  <c r="L20" i="9"/>
  <c r="L32" i="9" s="1"/>
  <c r="P25" i="9"/>
  <c r="Z25" i="9"/>
  <c r="AC27" i="9"/>
  <c r="AS27" i="9" s="1"/>
  <c r="BI27" i="9" s="1"/>
  <c r="AB31" i="9"/>
  <c r="AR31" i="9" s="1"/>
  <c r="BH31" i="9" s="1"/>
  <c r="AC26" i="9"/>
  <c r="AS26" i="9" s="1"/>
  <c r="AC29" i="9"/>
  <c r="AS29" i="9" s="1"/>
  <c r="AD29" i="9"/>
  <c r="BI23" i="9" l="1"/>
  <c r="AZ25" i="9"/>
  <c r="AY31" i="9"/>
  <c r="BI29" i="9"/>
  <c r="BA31" i="9"/>
  <c r="BA27" i="9"/>
  <c r="AX23" i="9"/>
  <c r="BI26" i="9"/>
  <c r="AY30" i="9"/>
  <c r="BI24" i="9"/>
  <c r="AT31" i="9"/>
  <c r="G59" i="15"/>
  <c r="G49" i="15"/>
  <c r="I11" i="14"/>
  <c r="I59" i="15"/>
  <c r="I49" i="15"/>
  <c r="AX25" i="9"/>
  <c r="BA29" i="9"/>
  <c r="B11" i="14"/>
  <c r="AT26" i="9"/>
  <c r="AT24" i="9"/>
  <c r="AN27" i="9"/>
  <c r="AX27" i="9"/>
  <c r="BD27" i="9" s="1"/>
  <c r="K59" i="15"/>
  <c r="K49" i="15"/>
  <c r="A13" i="8"/>
  <c r="A23" i="8" s="1"/>
  <c r="B7" i="12" s="1"/>
  <c r="B24" i="12" s="1"/>
  <c r="AX24" i="9"/>
  <c r="AY26" i="9"/>
  <c r="BD26" i="9" s="1"/>
  <c r="E11" i="14"/>
  <c r="B62" i="15"/>
  <c r="B52" i="15"/>
  <c r="B75" i="15"/>
  <c r="B84" i="15" s="1"/>
  <c r="B93" i="15" s="1"/>
  <c r="E59" i="15"/>
  <c r="E49" i="15"/>
  <c r="J11" i="14"/>
  <c r="D59" i="15"/>
  <c r="D49" i="15"/>
  <c r="H11" i="14"/>
  <c r="AN29" i="9"/>
  <c r="AX29" i="9"/>
  <c r="A40" i="8"/>
  <c r="A47" i="8"/>
  <c r="A46" i="8"/>
  <c r="A43" i="8"/>
  <c r="A41" i="8"/>
  <c r="A45" i="8"/>
  <c r="A44" i="8"/>
  <c r="A42" i="8"/>
  <c r="AN23" i="9"/>
  <c r="AT30" i="9"/>
  <c r="AN28" i="9"/>
  <c r="C11" i="8" s="1" a="1"/>
  <c r="AX28" i="9"/>
  <c r="BD28" i="9" s="1"/>
  <c r="BH29" i="9"/>
  <c r="B60" i="15"/>
  <c r="B50" i="15"/>
  <c r="B73" i="15"/>
  <c r="B82" i="15" s="1"/>
  <c r="B91" i="15" s="1"/>
  <c r="G11" i="14"/>
  <c r="BH24" i="9"/>
  <c r="AN26" i="9"/>
  <c r="BA30" i="9"/>
  <c r="BI30" i="9"/>
  <c r="BH23" i="9"/>
  <c r="AZ24" i="9"/>
  <c r="BA24" i="9"/>
  <c r="BH25" i="9"/>
  <c r="F11" i="14"/>
  <c r="D11" i="14"/>
  <c r="F59" i="15"/>
  <c r="F49" i="15"/>
  <c r="B59" i="15"/>
  <c r="B49" i="15"/>
  <c r="B65" i="15"/>
  <c r="B55" i="15"/>
  <c r="B78" i="15"/>
  <c r="B87" i="15" s="1"/>
  <c r="B96" i="15" s="1"/>
  <c r="BH26" i="9"/>
  <c r="B63" i="15"/>
  <c r="B53" i="15"/>
  <c r="B76" i="15"/>
  <c r="B85" i="15" s="1"/>
  <c r="B94" i="15" s="1"/>
  <c r="BH27" i="9"/>
  <c r="BH30" i="9"/>
  <c r="J59" i="15"/>
  <c r="J49" i="15"/>
  <c r="AT27" i="9"/>
  <c r="AY23" i="9"/>
  <c r="AY29" i="9"/>
  <c r="AY25" i="9"/>
  <c r="H59" i="15"/>
  <c r="H49" i="15"/>
  <c r="AF23" i="9"/>
  <c r="AX31" i="9"/>
  <c r="AX30" i="9"/>
  <c r="AU30" i="9"/>
  <c r="AY27" i="9"/>
  <c r="AZ23" i="9"/>
  <c r="BI25" i="9"/>
  <c r="C11" i="14"/>
  <c r="B64" i="15"/>
  <c r="B54" i="15"/>
  <c r="B77" i="15"/>
  <c r="B86" i="15" s="1"/>
  <c r="B95" i="15" s="1"/>
  <c r="C59" i="15"/>
  <c r="C49" i="15"/>
  <c r="B61" i="15"/>
  <c r="B51" i="15"/>
  <c r="B74" i="15"/>
  <c r="B83" i="15" s="1"/>
  <c r="B92" i="15" s="1"/>
  <c r="AZ29" i="9"/>
  <c r="AQ29" i="9"/>
  <c r="AQ24" i="9"/>
  <c r="AQ26" i="9"/>
  <c r="AQ27" i="9"/>
  <c r="AF28" i="9"/>
  <c r="AP28" i="9"/>
  <c r="AF29" i="9"/>
  <c r="AP29" i="9"/>
  <c r="AN24" i="9"/>
  <c r="AU26" i="9"/>
  <c r="AT29" i="9"/>
  <c r="AF24" i="9"/>
  <c r="AP24" i="9"/>
  <c r="AF31" i="9"/>
  <c r="AP31" i="9"/>
  <c r="AP23" i="9"/>
  <c r="A15" i="8"/>
  <c r="A25" i="8" s="1"/>
  <c r="B9" i="12" s="1"/>
  <c r="B26" i="12" s="1"/>
  <c r="AU24" i="9"/>
  <c r="AQ28" i="9"/>
  <c r="BG28" i="9" s="1"/>
  <c r="AU29" i="9"/>
  <c r="AF30" i="9"/>
  <c r="AP30" i="9"/>
  <c r="AF27" i="9"/>
  <c r="AP27" i="9"/>
  <c r="AF26" i="9"/>
  <c r="AP26" i="9"/>
  <c r="S32" i="9"/>
  <c r="AI32" i="9" s="1"/>
  <c r="AY32" i="9" s="1"/>
  <c r="C33" i="9"/>
  <c r="S33" i="9" s="1"/>
  <c r="AI33" i="9" s="1"/>
  <c r="AY33" i="9" s="1"/>
  <c r="A14" i="8"/>
  <c r="A24" i="8" s="1"/>
  <c r="B8" i="12" s="1"/>
  <c r="B25" i="12" s="1"/>
  <c r="AQ23" i="9"/>
  <c r="BG23" i="9" s="1"/>
  <c r="AT23" i="9"/>
  <c r="BJ23" i="9" s="1"/>
  <c r="AN25" i="9"/>
  <c r="B11" i="8" s="1" a="1"/>
  <c r="AU27" i="9"/>
  <c r="AF25" i="9"/>
  <c r="AP25" i="9"/>
  <c r="AT28" i="9"/>
  <c r="BJ28" i="9" s="1"/>
  <c r="AN31" i="9"/>
  <c r="AU28" i="9"/>
  <c r="BK28" i="9" s="1"/>
  <c r="AN30" i="9"/>
  <c r="AQ30" i="9"/>
  <c r="BG30" i="9" s="1"/>
  <c r="C12" i="8"/>
  <c r="C22" i="8" s="1"/>
  <c r="D6" i="12" s="1"/>
  <c r="C11" i="8"/>
  <c r="C21" i="8" s="1"/>
  <c r="D5" i="12" s="1"/>
  <c r="C14" i="8"/>
  <c r="C24" i="8" s="1"/>
  <c r="D8" i="12" s="1"/>
  <c r="C18" i="8"/>
  <c r="C28" i="8" s="1"/>
  <c r="D12" i="12" s="1"/>
  <c r="C15" i="8"/>
  <c r="C25" i="8" s="1"/>
  <c r="D9" i="12" s="1"/>
  <c r="C17" i="8"/>
  <c r="C27" i="8" s="1"/>
  <c r="D11" i="12" s="1"/>
  <c r="C16" i="8"/>
  <c r="C26" i="8" s="1"/>
  <c r="D10" i="12" s="1"/>
  <c r="C13" i="8"/>
  <c r="C23" i="8" s="1"/>
  <c r="D7" i="12" s="1"/>
  <c r="AM32" i="9"/>
  <c r="BC32" i="9" s="1"/>
  <c r="AJ32" i="9"/>
  <c r="AZ32" i="9" s="1"/>
  <c r="AK32" i="9"/>
  <c r="BA32" i="9" s="1"/>
  <c r="AH32" i="9"/>
  <c r="AX32" i="9" s="1"/>
  <c r="AL32" i="9"/>
  <c r="BB32" i="9" s="1"/>
  <c r="M33" i="9"/>
  <c r="AC32" i="9"/>
  <c r="AS32" i="9" s="1"/>
  <c r="BI32" i="9" s="1"/>
  <c r="AE32" i="9"/>
  <c r="AU32" i="9" s="1"/>
  <c r="O33" i="9"/>
  <c r="N33" i="9"/>
  <c r="AD32" i="9"/>
  <c r="AT32" i="9" s="1"/>
  <c r="G33" i="9"/>
  <c r="W33" i="9" s="1"/>
  <c r="Z32" i="9"/>
  <c r="P32" i="9"/>
  <c r="J33" i="9"/>
  <c r="E33" i="9"/>
  <c r="U33" i="9" s="1"/>
  <c r="F33" i="9"/>
  <c r="V33" i="9" s="1"/>
  <c r="AA32" i="9"/>
  <c r="AQ32" i="9" s="1"/>
  <c r="K33" i="9"/>
  <c r="H32" i="9"/>
  <c r="B33" i="9"/>
  <c r="R33" i="9" s="1"/>
  <c r="L33" i="9"/>
  <c r="AB32" i="9"/>
  <c r="AR32" i="9" s="1"/>
  <c r="BH32" i="9" s="1"/>
  <c r="D33" i="9"/>
  <c r="T33" i="9" s="1"/>
  <c r="BJ32" i="9" l="1"/>
  <c r="BJ29" i="9"/>
  <c r="BD23" i="9"/>
  <c r="BD24" i="9"/>
  <c r="BK27" i="9"/>
  <c r="BG29" i="9"/>
  <c r="BD31" i="9"/>
  <c r="BJ30" i="9"/>
  <c r="BJ24" i="9"/>
  <c r="BK32" i="9"/>
  <c r="B11" i="8"/>
  <c r="B21" i="8" s="1"/>
  <c r="C5" i="12" s="1"/>
  <c r="B12" i="8"/>
  <c r="B22" i="8" s="1"/>
  <c r="C6" i="12" s="1"/>
  <c r="B17" i="8"/>
  <c r="B27" i="8" s="1"/>
  <c r="C11" i="12" s="1"/>
  <c r="B14" i="8"/>
  <c r="B24" i="8" s="1"/>
  <c r="C8" i="12" s="1"/>
  <c r="B13" i="8"/>
  <c r="B23" i="8" s="1"/>
  <c r="C7" i="12" s="1"/>
  <c r="B18" i="8"/>
  <c r="B28" i="8" s="1"/>
  <c r="C12" i="12" s="1"/>
  <c r="D36" i="12" s="1"/>
  <c r="B16" i="8"/>
  <c r="B26" i="8" s="1"/>
  <c r="C10" i="12" s="1"/>
  <c r="B15" i="8"/>
  <c r="B25" i="8" s="1"/>
  <c r="C9" i="12" s="1"/>
  <c r="B11" i="13"/>
  <c r="B28" i="13" s="1"/>
  <c r="A56" i="8"/>
  <c r="BF23" i="9"/>
  <c r="AV23" i="9"/>
  <c r="BF25" i="9"/>
  <c r="AV25" i="9"/>
  <c r="B40" i="8" s="1" a="1"/>
  <c r="BG26" i="9"/>
  <c r="B6" i="13"/>
  <c r="B23" i="13" s="1"/>
  <c r="A51" i="8"/>
  <c r="BG32" i="9"/>
  <c r="D15" i="12"/>
  <c r="D32" i="12" s="1"/>
  <c r="D22" i="12"/>
  <c r="BF26" i="9"/>
  <c r="AV26" i="9"/>
  <c r="BK24" i="9"/>
  <c r="BK26" i="9"/>
  <c r="BG24" i="9"/>
  <c r="BG25" i="9"/>
  <c r="BK23" i="9"/>
  <c r="A53" i="8"/>
  <c r="B8" i="13"/>
  <c r="B25" i="13" s="1"/>
  <c r="BD29" i="9"/>
  <c r="N4" i="14"/>
  <c r="N5" i="14"/>
  <c r="K11" i="14" s="1"/>
  <c r="BF27" i="9"/>
  <c r="AV27" i="9"/>
  <c r="B12" i="13"/>
  <c r="B29" i="13" s="1"/>
  <c r="A57" i="8"/>
  <c r="BF31" i="9"/>
  <c r="AV31" i="9"/>
  <c r="BF30" i="9"/>
  <c r="AV30" i="9"/>
  <c r="AV28" i="9"/>
  <c r="BF28" i="9"/>
  <c r="BL28" i="9" s="1"/>
  <c r="C40" i="8" a="1"/>
  <c r="BK30" i="9"/>
  <c r="AV24" i="9"/>
  <c r="BF24" i="9"/>
  <c r="BL24" i="9" s="1"/>
  <c r="BD30" i="9"/>
  <c r="BJ27" i="9"/>
  <c r="BJ31" i="9"/>
  <c r="BG31" i="9"/>
  <c r="B9" i="13"/>
  <c r="B26" i="13" s="1"/>
  <c r="A54" i="8"/>
  <c r="BK25" i="9"/>
  <c r="BJ26" i="9"/>
  <c r="AV29" i="9"/>
  <c r="BF29" i="9"/>
  <c r="A52" i="8"/>
  <c r="B7" i="13"/>
  <c r="B24" i="13" s="1"/>
  <c r="BD25" i="9"/>
  <c r="X32" i="9"/>
  <c r="D16" i="12"/>
  <c r="BK29" i="9"/>
  <c r="BG27" i="9"/>
  <c r="BK31" i="9"/>
  <c r="BJ25" i="9"/>
  <c r="B10" i="13"/>
  <c r="B27" i="13" s="1"/>
  <c r="A55" i="8"/>
  <c r="BD32" i="9"/>
  <c r="AP32" i="9"/>
  <c r="AF32" i="9"/>
  <c r="AN32" i="9"/>
  <c r="AL33" i="9"/>
  <c r="BB33" i="9" s="1"/>
  <c r="AJ33" i="9"/>
  <c r="AZ33" i="9" s="1"/>
  <c r="AK33" i="9"/>
  <c r="BA33" i="9" s="1"/>
  <c r="AH33" i="9"/>
  <c r="AX33" i="9" s="1"/>
  <c r="AM33" i="9"/>
  <c r="BC33" i="9" s="1"/>
  <c r="C34" i="9"/>
  <c r="S34" i="9" s="1"/>
  <c r="M34" i="9"/>
  <c r="AC33" i="9"/>
  <c r="AS33" i="9" s="1"/>
  <c r="BI33" i="9" s="1"/>
  <c r="F34" i="9"/>
  <c r="V34" i="9" s="1"/>
  <c r="AB33" i="9"/>
  <c r="AR33" i="9" s="1"/>
  <c r="BH33" i="9" s="1"/>
  <c r="L34" i="9"/>
  <c r="AA33" i="9"/>
  <c r="AQ33" i="9" s="1"/>
  <c r="BG33" i="9" s="1"/>
  <c r="K34" i="9"/>
  <c r="D34" i="9"/>
  <c r="T34" i="9" s="1"/>
  <c r="G34" i="9"/>
  <c r="W34" i="9" s="1"/>
  <c r="B34" i="9"/>
  <c r="R34" i="9" s="1"/>
  <c r="H33" i="9"/>
  <c r="X33" i="9" s="1"/>
  <c r="N34" i="9"/>
  <c r="AD33" i="9"/>
  <c r="AT33" i="9" s="1"/>
  <c r="BJ33" i="9" s="1"/>
  <c r="E34" i="9"/>
  <c r="U34" i="9" s="1"/>
  <c r="O34" i="9"/>
  <c r="AE33" i="9"/>
  <c r="AU33" i="9" s="1"/>
  <c r="BK33" i="9" s="1"/>
  <c r="J34" i="9"/>
  <c r="P33" i="9"/>
  <c r="Z33" i="9"/>
  <c r="BL30" i="9" l="1"/>
  <c r="D17" i="12"/>
  <c r="D33" i="12"/>
  <c r="C16" i="12"/>
  <c r="BL25" i="9"/>
  <c r="BL31" i="9"/>
  <c r="BL23" i="9"/>
  <c r="BL27" i="9"/>
  <c r="B40" i="8"/>
  <c r="B46" i="8"/>
  <c r="B42" i="8"/>
  <c r="B44" i="8"/>
  <c r="B47" i="8"/>
  <c r="B41" i="8"/>
  <c r="B45" i="8"/>
  <c r="B43" i="8"/>
  <c r="C47" i="8"/>
  <c r="C42" i="8"/>
  <c r="C40" i="8"/>
  <c r="C41" i="8"/>
  <c r="C46" i="8"/>
  <c r="C45" i="8"/>
  <c r="C44" i="8"/>
  <c r="C43" i="8"/>
  <c r="D19" i="14"/>
  <c r="G20" i="14"/>
  <c r="F17" i="14"/>
  <c r="I17" i="14"/>
  <c r="G15" i="14"/>
  <c r="D15" i="14"/>
  <c r="H16" i="14"/>
  <c r="H26" i="14" s="1"/>
  <c r="B20" i="14"/>
  <c r="B30" i="14" s="1"/>
  <c r="E18" i="14"/>
  <c r="B16" i="14"/>
  <c r="B26" i="14" s="1"/>
  <c r="C19" i="14"/>
  <c r="J16" i="14"/>
  <c r="H19" i="14"/>
  <c r="I18" i="14"/>
  <c r="F18" i="14"/>
  <c r="B18" i="14"/>
  <c r="B28" i="14" s="1"/>
  <c r="E16" i="14"/>
  <c r="E26" i="14" s="1"/>
  <c r="H15" i="14"/>
  <c r="I19" i="14"/>
  <c r="D17" i="14"/>
  <c r="I15" i="14"/>
  <c r="K5" i="14"/>
  <c r="K7" i="14"/>
  <c r="B19" i="14"/>
  <c r="B29" i="14" s="1"/>
  <c r="F16" i="14"/>
  <c r="F26" i="14" s="1"/>
  <c r="F19" i="14"/>
  <c r="C17" i="14"/>
  <c r="H18" i="14"/>
  <c r="K8" i="14"/>
  <c r="E19" i="14"/>
  <c r="K6" i="14"/>
  <c r="D18" i="14"/>
  <c r="D28" i="14" s="1"/>
  <c r="D38" i="14" s="1"/>
  <c r="J18" i="14"/>
  <c r="K9" i="14"/>
  <c r="G17" i="14"/>
  <c r="F20" i="14"/>
  <c r="G19" i="14"/>
  <c r="G18" i="14"/>
  <c r="J20" i="14"/>
  <c r="E15" i="14"/>
  <c r="J17" i="14"/>
  <c r="D20" i="14"/>
  <c r="F15" i="14"/>
  <c r="G16" i="14"/>
  <c r="C20" i="14"/>
  <c r="B15" i="14"/>
  <c r="I16" i="14"/>
  <c r="I26" i="14" s="1"/>
  <c r="C16" i="14"/>
  <c r="C26" i="14" s="1"/>
  <c r="J15" i="14"/>
  <c r="C18" i="14"/>
  <c r="H20" i="14"/>
  <c r="I20" i="14"/>
  <c r="C15" i="14"/>
  <c r="E17" i="14"/>
  <c r="E27" i="14" s="1"/>
  <c r="D16" i="14"/>
  <c r="D26" i="14" s="1"/>
  <c r="D36" i="14" s="1"/>
  <c r="J19" i="14"/>
  <c r="H17" i="14"/>
  <c r="H27" i="14" s="1"/>
  <c r="B17" i="14"/>
  <c r="B27" i="14" s="1"/>
  <c r="K10" i="14"/>
  <c r="E20" i="14"/>
  <c r="BL29" i="9"/>
  <c r="BL26" i="9"/>
  <c r="C22" i="12"/>
  <c r="C15" i="12"/>
  <c r="C32" i="12" s="1"/>
  <c r="BF32" i="9"/>
  <c r="BL32" i="9" s="1"/>
  <c r="AV32" i="9"/>
  <c r="BD33" i="9"/>
  <c r="AN33" i="9"/>
  <c r="AP33" i="9"/>
  <c r="AF33" i="9"/>
  <c r="AL34" i="9"/>
  <c r="BB34" i="9" s="1"/>
  <c r="AH34" i="9"/>
  <c r="AX34" i="9" s="1"/>
  <c r="AM34" i="9"/>
  <c r="BC34" i="9" s="1"/>
  <c r="AJ34" i="9"/>
  <c r="AZ34" i="9" s="1"/>
  <c r="AK34" i="9"/>
  <c r="BA34" i="9" s="1"/>
  <c r="C35" i="9"/>
  <c r="S35" i="9" s="1"/>
  <c r="AI34" i="9"/>
  <c r="AY34" i="9" s="1"/>
  <c r="K35" i="9"/>
  <c r="AA34" i="9"/>
  <c r="AQ34" i="9" s="1"/>
  <c r="BG34" i="9" s="1"/>
  <c r="Z34" i="9"/>
  <c r="J35" i="9"/>
  <c r="P34" i="9"/>
  <c r="B35" i="9"/>
  <c r="R35" i="9" s="1"/>
  <c r="H34" i="9"/>
  <c r="X34" i="9" s="1"/>
  <c r="AB34" i="9"/>
  <c r="AR34" i="9" s="1"/>
  <c r="BH34" i="9" s="1"/>
  <c r="L35" i="9"/>
  <c r="N35" i="9"/>
  <c r="AD34" i="9"/>
  <c r="AT34" i="9" s="1"/>
  <c r="BJ34" i="9" s="1"/>
  <c r="AC34" i="9"/>
  <c r="AS34" i="9" s="1"/>
  <c r="BI34" i="9" s="1"/>
  <c r="M35" i="9"/>
  <c r="AE34" i="9"/>
  <c r="AU34" i="9" s="1"/>
  <c r="BK34" i="9" s="1"/>
  <c r="O35" i="9"/>
  <c r="G35" i="9"/>
  <c r="W35" i="9" s="1"/>
  <c r="E35" i="9"/>
  <c r="U35" i="9" s="1"/>
  <c r="D35" i="9"/>
  <c r="T35" i="9" s="1"/>
  <c r="F35" i="9"/>
  <c r="V35" i="9" s="1"/>
  <c r="C36" i="14" l="1"/>
  <c r="G27" i="14"/>
  <c r="C27" i="14"/>
  <c r="F27" i="14"/>
  <c r="F37" i="14" s="1"/>
  <c r="F36" i="14"/>
  <c r="E36" i="14"/>
  <c r="E28" i="14"/>
  <c r="E38" i="14" s="1"/>
  <c r="D29" i="14"/>
  <c r="D39" i="14" s="1"/>
  <c r="J25" i="14"/>
  <c r="J21" i="14"/>
  <c r="K15" i="14" s="1"/>
  <c r="K17" i="14"/>
  <c r="J27" i="14"/>
  <c r="K18" i="14"/>
  <c r="J28" i="14"/>
  <c r="J38" i="14" s="1"/>
  <c r="B50" i="8"/>
  <c r="C5" i="13"/>
  <c r="H30" i="14"/>
  <c r="F21" i="14"/>
  <c r="F25" i="14"/>
  <c r="I29" i="14"/>
  <c r="I39" i="14" s="1"/>
  <c r="C29" i="14"/>
  <c r="C39" i="14" s="1"/>
  <c r="D5" i="13"/>
  <c r="C50" i="8"/>
  <c r="B52" i="8"/>
  <c r="C7" i="13"/>
  <c r="C28" i="14"/>
  <c r="C38" i="14" s="1"/>
  <c r="D30" i="14"/>
  <c r="D40" i="14" s="1"/>
  <c r="F29" i="14"/>
  <c r="F39" i="14" s="1"/>
  <c r="F49" i="14" s="1"/>
  <c r="H25" i="14"/>
  <c r="H21" i="14"/>
  <c r="B36" i="14"/>
  <c r="G30" i="14"/>
  <c r="C52" i="8"/>
  <c r="D7" i="13"/>
  <c r="C11" i="13"/>
  <c r="B56" i="8"/>
  <c r="J29" i="14"/>
  <c r="E25" i="14"/>
  <c r="E21" i="14"/>
  <c r="B38" i="14"/>
  <c r="J30" i="14"/>
  <c r="K20" i="14"/>
  <c r="H36" i="14"/>
  <c r="C54" i="8"/>
  <c r="D9" i="13"/>
  <c r="B55" i="8"/>
  <c r="C10" i="13"/>
  <c r="G28" i="14"/>
  <c r="G38" i="14" s="1"/>
  <c r="G48" i="14" s="1"/>
  <c r="C25" i="14"/>
  <c r="C21" i="14"/>
  <c r="C30" i="14"/>
  <c r="G29" i="14"/>
  <c r="G39" i="14" s="1"/>
  <c r="G49" i="14" s="1"/>
  <c r="I25" i="14"/>
  <c r="I21" i="14"/>
  <c r="H29" i="14"/>
  <c r="H39" i="14" s="1"/>
  <c r="G25" i="14"/>
  <c r="G21" i="14"/>
  <c r="C56" i="8"/>
  <c r="D11" i="13"/>
  <c r="B57" i="8"/>
  <c r="C12" i="13"/>
  <c r="D12" i="13"/>
  <c r="C57" i="8"/>
  <c r="D48" i="14"/>
  <c r="C53" i="8"/>
  <c r="D8" i="13"/>
  <c r="B53" i="8"/>
  <c r="C8" i="13"/>
  <c r="I36" i="14"/>
  <c r="F28" i="14"/>
  <c r="F38" i="14" s="1"/>
  <c r="C33" i="12"/>
  <c r="C17" i="12"/>
  <c r="B25" i="14"/>
  <c r="B21" i="14"/>
  <c r="B31" i="14" s="1"/>
  <c r="E29" i="14"/>
  <c r="E39" i="14" s="1"/>
  <c r="E49" i="14" s="1"/>
  <c r="I28" i="14"/>
  <c r="I38" i="14" s="1"/>
  <c r="D25" i="14"/>
  <c r="D35" i="14" s="1"/>
  <c r="D21" i="14"/>
  <c r="C55" i="8"/>
  <c r="D10" i="13"/>
  <c r="C6" i="13"/>
  <c r="B51" i="8"/>
  <c r="E30" i="14"/>
  <c r="I30" i="14"/>
  <c r="G26" i="14"/>
  <c r="G36" i="14" s="1"/>
  <c r="G46" i="14" s="1"/>
  <c r="F30" i="14"/>
  <c r="H28" i="14"/>
  <c r="H38" i="14" s="1"/>
  <c r="D27" i="14"/>
  <c r="D37" i="14" s="1"/>
  <c r="J26" i="14"/>
  <c r="J36" i="14" s="1"/>
  <c r="I27" i="14"/>
  <c r="I37" i="14" s="1"/>
  <c r="D6" i="13"/>
  <c r="C51" i="8"/>
  <c r="C9" i="13"/>
  <c r="B54" i="8"/>
  <c r="D34" i="12"/>
  <c r="D18" i="12"/>
  <c r="E34" i="12"/>
  <c r="BD34" i="9"/>
  <c r="BF33" i="9"/>
  <c r="BL33" i="9" s="1"/>
  <c r="AV33" i="9"/>
  <c r="D40" i="8" s="1" a="1"/>
  <c r="AP34" i="9"/>
  <c r="AF34" i="9"/>
  <c r="AN34" i="9"/>
  <c r="D11" i="8" a="1"/>
  <c r="D12" i="8" s="1"/>
  <c r="D22" i="8" s="1"/>
  <c r="E6" i="12" s="1"/>
  <c r="AL35" i="9"/>
  <c r="BB35" i="9" s="1"/>
  <c r="AJ35" i="9"/>
  <c r="AZ35" i="9" s="1"/>
  <c r="AK35" i="9"/>
  <c r="BA35" i="9" s="1"/>
  <c r="AM35" i="9"/>
  <c r="BC35" i="9" s="1"/>
  <c r="AH35" i="9"/>
  <c r="AX35" i="9" s="1"/>
  <c r="C36" i="9"/>
  <c r="S36" i="9" s="1"/>
  <c r="AI35" i="9"/>
  <c r="AY35" i="9" s="1"/>
  <c r="AA35" i="9"/>
  <c r="AQ35" i="9" s="1"/>
  <c r="BG35" i="9" s="1"/>
  <c r="K36" i="9"/>
  <c r="B36" i="9"/>
  <c r="R36" i="9" s="1"/>
  <c r="H35" i="9"/>
  <c r="X35" i="9" s="1"/>
  <c r="M36" i="9"/>
  <c r="AC35" i="9"/>
  <c r="AS35" i="9" s="1"/>
  <c r="BI35" i="9" s="1"/>
  <c r="E36" i="9"/>
  <c r="U36" i="9" s="1"/>
  <c r="AE35" i="9"/>
  <c r="AU35" i="9" s="1"/>
  <c r="BK35" i="9" s="1"/>
  <c r="O36" i="9"/>
  <c r="F36" i="9"/>
  <c r="V36" i="9" s="1"/>
  <c r="D36" i="9"/>
  <c r="T36" i="9" s="1"/>
  <c r="J36" i="9"/>
  <c r="P35" i="9"/>
  <c r="Z35" i="9"/>
  <c r="G36" i="9"/>
  <c r="W36" i="9" s="1"/>
  <c r="AD35" i="9"/>
  <c r="AT35" i="9" s="1"/>
  <c r="BJ35" i="9" s="1"/>
  <c r="N36" i="9"/>
  <c r="AB35" i="9"/>
  <c r="AR35" i="9" s="1"/>
  <c r="BH35" i="9" s="1"/>
  <c r="L36" i="9"/>
  <c r="G31" i="14" l="1"/>
  <c r="E40" i="14"/>
  <c r="H37" i="14"/>
  <c r="J40" i="14"/>
  <c r="F48" i="14"/>
  <c r="F58" i="14" s="1"/>
  <c r="H49" i="14"/>
  <c r="F31" i="14"/>
  <c r="J37" i="14"/>
  <c r="D49" i="14"/>
  <c r="H40" i="14"/>
  <c r="H50" i="14" s="1"/>
  <c r="H60" i="14" s="1"/>
  <c r="C31" i="14"/>
  <c r="G37" i="14"/>
  <c r="G47" i="14" s="1"/>
  <c r="I40" i="14"/>
  <c r="I50" i="14" s="1"/>
  <c r="I48" i="14"/>
  <c r="J39" i="14"/>
  <c r="H31" i="14"/>
  <c r="B39" i="14"/>
  <c r="B49" i="14" s="1"/>
  <c r="B59" i="14" s="1"/>
  <c r="H48" i="14"/>
  <c r="C34" i="12"/>
  <c r="C18" i="12"/>
  <c r="J49" i="14"/>
  <c r="J59" i="14" s="1"/>
  <c r="G40" i="14"/>
  <c r="G50" i="14" s="1"/>
  <c r="E48" i="14"/>
  <c r="F40" i="14"/>
  <c r="D31" i="14"/>
  <c r="D41" i="14" s="1"/>
  <c r="B40" i="14"/>
  <c r="B50" i="14" s="1"/>
  <c r="C40" i="14"/>
  <c r="C50" i="14" s="1"/>
  <c r="H46" i="14"/>
  <c r="K19" i="14"/>
  <c r="B46" i="14"/>
  <c r="F35" i="14"/>
  <c r="J48" i="14"/>
  <c r="J58" i="14" s="1"/>
  <c r="I58" i="14"/>
  <c r="J50" i="14"/>
  <c r="J60" i="14" s="1"/>
  <c r="D36" i="13"/>
  <c r="D16" i="13"/>
  <c r="B41" i="14"/>
  <c r="B48" i="14"/>
  <c r="B58" i="14" s="1"/>
  <c r="C49" i="14"/>
  <c r="C46" i="14"/>
  <c r="D35" i="12"/>
  <c r="D24" i="12"/>
  <c r="D27" i="12"/>
  <c r="D25" i="12"/>
  <c r="D23" i="12"/>
  <c r="D26" i="12"/>
  <c r="D28" i="12"/>
  <c r="D29" i="12"/>
  <c r="K16" i="14"/>
  <c r="B35" i="14"/>
  <c r="F46" i="14"/>
  <c r="I31" i="14"/>
  <c r="I41" i="14" s="1"/>
  <c r="E31" i="14"/>
  <c r="E41" i="14" s="1"/>
  <c r="E51" i="14" s="1"/>
  <c r="C48" i="14"/>
  <c r="C58" i="14" s="1"/>
  <c r="I49" i="14"/>
  <c r="C22" i="13"/>
  <c r="C15" i="13"/>
  <c r="C32" i="13" s="1"/>
  <c r="D58" i="14"/>
  <c r="E46" i="14"/>
  <c r="G41" i="14"/>
  <c r="G51" i="14" s="1"/>
  <c r="C35" i="14"/>
  <c r="C45" i="14" s="1"/>
  <c r="H35" i="14"/>
  <c r="D22" i="13"/>
  <c r="D15" i="13"/>
  <c r="D32" i="13" s="1"/>
  <c r="E50" i="14"/>
  <c r="I46" i="14"/>
  <c r="G35" i="14"/>
  <c r="G45" i="14" s="1"/>
  <c r="D46" i="14"/>
  <c r="J46" i="14"/>
  <c r="J56" i="14" s="1"/>
  <c r="D50" i="14"/>
  <c r="K21" i="14"/>
  <c r="J31" i="14"/>
  <c r="J41" i="14" s="1"/>
  <c r="E37" i="14"/>
  <c r="E47" i="14" s="1"/>
  <c r="C16" i="13"/>
  <c r="I35" i="14"/>
  <c r="E35" i="14"/>
  <c r="B37" i="14"/>
  <c r="C37" i="14"/>
  <c r="J35" i="14"/>
  <c r="BD35" i="9"/>
  <c r="BF34" i="9"/>
  <c r="BL34" i="9" s="1"/>
  <c r="AV34" i="9"/>
  <c r="D40" i="8"/>
  <c r="D43" i="8"/>
  <c r="D42" i="8"/>
  <c r="D44" i="8"/>
  <c r="D46" i="8"/>
  <c r="D47" i="8"/>
  <c r="D41" i="8"/>
  <c r="D45" i="8"/>
  <c r="AN35" i="9"/>
  <c r="AP35" i="9"/>
  <c r="AF35" i="9"/>
  <c r="D17" i="8"/>
  <c r="D27" i="8" s="1"/>
  <c r="E11" i="12" s="1"/>
  <c r="D16" i="8"/>
  <c r="D26" i="8" s="1"/>
  <c r="E10" i="12" s="1"/>
  <c r="D15" i="8"/>
  <c r="D25" i="8" s="1"/>
  <c r="E9" i="12" s="1"/>
  <c r="D18" i="8"/>
  <c r="D28" i="8" s="1"/>
  <c r="E12" i="12" s="1"/>
  <c r="D11" i="8"/>
  <c r="D21" i="8" s="1"/>
  <c r="E5" i="12" s="1"/>
  <c r="D13" i="8"/>
  <c r="D23" i="8" s="1"/>
  <c r="E7" i="12" s="1"/>
  <c r="D14" i="8"/>
  <c r="D24" i="8" s="1"/>
  <c r="E8" i="12" s="1"/>
  <c r="AM36" i="9"/>
  <c r="BC36" i="9" s="1"/>
  <c r="AK36" i="9"/>
  <c r="BA36" i="9" s="1"/>
  <c r="AL36" i="9"/>
  <c r="BB36" i="9" s="1"/>
  <c r="AJ36" i="9"/>
  <c r="AZ36" i="9" s="1"/>
  <c r="AH36" i="9"/>
  <c r="AX36" i="9" s="1"/>
  <c r="C37" i="9"/>
  <c r="S37" i="9" s="1"/>
  <c r="AI36" i="9"/>
  <c r="AY36" i="9" s="1"/>
  <c r="N37" i="9"/>
  <c r="AD36" i="9"/>
  <c r="AT36" i="9" s="1"/>
  <c r="BJ36" i="9" s="1"/>
  <c r="F37" i="9"/>
  <c r="V37" i="9" s="1"/>
  <c r="H36" i="9"/>
  <c r="X36" i="9" s="1"/>
  <c r="B37" i="9"/>
  <c r="R37" i="9" s="1"/>
  <c r="D37" i="9"/>
  <c r="T37" i="9" s="1"/>
  <c r="M37" i="9"/>
  <c r="AC36" i="9"/>
  <c r="AS36" i="9" s="1"/>
  <c r="BI36" i="9" s="1"/>
  <c r="AA36" i="9"/>
  <c r="AQ36" i="9" s="1"/>
  <c r="BG36" i="9" s="1"/>
  <c r="K37" i="9"/>
  <c r="G37" i="9"/>
  <c r="W37" i="9" s="1"/>
  <c r="AE36" i="9"/>
  <c r="AU36" i="9" s="1"/>
  <c r="BK36" i="9" s="1"/>
  <c r="O37" i="9"/>
  <c r="AB36" i="9"/>
  <c r="AR36" i="9" s="1"/>
  <c r="BH36" i="9" s="1"/>
  <c r="L37" i="9"/>
  <c r="P36" i="9"/>
  <c r="J37" i="9"/>
  <c r="Z36" i="9"/>
  <c r="E37" i="9"/>
  <c r="U37" i="9" s="1"/>
  <c r="I51" i="14" l="1"/>
  <c r="I47" i="14"/>
  <c r="H45" i="14"/>
  <c r="I59" i="14"/>
  <c r="C59" i="14"/>
  <c r="D44" i="15" s="1"/>
  <c r="D54" i="15" s="1"/>
  <c r="G59" i="14"/>
  <c r="H64" i="15" s="1"/>
  <c r="D86" i="15" s="1"/>
  <c r="J51" i="14"/>
  <c r="J61" i="14" s="1"/>
  <c r="F59" i="14"/>
  <c r="H47" i="14"/>
  <c r="C47" i="14"/>
  <c r="B45" i="14"/>
  <c r="F50" i="14"/>
  <c r="F60" i="14" s="1"/>
  <c r="G65" i="15" s="1"/>
  <c r="H59" i="14"/>
  <c r="B51" i="14"/>
  <c r="B61" i="14" s="1"/>
  <c r="C66" i="15" s="1"/>
  <c r="H41" i="14"/>
  <c r="F41" i="14"/>
  <c r="F51" i="14" s="1"/>
  <c r="B47" i="14"/>
  <c r="E58" i="14"/>
  <c r="J47" i="14"/>
  <c r="J57" i="14" s="1"/>
  <c r="E57" i="14"/>
  <c r="F42" i="15" s="1"/>
  <c r="F52" i="15" s="1"/>
  <c r="D47" i="14"/>
  <c r="D57" i="14" s="1"/>
  <c r="E62" i="15" s="1"/>
  <c r="C84" i="15" s="1"/>
  <c r="E45" i="14"/>
  <c r="D59" i="14"/>
  <c r="E59" i="14"/>
  <c r="B56" i="14"/>
  <c r="C41" i="15" s="1"/>
  <c r="C51" i="15" s="1"/>
  <c r="F47" i="14"/>
  <c r="I64" i="15"/>
  <c r="I44" i="15"/>
  <c r="I54" i="15" s="1"/>
  <c r="C61" i="15"/>
  <c r="D53" i="8"/>
  <c r="E8" i="13"/>
  <c r="K61" i="15"/>
  <c r="K41" i="15"/>
  <c r="K65" i="15"/>
  <c r="K45" i="15"/>
  <c r="F43" i="15"/>
  <c r="F53" i="15" s="1"/>
  <c r="F63" i="15"/>
  <c r="K66" i="15"/>
  <c r="K46" i="15"/>
  <c r="D43" i="15"/>
  <c r="D53" i="15" s="1"/>
  <c r="D63" i="15"/>
  <c r="G64" i="15"/>
  <c r="G44" i="15"/>
  <c r="G54" i="15" s="1"/>
  <c r="J63" i="15"/>
  <c r="J43" i="15"/>
  <c r="J53" i="15" s="1"/>
  <c r="C60" i="14"/>
  <c r="G63" i="15"/>
  <c r="G43" i="15"/>
  <c r="G53" i="15" s="1"/>
  <c r="E16" i="12"/>
  <c r="E36" i="12"/>
  <c r="D51" i="8"/>
  <c r="E6" i="13"/>
  <c r="I45" i="14"/>
  <c r="D56" i="14"/>
  <c r="G61" i="14"/>
  <c r="C56" i="14"/>
  <c r="H51" i="14"/>
  <c r="H61" i="14" s="1"/>
  <c r="H58" i="14"/>
  <c r="I65" i="15"/>
  <c r="I45" i="15"/>
  <c r="I55" i="15" s="1"/>
  <c r="J64" i="15"/>
  <c r="J44" i="15"/>
  <c r="J54" i="15" s="1"/>
  <c r="E22" i="12"/>
  <c r="E15" i="12"/>
  <c r="E32" i="12" s="1"/>
  <c r="D57" i="8"/>
  <c r="E12" i="13"/>
  <c r="D60" i="14"/>
  <c r="E61" i="14"/>
  <c r="D17" i="13"/>
  <c r="D33" i="13"/>
  <c r="F61" i="14"/>
  <c r="D56" i="8"/>
  <c r="E11" i="13"/>
  <c r="J45" i="14"/>
  <c r="J55" i="14" s="1"/>
  <c r="C33" i="13"/>
  <c r="C17" i="13"/>
  <c r="I56" i="14"/>
  <c r="E56" i="14"/>
  <c r="I61" i="14"/>
  <c r="K63" i="15"/>
  <c r="K43" i="15"/>
  <c r="B60" i="14"/>
  <c r="G60" i="14"/>
  <c r="G58" i="14"/>
  <c r="C41" i="14"/>
  <c r="C51" i="14" s="1"/>
  <c r="C61" i="14" s="1"/>
  <c r="D52" i="8"/>
  <c r="E7" i="13"/>
  <c r="C35" i="12"/>
  <c r="C25" i="12"/>
  <c r="C26" i="12"/>
  <c r="C29" i="12"/>
  <c r="C28" i="12"/>
  <c r="C27" i="12"/>
  <c r="C24" i="12"/>
  <c r="C23" i="12"/>
  <c r="D50" i="8"/>
  <c r="E5" i="13"/>
  <c r="H56" i="14"/>
  <c r="D55" i="8"/>
  <c r="E10" i="13"/>
  <c r="G55" i="14"/>
  <c r="I60" i="14"/>
  <c r="D45" i="14"/>
  <c r="C64" i="15"/>
  <c r="C44" i="15"/>
  <c r="C54" i="15" s="1"/>
  <c r="D54" i="8"/>
  <c r="E9" i="13"/>
  <c r="E64" i="15"/>
  <c r="C86" i="15" s="1"/>
  <c r="E44" i="15"/>
  <c r="E60" i="14"/>
  <c r="E43" i="15"/>
  <c r="E63" i="15"/>
  <c r="C85" i="15" s="1"/>
  <c r="F56" i="14"/>
  <c r="C63" i="15"/>
  <c r="C43" i="15"/>
  <c r="C53" i="15" s="1"/>
  <c r="F44" i="15"/>
  <c r="F54" i="15" s="1"/>
  <c r="F64" i="15"/>
  <c r="F45" i="14"/>
  <c r="D51" i="14"/>
  <c r="D61" i="14" s="1"/>
  <c r="K64" i="15"/>
  <c r="K44" i="15"/>
  <c r="G56" i="14"/>
  <c r="BF35" i="9"/>
  <c r="BL35" i="9" s="1"/>
  <c r="AV35" i="9"/>
  <c r="BD36" i="9"/>
  <c r="AN36" i="9"/>
  <c r="AP36" i="9"/>
  <c r="AF36" i="9"/>
  <c r="AK37" i="9"/>
  <c r="BA37" i="9" s="1"/>
  <c r="AM37" i="9"/>
  <c r="BC37" i="9" s="1"/>
  <c r="AL37" i="9"/>
  <c r="BB37" i="9" s="1"/>
  <c r="AJ37" i="9"/>
  <c r="AZ37" i="9" s="1"/>
  <c r="AH37" i="9"/>
  <c r="AX37" i="9" s="1"/>
  <c r="C38" i="9"/>
  <c r="S38" i="9" s="1"/>
  <c r="AI37" i="9"/>
  <c r="AY37" i="9" s="1"/>
  <c r="G38" i="9"/>
  <c r="W38" i="9" s="1"/>
  <c r="E38" i="9"/>
  <c r="U38" i="9" s="1"/>
  <c r="B38" i="9"/>
  <c r="R38" i="9" s="1"/>
  <c r="H37" i="9"/>
  <c r="X37" i="9" s="1"/>
  <c r="AB37" i="9"/>
  <c r="AR37" i="9" s="1"/>
  <c r="BH37" i="9" s="1"/>
  <c r="L38" i="9"/>
  <c r="K38" i="9"/>
  <c r="AA37" i="9"/>
  <c r="AQ37" i="9" s="1"/>
  <c r="BG37" i="9" s="1"/>
  <c r="AE37" i="9"/>
  <c r="AU37" i="9" s="1"/>
  <c r="BK37" i="9" s="1"/>
  <c r="O38" i="9"/>
  <c r="F38" i="9"/>
  <c r="V38" i="9" s="1"/>
  <c r="J38" i="9"/>
  <c r="P37" i="9"/>
  <c r="Z37" i="9"/>
  <c r="AC37" i="9"/>
  <c r="AS37" i="9" s="1"/>
  <c r="BI37" i="9" s="1"/>
  <c r="M38" i="9"/>
  <c r="D38" i="9"/>
  <c r="T38" i="9" s="1"/>
  <c r="N38" i="9"/>
  <c r="AD37" i="9"/>
  <c r="AT37" i="9" s="1"/>
  <c r="BJ37" i="9" s="1"/>
  <c r="E42" i="15" l="1"/>
  <c r="F62" i="15"/>
  <c r="D64" i="15"/>
  <c r="C46" i="15"/>
  <c r="H44" i="15"/>
  <c r="F57" i="14"/>
  <c r="C57" i="14"/>
  <c r="I57" i="14"/>
  <c r="G45" i="15"/>
  <c r="G55" i="15" s="1"/>
  <c r="B57" i="14"/>
  <c r="H57" i="14"/>
  <c r="K62" i="15"/>
  <c r="K42" i="15"/>
  <c r="G57" i="14"/>
  <c r="K53" i="15"/>
  <c r="M43" i="15"/>
  <c r="F76" i="15" s="1"/>
  <c r="L63" i="15"/>
  <c r="E85" i="15" s="1"/>
  <c r="N43" i="15"/>
  <c r="G76" i="15" s="1"/>
  <c r="L43" i="15"/>
  <c r="E76" i="15" s="1"/>
  <c r="O43" i="15"/>
  <c r="H76" i="15" s="1"/>
  <c r="M63" i="15"/>
  <c r="F85" i="15" s="1"/>
  <c r="P43" i="15"/>
  <c r="I76" i="15" s="1"/>
  <c r="N63" i="15"/>
  <c r="G85" i="15" s="1"/>
  <c r="Q43" i="15"/>
  <c r="J76" i="15" s="1"/>
  <c r="O63" i="15"/>
  <c r="H85" i="15" s="1"/>
  <c r="P63" i="15"/>
  <c r="I85" i="15" s="1"/>
  <c r="R43" i="15"/>
  <c r="K76" i="15" s="1"/>
  <c r="S43" i="15"/>
  <c r="L76" i="15" s="1"/>
  <c r="Q63" i="15"/>
  <c r="J85" i="15" s="1"/>
  <c r="R63" i="15"/>
  <c r="K85" i="15" s="1"/>
  <c r="S63" i="15"/>
  <c r="L85" i="15" s="1"/>
  <c r="E61" i="15"/>
  <c r="C83" i="15" s="1"/>
  <c r="E41" i="15"/>
  <c r="C76" i="15"/>
  <c r="E53" i="15"/>
  <c r="C94" i="15" s="1"/>
  <c r="E65" i="15"/>
  <c r="C87" i="15" s="1"/>
  <c r="E45" i="15"/>
  <c r="K55" i="15"/>
  <c r="L45" i="15"/>
  <c r="N45" i="15"/>
  <c r="M45" i="15"/>
  <c r="L65" i="15"/>
  <c r="O45" i="15"/>
  <c r="M65" i="15"/>
  <c r="N65" i="15"/>
  <c r="P45" i="15"/>
  <c r="O65" i="15"/>
  <c r="Q45" i="15"/>
  <c r="P65" i="15"/>
  <c r="R45" i="15"/>
  <c r="S45" i="15"/>
  <c r="Q65" i="15"/>
  <c r="R65" i="15"/>
  <c r="S65" i="15"/>
  <c r="F55" i="14"/>
  <c r="J66" i="15"/>
  <c r="J46" i="15"/>
  <c r="E16" i="13"/>
  <c r="E36" i="13"/>
  <c r="C77" i="15"/>
  <c r="E54" i="15"/>
  <c r="C95" i="15" s="1"/>
  <c r="I41" i="15"/>
  <c r="I51" i="15" s="1"/>
  <c r="I61" i="15"/>
  <c r="F61" i="15"/>
  <c r="F41" i="15"/>
  <c r="F51" i="15" s="1"/>
  <c r="C56" i="15"/>
  <c r="D65" i="15"/>
  <c r="D45" i="15"/>
  <c r="D55" i="15" s="1"/>
  <c r="K51" i="15"/>
  <c r="L61" i="15"/>
  <c r="E83" i="15" s="1"/>
  <c r="N41" i="15"/>
  <c r="L41" i="15"/>
  <c r="M41" i="15"/>
  <c r="F74" i="15" s="1"/>
  <c r="M61" i="15"/>
  <c r="F83" i="15" s="1"/>
  <c r="O41" i="15"/>
  <c r="H74" i="15" s="1"/>
  <c r="P41" i="15"/>
  <c r="I74" i="15" s="1"/>
  <c r="N61" i="15"/>
  <c r="G83" i="15" s="1"/>
  <c r="Q41" i="15"/>
  <c r="J74" i="15" s="1"/>
  <c r="O61" i="15"/>
  <c r="H83" i="15" s="1"/>
  <c r="R41" i="15"/>
  <c r="P61" i="15"/>
  <c r="I83" i="15" s="1"/>
  <c r="Q61" i="15"/>
  <c r="J83" i="15" s="1"/>
  <c r="S41" i="15"/>
  <c r="L74" i="15" s="1"/>
  <c r="R61" i="15"/>
  <c r="K83" i="15" s="1"/>
  <c r="S61" i="15"/>
  <c r="L83" i="15" s="1"/>
  <c r="H61" i="15"/>
  <c r="D83" i="15" s="1"/>
  <c r="H41" i="15"/>
  <c r="D55" i="14"/>
  <c r="H55" i="14"/>
  <c r="D66" i="15"/>
  <c r="D46" i="15"/>
  <c r="J61" i="15"/>
  <c r="J41" i="15"/>
  <c r="J51" i="15" s="1"/>
  <c r="G66" i="15"/>
  <c r="G46" i="15"/>
  <c r="I63" i="15"/>
  <c r="I43" i="15"/>
  <c r="I53" i="15" s="1"/>
  <c r="H60" i="15"/>
  <c r="H40" i="15"/>
  <c r="K40" i="15"/>
  <c r="K47" i="15" s="1"/>
  <c r="K60" i="15"/>
  <c r="K67" i="15" s="1"/>
  <c r="B55" i="14"/>
  <c r="F65" i="15"/>
  <c r="F45" i="15"/>
  <c r="F55" i="15" s="1"/>
  <c r="E15" i="13"/>
  <c r="E32" i="13" s="1"/>
  <c r="E22" i="13"/>
  <c r="H63" i="15"/>
  <c r="D85" i="15" s="1"/>
  <c r="H43" i="15"/>
  <c r="S46" i="15"/>
  <c r="K56" i="15"/>
  <c r="L46" i="15"/>
  <c r="M46" i="15"/>
  <c r="L66" i="15"/>
  <c r="N46" i="15"/>
  <c r="M66" i="15"/>
  <c r="O46" i="15"/>
  <c r="P46" i="15"/>
  <c r="N66" i="15"/>
  <c r="Q46" i="15"/>
  <c r="O66" i="15"/>
  <c r="R46" i="15"/>
  <c r="P66" i="15"/>
  <c r="Q66" i="15"/>
  <c r="R66" i="15"/>
  <c r="S66" i="15"/>
  <c r="H65" i="15"/>
  <c r="H45" i="15"/>
  <c r="D34" i="13"/>
  <c r="D18" i="13"/>
  <c r="D61" i="15"/>
  <c r="D41" i="15"/>
  <c r="D51" i="15" s="1"/>
  <c r="E33" i="12"/>
  <c r="E18" i="12"/>
  <c r="E35" i="12" s="1"/>
  <c r="F66" i="15"/>
  <c r="F46" i="15"/>
  <c r="D77" i="15"/>
  <c r="H54" i="15"/>
  <c r="E66" i="15"/>
  <c r="E46" i="15"/>
  <c r="I55" i="14"/>
  <c r="C75" i="15"/>
  <c r="E52" i="15"/>
  <c r="C93" i="15" s="1"/>
  <c r="C55" i="14"/>
  <c r="C34" i="13"/>
  <c r="C18" i="13"/>
  <c r="I66" i="15"/>
  <c r="I46" i="15"/>
  <c r="K54" i="15"/>
  <c r="L44" i="15"/>
  <c r="E77" i="15" s="1"/>
  <c r="M44" i="15"/>
  <c r="F77" i="15" s="1"/>
  <c r="L64" i="15"/>
  <c r="E86" i="15" s="1"/>
  <c r="N44" i="15"/>
  <c r="G77" i="15" s="1"/>
  <c r="O44" i="15"/>
  <c r="H77" i="15" s="1"/>
  <c r="M64" i="15"/>
  <c r="F86" i="15" s="1"/>
  <c r="P44" i="15"/>
  <c r="I77" i="15" s="1"/>
  <c r="N64" i="15"/>
  <c r="G86" i="15" s="1"/>
  <c r="Q44" i="15"/>
  <c r="J77" i="15" s="1"/>
  <c r="O64" i="15"/>
  <c r="H86" i="15" s="1"/>
  <c r="R44" i="15"/>
  <c r="K77" i="15" s="1"/>
  <c r="P64" i="15"/>
  <c r="I86" i="15" s="1"/>
  <c r="Q64" i="15"/>
  <c r="J86" i="15" s="1"/>
  <c r="S44" i="15"/>
  <c r="L77" i="15" s="1"/>
  <c r="R64" i="15"/>
  <c r="K86" i="15" s="1"/>
  <c r="S64" i="15"/>
  <c r="L86" i="15" s="1"/>
  <c r="G41" i="15"/>
  <c r="G51" i="15" s="1"/>
  <c r="G61" i="15"/>
  <c r="J65" i="15"/>
  <c r="J45" i="15"/>
  <c r="J55" i="15" s="1"/>
  <c r="E55" i="14"/>
  <c r="C65" i="15"/>
  <c r="C45" i="15"/>
  <c r="C55" i="15" s="1"/>
  <c r="H66" i="15"/>
  <c r="H46" i="15"/>
  <c r="BF36" i="9"/>
  <c r="BL36" i="9" s="1"/>
  <c r="AV36" i="9"/>
  <c r="BD37" i="9"/>
  <c r="AN37" i="9"/>
  <c r="AP37" i="9"/>
  <c r="AF37" i="9"/>
  <c r="AM38" i="9"/>
  <c r="BC38" i="9" s="1"/>
  <c r="AK38" i="9"/>
  <c r="BA38" i="9" s="1"/>
  <c r="AJ38" i="9"/>
  <c r="AZ38" i="9" s="1"/>
  <c r="AL38" i="9"/>
  <c r="BB38" i="9" s="1"/>
  <c r="AH38" i="9"/>
  <c r="AX38" i="9" s="1"/>
  <c r="C39" i="9"/>
  <c r="S39" i="9" s="1"/>
  <c r="AI38" i="9"/>
  <c r="AY38" i="9" s="1"/>
  <c r="B39" i="9"/>
  <c r="R39" i="9" s="1"/>
  <c r="H38" i="9"/>
  <c r="X38" i="9" s="1"/>
  <c r="N39" i="9"/>
  <c r="AD38" i="9"/>
  <c r="AT38" i="9" s="1"/>
  <c r="BJ38" i="9" s="1"/>
  <c r="AC38" i="9"/>
  <c r="AS38" i="9" s="1"/>
  <c r="BI38" i="9" s="1"/>
  <c r="M39" i="9"/>
  <c r="E39" i="9"/>
  <c r="U39" i="9" s="1"/>
  <c r="F39" i="9"/>
  <c r="V39" i="9" s="1"/>
  <c r="D39" i="9"/>
  <c r="T39" i="9" s="1"/>
  <c r="O39" i="9"/>
  <c r="AE38" i="9"/>
  <c r="AU38" i="9" s="1"/>
  <c r="BK38" i="9" s="1"/>
  <c r="K39" i="9"/>
  <c r="AA38" i="9"/>
  <c r="AQ38" i="9" s="1"/>
  <c r="BG38" i="9" s="1"/>
  <c r="Z38" i="9"/>
  <c r="P38" i="9"/>
  <c r="J39" i="9"/>
  <c r="AB38" i="9"/>
  <c r="AR38" i="9" s="1"/>
  <c r="BH38" i="9" s="1"/>
  <c r="L39" i="9"/>
  <c r="G39" i="9"/>
  <c r="W39" i="9" s="1"/>
  <c r="G42" i="15" l="1"/>
  <c r="G52" i="15" s="1"/>
  <c r="G62" i="15"/>
  <c r="J62" i="15"/>
  <c r="J42" i="15"/>
  <c r="J52" i="15" s="1"/>
  <c r="H62" i="15"/>
  <c r="D84" i="15" s="1"/>
  <c r="H42" i="15"/>
  <c r="H47" i="15" s="1"/>
  <c r="K78" i="15"/>
  <c r="I62" i="15"/>
  <c r="I42" i="15"/>
  <c r="I52" i="15" s="1"/>
  <c r="D62" i="15"/>
  <c r="D42" i="15"/>
  <c r="D52" i="15" s="1"/>
  <c r="L78" i="15"/>
  <c r="F78" i="15"/>
  <c r="C62" i="15"/>
  <c r="C42" i="15"/>
  <c r="C52" i="15" s="1"/>
  <c r="N42" i="15"/>
  <c r="G75" i="15" s="1"/>
  <c r="Q42" i="15"/>
  <c r="J75" i="15" s="1"/>
  <c r="O42" i="15"/>
  <c r="H75" i="15" s="1"/>
  <c r="M62" i="15"/>
  <c r="F84" i="15" s="1"/>
  <c r="R62" i="15"/>
  <c r="K84" i="15" s="1"/>
  <c r="N62" i="15"/>
  <c r="G84" i="15" s="1"/>
  <c r="L62" i="15"/>
  <c r="E84" i="15" s="1"/>
  <c r="P62" i="15"/>
  <c r="I84" i="15" s="1"/>
  <c r="S62" i="15"/>
  <c r="L84" i="15" s="1"/>
  <c r="L42" i="15"/>
  <c r="E75" i="15" s="1"/>
  <c r="R42" i="15"/>
  <c r="K75" i="15" s="1"/>
  <c r="S42" i="15"/>
  <c r="L75" i="15" s="1"/>
  <c r="K52" i="15"/>
  <c r="M42" i="15"/>
  <c r="F75" i="15" s="1"/>
  <c r="O62" i="15"/>
  <c r="H84" i="15" s="1"/>
  <c r="Q62" i="15"/>
  <c r="J84" i="15" s="1"/>
  <c r="P42" i="15"/>
  <c r="I75" i="15" s="1"/>
  <c r="H78" i="15"/>
  <c r="J78" i="15"/>
  <c r="G78" i="15"/>
  <c r="F56" i="15"/>
  <c r="H79" i="15"/>
  <c r="H59" i="16" s="1"/>
  <c r="H63" i="16" s="1"/>
  <c r="O47" i="15"/>
  <c r="F67" i="15"/>
  <c r="F88" i="15"/>
  <c r="D56" i="15"/>
  <c r="D60" i="15"/>
  <c r="D40" i="15"/>
  <c r="D50" i="15" s="1"/>
  <c r="D95" i="15"/>
  <c r="D87" i="15"/>
  <c r="G88" i="15"/>
  <c r="E79" i="15"/>
  <c r="E59" i="16" s="1"/>
  <c r="E63" i="16" s="1"/>
  <c r="H50" i="15"/>
  <c r="K87" i="15"/>
  <c r="G87" i="15"/>
  <c r="T66" i="15"/>
  <c r="L88" i="15"/>
  <c r="I79" i="15"/>
  <c r="I59" i="16" s="1"/>
  <c r="I63" i="16" s="1"/>
  <c r="P47" i="15"/>
  <c r="S56" i="15"/>
  <c r="M56" i="15"/>
  <c r="N56" i="15"/>
  <c r="O56" i="15"/>
  <c r="R56" i="15"/>
  <c r="P56" i="15"/>
  <c r="Q56" i="15"/>
  <c r="L56" i="15"/>
  <c r="E97" i="15" s="1"/>
  <c r="D82" i="15"/>
  <c r="L51" i="15"/>
  <c r="M51" i="15"/>
  <c r="N51" i="15"/>
  <c r="O51" i="15"/>
  <c r="R51" i="15"/>
  <c r="P51" i="15"/>
  <c r="Q51" i="15"/>
  <c r="S51" i="15"/>
  <c r="J87" i="15"/>
  <c r="F87" i="15"/>
  <c r="C78" i="15"/>
  <c r="E55" i="15"/>
  <c r="C96" i="15" s="1"/>
  <c r="L54" i="15"/>
  <c r="E95" i="15" s="1"/>
  <c r="M54" i="15"/>
  <c r="F95" i="15" s="1"/>
  <c r="N54" i="15"/>
  <c r="G95" i="15" s="1"/>
  <c r="O54" i="15"/>
  <c r="H95" i="15" s="1"/>
  <c r="Q54" i="15"/>
  <c r="J95" i="15" s="1"/>
  <c r="P54" i="15"/>
  <c r="I95" i="15" s="1"/>
  <c r="R54" i="15"/>
  <c r="K95" i="15" s="1"/>
  <c r="S54" i="15"/>
  <c r="L95" i="15" s="1"/>
  <c r="K88" i="15"/>
  <c r="R67" i="15"/>
  <c r="T46" i="15"/>
  <c r="L79" i="15"/>
  <c r="L59" i="16" s="1"/>
  <c r="L63" i="16" s="1"/>
  <c r="I56" i="15"/>
  <c r="I47" i="15"/>
  <c r="I88" i="15"/>
  <c r="H53" i="15"/>
  <c r="D94" i="15" s="1"/>
  <c r="D76" i="15"/>
  <c r="C40" i="15"/>
  <c r="C60" i="15"/>
  <c r="J56" i="15"/>
  <c r="I40" i="15"/>
  <c r="I50" i="15" s="1"/>
  <c r="I60" i="15"/>
  <c r="I67" i="15" s="1"/>
  <c r="C74" i="15"/>
  <c r="E51" i="15"/>
  <c r="C92" i="15" s="1"/>
  <c r="H56" i="15"/>
  <c r="D97" i="15" s="1"/>
  <c r="D79" i="15"/>
  <c r="D59" i="16" s="1"/>
  <c r="C35" i="13"/>
  <c r="C29" i="13"/>
  <c r="C25" i="13"/>
  <c r="C28" i="13"/>
  <c r="C27" i="13"/>
  <c r="C24" i="13"/>
  <c r="C26" i="13"/>
  <c r="C23" i="13"/>
  <c r="C79" i="15"/>
  <c r="C59" i="16" s="1"/>
  <c r="C63" i="16" s="1"/>
  <c r="E56" i="15"/>
  <c r="C97" i="15" s="1"/>
  <c r="H88" i="15"/>
  <c r="F79" i="15"/>
  <c r="F59" i="16" s="1"/>
  <c r="F63" i="16" s="1"/>
  <c r="E60" i="15"/>
  <c r="C82" i="15" s="1"/>
  <c r="E40" i="15"/>
  <c r="D73" i="15" s="1"/>
  <c r="K74" i="15"/>
  <c r="E74" i="15"/>
  <c r="G40" i="15"/>
  <c r="G50" i="15" s="1"/>
  <c r="G60" i="15"/>
  <c r="G67" i="15" s="1"/>
  <c r="H87" i="15"/>
  <c r="E78" i="15"/>
  <c r="J40" i="15"/>
  <c r="J50" i="15" s="1"/>
  <c r="J60" i="15"/>
  <c r="J88" i="15"/>
  <c r="E33" i="13"/>
  <c r="E87" i="15"/>
  <c r="F60" i="15"/>
  <c r="F40" i="15"/>
  <c r="F50" i="15" s="1"/>
  <c r="G79" i="15"/>
  <c r="G59" i="16" s="1"/>
  <c r="G63" i="16" s="1"/>
  <c r="D67" i="15"/>
  <c r="I87" i="15"/>
  <c r="D35" i="13"/>
  <c r="D25" i="13"/>
  <c r="D23" i="13"/>
  <c r="D28" i="13"/>
  <c r="D29" i="13"/>
  <c r="D24" i="13"/>
  <c r="D26" i="13"/>
  <c r="D27" i="13"/>
  <c r="K79" i="15"/>
  <c r="K59" i="16" s="1"/>
  <c r="K63" i="16" s="1"/>
  <c r="E88" i="15"/>
  <c r="J67" i="15"/>
  <c r="D88" i="15"/>
  <c r="H67" i="15"/>
  <c r="C88" i="15"/>
  <c r="H55" i="15"/>
  <c r="D78" i="15"/>
  <c r="J79" i="15"/>
  <c r="J59" i="16" s="1"/>
  <c r="J63" i="16" s="1"/>
  <c r="L40" i="15"/>
  <c r="K50" i="15"/>
  <c r="N40" i="15"/>
  <c r="L60" i="15"/>
  <c r="E82" i="15" s="1"/>
  <c r="M40" i="15"/>
  <c r="O40" i="15"/>
  <c r="M60" i="15"/>
  <c r="M67" i="15" s="1"/>
  <c r="P40" i="15"/>
  <c r="N60" i="15"/>
  <c r="Q40" i="15"/>
  <c r="O60" i="15"/>
  <c r="H82" i="15" s="1"/>
  <c r="R40" i="15"/>
  <c r="K73" i="15" s="1"/>
  <c r="P60" i="15"/>
  <c r="Q60" i="15"/>
  <c r="Q67" i="15" s="1"/>
  <c r="S40" i="15"/>
  <c r="R60" i="15"/>
  <c r="S60" i="15"/>
  <c r="G56" i="15"/>
  <c r="G47" i="15"/>
  <c r="D74" i="15"/>
  <c r="H51" i="15"/>
  <c r="G74" i="15"/>
  <c r="L87" i="15"/>
  <c r="I78" i="15"/>
  <c r="L55" i="15"/>
  <c r="E96" i="15" s="1"/>
  <c r="M55" i="15"/>
  <c r="F96" i="15" s="1"/>
  <c r="N55" i="15"/>
  <c r="G96" i="15" s="1"/>
  <c r="O55" i="15"/>
  <c r="R55" i="15"/>
  <c r="K96" i="15" s="1"/>
  <c r="P55" i="15"/>
  <c r="Q55" i="15"/>
  <c r="S55" i="15"/>
  <c r="L96" i="15" s="1"/>
  <c r="L53" i="15"/>
  <c r="E94" i="15" s="1"/>
  <c r="M53" i="15"/>
  <c r="F94" i="15" s="1"/>
  <c r="N53" i="15"/>
  <c r="G94" i="15" s="1"/>
  <c r="O53" i="15"/>
  <c r="H94" i="15" s="1"/>
  <c r="R53" i="15"/>
  <c r="K94" i="15" s="1"/>
  <c r="P53" i="15"/>
  <c r="I94" i="15" s="1"/>
  <c r="Q53" i="15"/>
  <c r="J94" i="15" s="1"/>
  <c r="S53" i="15"/>
  <c r="L94" i="15" s="1"/>
  <c r="BF37" i="9"/>
  <c r="BL37" i="9" s="1"/>
  <c r="AV37" i="9"/>
  <c r="BD38" i="9"/>
  <c r="AP38" i="9"/>
  <c r="AF38" i="9"/>
  <c r="AN38" i="9"/>
  <c r="E11" i="8" s="1" a="1"/>
  <c r="AH39" i="9"/>
  <c r="AX39" i="9" s="1"/>
  <c r="AK39" i="9"/>
  <c r="BA39" i="9" s="1"/>
  <c r="AJ39" i="9"/>
  <c r="AZ39" i="9" s="1"/>
  <c r="AL39" i="9"/>
  <c r="BB39" i="9" s="1"/>
  <c r="AM39" i="9"/>
  <c r="BC39" i="9" s="1"/>
  <c r="C40" i="9"/>
  <c r="S40" i="9" s="1"/>
  <c r="AI39" i="9"/>
  <c r="AY39" i="9" s="1"/>
  <c r="M40" i="9"/>
  <c r="AC39" i="9"/>
  <c r="AS39" i="9" s="1"/>
  <c r="BI39" i="9" s="1"/>
  <c r="G40" i="9"/>
  <c r="W40" i="9" s="1"/>
  <c r="P39" i="9"/>
  <c r="J40" i="9"/>
  <c r="Z39" i="9"/>
  <c r="D40" i="9"/>
  <c r="T40" i="9" s="1"/>
  <c r="AA39" i="9"/>
  <c r="AQ39" i="9" s="1"/>
  <c r="BG39" i="9" s="1"/>
  <c r="K40" i="9"/>
  <c r="L40" i="9"/>
  <c r="AB39" i="9"/>
  <c r="AR39" i="9" s="1"/>
  <c r="BH39" i="9" s="1"/>
  <c r="AE39" i="9"/>
  <c r="AU39" i="9" s="1"/>
  <c r="BK39" i="9" s="1"/>
  <c r="O40" i="9"/>
  <c r="AD39" i="9"/>
  <c r="AT39" i="9" s="1"/>
  <c r="BJ39" i="9" s="1"/>
  <c r="N40" i="9"/>
  <c r="F40" i="9"/>
  <c r="V40" i="9" s="1"/>
  <c r="E40" i="9"/>
  <c r="U40" i="9" s="1"/>
  <c r="B40" i="9"/>
  <c r="R40" i="9" s="1"/>
  <c r="H39" i="9"/>
  <c r="X39" i="9" s="1"/>
  <c r="L82" i="15" l="1"/>
  <c r="M52" i="15"/>
  <c r="F93" i="15" s="1"/>
  <c r="N52" i="15"/>
  <c r="G93" i="15" s="1"/>
  <c r="O52" i="15"/>
  <c r="H93" i="15" s="1"/>
  <c r="P52" i="15"/>
  <c r="I93" i="15" s="1"/>
  <c r="L52" i="15"/>
  <c r="E93" i="15" s="1"/>
  <c r="Q52" i="15"/>
  <c r="J93" i="15" s="1"/>
  <c r="R52" i="15"/>
  <c r="K93" i="15" s="1"/>
  <c r="S52" i="15"/>
  <c r="L93" i="15" s="1"/>
  <c r="P67" i="15"/>
  <c r="F73" i="15"/>
  <c r="E67" i="15"/>
  <c r="C67" i="15"/>
  <c r="F97" i="15"/>
  <c r="G82" i="15"/>
  <c r="I73" i="15"/>
  <c r="E47" i="15"/>
  <c r="K97" i="15"/>
  <c r="G73" i="15"/>
  <c r="H52" i="15"/>
  <c r="D93" i="15" s="1"/>
  <c r="D75" i="15"/>
  <c r="E73" i="15"/>
  <c r="L73" i="15"/>
  <c r="J73" i="15"/>
  <c r="J82" i="15"/>
  <c r="H73" i="15"/>
  <c r="S47" i="15"/>
  <c r="F92" i="15"/>
  <c r="G97" i="15"/>
  <c r="D63" i="16"/>
  <c r="C50" i="15"/>
  <c r="C47" i="15"/>
  <c r="O67" i="15"/>
  <c r="H92" i="15"/>
  <c r="H96" i="15"/>
  <c r="D92" i="15"/>
  <c r="I82" i="15"/>
  <c r="D96" i="15"/>
  <c r="R47" i="15"/>
  <c r="M47" i="15"/>
  <c r="G92" i="15"/>
  <c r="H97" i="15"/>
  <c r="N67" i="15"/>
  <c r="E92" i="15"/>
  <c r="L92" i="15"/>
  <c r="J92" i="15"/>
  <c r="J96" i="15"/>
  <c r="K82" i="15"/>
  <c r="Q47" i="15"/>
  <c r="I92" i="15"/>
  <c r="J97" i="15"/>
  <c r="F47" i="15"/>
  <c r="M50" i="15"/>
  <c r="F91" i="15" s="1"/>
  <c r="N50" i="15"/>
  <c r="O50" i="15"/>
  <c r="P50" i="15"/>
  <c r="I91" i="15" s="1"/>
  <c r="R50" i="15"/>
  <c r="Q50" i="15"/>
  <c r="S50" i="15"/>
  <c r="L50" i="15"/>
  <c r="T56" i="15"/>
  <c r="L97" i="15"/>
  <c r="N47" i="15"/>
  <c r="I96" i="15"/>
  <c r="F82" i="15"/>
  <c r="L67" i="15"/>
  <c r="C73" i="15"/>
  <c r="E50" i="15"/>
  <c r="C91" i="15" s="1"/>
  <c r="J47" i="15"/>
  <c r="K92" i="15"/>
  <c r="I97" i="15"/>
  <c r="S67" i="15"/>
  <c r="L47" i="15"/>
  <c r="D47" i="15"/>
  <c r="BD39" i="9"/>
  <c r="AV38" i="9"/>
  <c r="E40" i="8" s="1" a="1"/>
  <c r="BF38" i="9"/>
  <c r="BL38" i="9" s="1"/>
  <c r="AN39" i="9"/>
  <c r="AP39" i="9"/>
  <c r="AF39" i="9"/>
  <c r="E11" i="8"/>
  <c r="E21" i="8" s="1"/>
  <c r="F5" i="12" s="1"/>
  <c r="E17" i="8"/>
  <c r="E27" i="8" s="1"/>
  <c r="F11" i="12" s="1"/>
  <c r="E18" i="8"/>
  <c r="E28" i="8" s="1"/>
  <c r="F12" i="12" s="1"/>
  <c r="E15" i="8"/>
  <c r="E25" i="8" s="1"/>
  <c r="F9" i="12" s="1"/>
  <c r="E14" i="8"/>
  <c r="E24" i="8" s="1"/>
  <c r="F8" i="12" s="1"/>
  <c r="E13" i="8"/>
  <c r="E23" i="8" s="1"/>
  <c r="F7" i="12" s="1"/>
  <c r="E12" i="8"/>
  <c r="E22" i="8" s="1"/>
  <c r="F6" i="12" s="1"/>
  <c r="E16" i="8"/>
  <c r="E26" i="8" s="1"/>
  <c r="F10" i="12" s="1"/>
  <c r="AJ40" i="9"/>
  <c r="AZ40" i="9" s="1"/>
  <c r="AM40" i="9"/>
  <c r="BC40" i="9" s="1"/>
  <c r="AH40" i="9"/>
  <c r="AX40" i="9" s="1"/>
  <c r="AK40" i="9"/>
  <c r="BA40" i="9" s="1"/>
  <c r="AL40" i="9"/>
  <c r="BB40" i="9" s="1"/>
  <c r="C41" i="9"/>
  <c r="S41" i="9" s="1"/>
  <c r="AI40" i="9"/>
  <c r="AY40" i="9" s="1"/>
  <c r="Z40" i="9"/>
  <c r="P40" i="9"/>
  <c r="J41" i="9"/>
  <c r="D41" i="9"/>
  <c r="T41" i="9" s="1"/>
  <c r="AB40" i="9"/>
  <c r="AR40" i="9" s="1"/>
  <c r="BH40" i="9" s="1"/>
  <c r="L41" i="9"/>
  <c r="AE40" i="9"/>
  <c r="AU40" i="9" s="1"/>
  <c r="BK40" i="9" s="1"/>
  <c r="O41" i="9"/>
  <c r="F41" i="9"/>
  <c r="V41" i="9" s="1"/>
  <c r="G41" i="9"/>
  <c r="W41" i="9" s="1"/>
  <c r="H40" i="9"/>
  <c r="X40" i="9" s="1"/>
  <c r="B41" i="9"/>
  <c r="R41" i="9" s="1"/>
  <c r="E41" i="9"/>
  <c r="U41" i="9" s="1"/>
  <c r="AA40" i="9"/>
  <c r="AQ40" i="9" s="1"/>
  <c r="BG40" i="9" s="1"/>
  <c r="K41" i="9"/>
  <c r="AD40" i="9"/>
  <c r="AT40" i="9" s="1"/>
  <c r="BJ40" i="9" s="1"/>
  <c r="N41" i="9"/>
  <c r="M41" i="9"/>
  <c r="AC40" i="9"/>
  <c r="AS40" i="9" s="1"/>
  <c r="BI40" i="9" s="1"/>
  <c r="L91" i="15" l="1"/>
  <c r="J91" i="15"/>
  <c r="K91" i="15"/>
  <c r="F16" i="12"/>
  <c r="F36" i="12"/>
  <c r="E91" i="15"/>
  <c r="H91" i="15"/>
  <c r="F22" i="12"/>
  <c r="F15" i="12"/>
  <c r="F32" i="12" s="1"/>
  <c r="G91" i="15"/>
  <c r="D91" i="15"/>
  <c r="BD40" i="9"/>
  <c r="AV39" i="9"/>
  <c r="BF39" i="9"/>
  <c r="BL39" i="9" s="1"/>
  <c r="E41" i="8"/>
  <c r="E47" i="8"/>
  <c r="E42" i="8"/>
  <c r="E40" i="8"/>
  <c r="E43" i="8"/>
  <c r="E44" i="8"/>
  <c r="E46" i="8"/>
  <c r="E45" i="8"/>
  <c r="AN40" i="9"/>
  <c r="AP40" i="9"/>
  <c r="AF40" i="9"/>
  <c r="AM41" i="9"/>
  <c r="BC41" i="9" s="1"/>
  <c r="AL41" i="9"/>
  <c r="BB41" i="9" s="1"/>
  <c r="AK41" i="9"/>
  <c r="BA41" i="9" s="1"/>
  <c r="AH41" i="9"/>
  <c r="AX41" i="9" s="1"/>
  <c r="AJ41" i="9"/>
  <c r="AZ41" i="9" s="1"/>
  <c r="C42" i="9"/>
  <c r="S42" i="9" s="1"/>
  <c r="AI41" i="9"/>
  <c r="AY41" i="9" s="1"/>
  <c r="H41" i="9"/>
  <c r="X41" i="9" s="1"/>
  <c r="B42" i="9"/>
  <c r="R42" i="9" s="1"/>
  <c r="D42" i="9"/>
  <c r="T42" i="9" s="1"/>
  <c r="N42" i="9"/>
  <c r="AD41" i="9"/>
  <c r="AT41" i="9" s="1"/>
  <c r="BJ41" i="9" s="1"/>
  <c r="AA41" i="9"/>
  <c r="AQ41" i="9" s="1"/>
  <c r="BG41" i="9" s="1"/>
  <c r="K42" i="9"/>
  <c r="G42" i="9"/>
  <c r="W42" i="9" s="1"/>
  <c r="E42" i="9"/>
  <c r="U42" i="9" s="1"/>
  <c r="AC41" i="9"/>
  <c r="AS41" i="9" s="1"/>
  <c r="BI41" i="9" s="1"/>
  <c r="M42" i="9"/>
  <c r="AB41" i="9"/>
  <c r="AR41" i="9" s="1"/>
  <c r="BH41" i="9" s="1"/>
  <c r="L42" i="9"/>
  <c r="F42" i="9"/>
  <c r="V42" i="9" s="1"/>
  <c r="Z41" i="9"/>
  <c r="J42" i="9"/>
  <c r="P41" i="9"/>
  <c r="O42" i="9"/>
  <c r="AE41" i="9"/>
  <c r="AU41" i="9" s="1"/>
  <c r="BK41" i="9" s="1"/>
  <c r="E53" i="8" l="1"/>
  <c r="F8" i="13"/>
  <c r="E50" i="8"/>
  <c r="F5" i="13"/>
  <c r="F33" i="12"/>
  <c r="E56" i="8"/>
  <c r="F11" i="13"/>
  <c r="E57" i="8"/>
  <c r="F12" i="13"/>
  <c r="E51" i="8"/>
  <c r="F6" i="13"/>
  <c r="E54" i="8"/>
  <c r="F9" i="13"/>
  <c r="E52" i="8"/>
  <c r="F7" i="13"/>
  <c r="E55" i="8"/>
  <c r="F10" i="13"/>
  <c r="BF40" i="9"/>
  <c r="BL40" i="9" s="1"/>
  <c r="AV40" i="9"/>
  <c r="BD41" i="9"/>
  <c r="AN41" i="9"/>
  <c r="AP41" i="9"/>
  <c r="AF41" i="9"/>
  <c r="AL42" i="9"/>
  <c r="BB42" i="9" s="1"/>
  <c r="AH42" i="9"/>
  <c r="AX42" i="9" s="1"/>
  <c r="AK42" i="9"/>
  <c r="BA42" i="9" s="1"/>
  <c r="AM42" i="9"/>
  <c r="BC42" i="9" s="1"/>
  <c r="AJ42" i="9"/>
  <c r="AZ42" i="9" s="1"/>
  <c r="C43" i="9"/>
  <c r="S43" i="9" s="1"/>
  <c r="AI42" i="9"/>
  <c r="AY42" i="9" s="1"/>
  <c r="AB42" i="9"/>
  <c r="AR42" i="9" s="1"/>
  <c r="BH42" i="9" s="1"/>
  <c r="L43" i="9"/>
  <c r="O43" i="9"/>
  <c r="AE42" i="9"/>
  <c r="AU42" i="9" s="1"/>
  <c r="BK42" i="9" s="1"/>
  <c r="J43" i="9"/>
  <c r="Z42" i="9"/>
  <c r="P42" i="9"/>
  <c r="AD42" i="9"/>
  <c r="AT42" i="9" s="1"/>
  <c r="BJ42" i="9" s="1"/>
  <c r="N43" i="9"/>
  <c r="AC42" i="9"/>
  <c r="AS42" i="9" s="1"/>
  <c r="BI42" i="9" s="1"/>
  <c r="M43" i="9"/>
  <c r="E43" i="9"/>
  <c r="U43" i="9" s="1"/>
  <c r="G43" i="9"/>
  <c r="W43" i="9" s="1"/>
  <c r="D43" i="9"/>
  <c r="T43" i="9" s="1"/>
  <c r="F43" i="9"/>
  <c r="V43" i="9" s="1"/>
  <c r="B43" i="9"/>
  <c r="R43" i="9" s="1"/>
  <c r="H42" i="9"/>
  <c r="X42" i="9" s="1"/>
  <c r="K43" i="9"/>
  <c r="AA42" i="9"/>
  <c r="AQ42" i="9" s="1"/>
  <c r="BG42" i="9" s="1"/>
  <c r="F22" i="13" l="1"/>
  <c r="F15" i="13"/>
  <c r="F32" i="13" s="1"/>
  <c r="BD42" i="9"/>
  <c r="F36" i="13"/>
  <c r="F16" i="13"/>
  <c r="BF41" i="9"/>
  <c r="BL41" i="9" s="1"/>
  <c r="AV41" i="9"/>
  <c r="AN42" i="9"/>
  <c r="AP42" i="9"/>
  <c r="AF42" i="9"/>
  <c r="AH43" i="9"/>
  <c r="AX43" i="9" s="1"/>
  <c r="AL43" i="9"/>
  <c r="BB43" i="9" s="1"/>
  <c r="AJ43" i="9"/>
  <c r="AZ43" i="9" s="1"/>
  <c r="AM43" i="9"/>
  <c r="BC43" i="9" s="1"/>
  <c r="AK43" i="9"/>
  <c r="BA43" i="9" s="1"/>
  <c r="C44" i="9"/>
  <c r="S44" i="9" s="1"/>
  <c r="AI43" i="9"/>
  <c r="AY43" i="9" s="1"/>
  <c r="D44" i="9"/>
  <c r="T44" i="9" s="1"/>
  <c r="G44" i="9"/>
  <c r="W44" i="9" s="1"/>
  <c r="AA43" i="9"/>
  <c r="AQ43" i="9" s="1"/>
  <c r="BG43" i="9" s="1"/>
  <c r="K44" i="9"/>
  <c r="E44" i="9"/>
  <c r="U44" i="9" s="1"/>
  <c r="Z43" i="9"/>
  <c r="P43" i="9"/>
  <c r="J44" i="9"/>
  <c r="H43" i="9"/>
  <c r="X43" i="9" s="1"/>
  <c r="B44" i="9"/>
  <c r="R44" i="9" s="1"/>
  <c r="F44" i="9"/>
  <c r="V44" i="9" s="1"/>
  <c r="AC43" i="9"/>
  <c r="AS43" i="9" s="1"/>
  <c r="BI43" i="9" s="1"/>
  <c r="M44" i="9"/>
  <c r="AE43" i="9"/>
  <c r="AU43" i="9" s="1"/>
  <c r="BK43" i="9" s="1"/>
  <c r="O44" i="9"/>
  <c r="AB43" i="9"/>
  <c r="AR43" i="9" s="1"/>
  <c r="BH43" i="9" s="1"/>
  <c r="L44" i="9"/>
  <c r="AD43" i="9"/>
  <c r="AT43" i="9" s="1"/>
  <c r="BJ43" i="9" s="1"/>
  <c r="N44" i="9"/>
  <c r="F33" i="13" l="1"/>
  <c r="BD43" i="9"/>
  <c r="BF42" i="9"/>
  <c r="BL42" i="9" s="1"/>
  <c r="AV42" i="9"/>
  <c r="AN43" i="9"/>
  <c r="AP43" i="9"/>
  <c r="AF43" i="9"/>
  <c r="AJ44" i="9"/>
  <c r="AZ44" i="9" s="1"/>
  <c r="AH44" i="9"/>
  <c r="AX44" i="9" s="1"/>
  <c r="AM44" i="9"/>
  <c r="BC44" i="9" s="1"/>
  <c r="AK44" i="9"/>
  <c r="BA44" i="9" s="1"/>
  <c r="AL44" i="9"/>
  <c r="BB44" i="9" s="1"/>
  <c r="C45" i="9"/>
  <c r="S45" i="9" s="1"/>
  <c r="AI44" i="9"/>
  <c r="AY44" i="9" s="1"/>
  <c r="AD44" i="9"/>
  <c r="AT44" i="9" s="1"/>
  <c r="BJ44" i="9" s="1"/>
  <c r="N45" i="9"/>
  <c r="AE44" i="9"/>
  <c r="AU44" i="9" s="1"/>
  <c r="BK44" i="9" s="1"/>
  <c r="O45" i="9"/>
  <c r="H44" i="9"/>
  <c r="X44" i="9" s="1"/>
  <c r="B45" i="9"/>
  <c r="R45" i="9" s="1"/>
  <c r="K45" i="9"/>
  <c r="AA44" i="9"/>
  <c r="AQ44" i="9" s="1"/>
  <c r="BG44" i="9" s="1"/>
  <c r="P44" i="9"/>
  <c r="Z44" i="9"/>
  <c r="J45" i="9"/>
  <c r="D45" i="9"/>
  <c r="T45" i="9" s="1"/>
  <c r="F45" i="9"/>
  <c r="V45" i="9" s="1"/>
  <c r="L45" i="9"/>
  <c r="AB44" i="9"/>
  <c r="AR44" i="9" s="1"/>
  <c r="BH44" i="9" s="1"/>
  <c r="AC44" i="9"/>
  <c r="AS44" i="9" s="1"/>
  <c r="BI44" i="9" s="1"/>
  <c r="M45" i="9"/>
  <c r="G45" i="9"/>
  <c r="W45" i="9" s="1"/>
  <c r="E45" i="9"/>
  <c r="U45" i="9" s="1"/>
  <c r="BF43" i="9" l="1"/>
  <c r="BL43" i="9" s="1"/>
  <c r="AV43" i="9"/>
  <c r="F40" i="8" s="1" a="1"/>
  <c r="BD44" i="9"/>
  <c r="AN44" i="9"/>
  <c r="AP44" i="9"/>
  <c r="AF44" i="9"/>
  <c r="F11" i="8" a="1"/>
  <c r="AM45" i="9"/>
  <c r="BC45" i="9" s="1"/>
  <c r="AH45" i="9"/>
  <c r="AL45" i="9"/>
  <c r="BB45" i="9" s="1"/>
  <c r="AJ45" i="9"/>
  <c r="AZ45" i="9" s="1"/>
  <c r="AK45" i="9"/>
  <c r="BA45" i="9" s="1"/>
  <c r="C46" i="9"/>
  <c r="S46" i="9" s="1"/>
  <c r="AI45" i="9"/>
  <c r="AY45" i="9" s="1"/>
  <c r="G46" i="9"/>
  <c r="W46" i="9" s="1"/>
  <c r="M46" i="9"/>
  <c r="AC45" i="9"/>
  <c r="AS45" i="9" s="1"/>
  <c r="BI45" i="9" s="1"/>
  <c r="J46" i="9"/>
  <c r="Z45" i="9"/>
  <c r="P45" i="9"/>
  <c r="B46" i="9"/>
  <c r="R46" i="9" s="1"/>
  <c r="H45" i="9"/>
  <c r="X45" i="9" s="1"/>
  <c r="O46" i="9"/>
  <c r="AE45" i="9"/>
  <c r="AU45" i="9" s="1"/>
  <c r="BK45" i="9" s="1"/>
  <c r="AB45" i="9"/>
  <c r="AR45" i="9" s="1"/>
  <c r="BH45" i="9" s="1"/>
  <c r="L46" i="9"/>
  <c r="D46" i="9"/>
  <c r="T46" i="9" s="1"/>
  <c r="E46" i="9"/>
  <c r="U46" i="9" s="1"/>
  <c r="F46" i="9"/>
  <c r="V46" i="9" s="1"/>
  <c r="AD45" i="9"/>
  <c r="AT45" i="9" s="1"/>
  <c r="BJ45" i="9" s="1"/>
  <c r="N46" i="9"/>
  <c r="AA45" i="9"/>
  <c r="AQ45" i="9" s="1"/>
  <c r="BG45" i="9" s="1"/>
  <c r="K46" i="9"/>
  <c r="BF44" i="9" l="1"/>
  <c r="BL44" i="9" s="1"/>
  <c r="AV44" i="9"/>
  <c r="AN45" i="9"/>
  <c r="AX45" i="9"/>
  <c r="BD45" i="9" s="1"/>
  <c r="F40" i="8"/>
  <c r="F46" i="8"/>
  <c r="F45" i="8"/>
  <c r="F44" i="8"/>
  <c r="F41" i="8"/>
  <c r="F43" i="8"/>
  <c r="F42" i="8"/>
  <c r="F47" i="8"/>
  <c r="AP45" i="9"/>
  <c r="AF45" i="9"/>
  <c r="F12" i="8"/>
  <c r="F22" i="8" s="1"/>
  <c r="G6" i="12" s="1"/>
  <c r="F11" i="8"/>
  <c r="F21" i="8" s="1"/>
  <c r="G5" i="12" s="1"/>
  <c r="F17" i="8"/>
  <c r="F27" i="8" s="1"/>
  <c r="G11" i="12" s="1"/>
  <c r="F18" i="8"/>
  <c r="F28" i="8" s="1"/>
  <c r="G12" i="12" s="1"/>
  <c r="F14" i="8"/>
  <c r="F24" i="8" s="1"/>
  <c r="G8" i="12" s="1"/>
  <c r="F15" i="8"/>
  <c r="F25" i="8" s="1"/>
  <c r="G9" i="12" s="1"/>
  <c r="F16" i="8"/>
  <c r="F26" i="8" s="1"/>
  <c r="G10" i="12" s="1"/>
  <c r="F13" i="8"/>
  <c r="F23" i="8" s="1"/>
  <c r="G7" i="12" s="1"/>
  <c r="AM46" i="9"/>
  <c r="BC46" i="9" s="1"/>
  <c r="AK46" i="9"/>
  <c r="BA46" i="9" s="1"/>
  <c r="AL46" i="9"/>
  <c r="BB46" i="9" s="1"/>
  <c r="AH46" i="9"/>
  <c r="AX46" i="9" s="1"/>
  <c r="AJ46" i="9"/>
  <c r="AZ46" i="9" s="1"/>
  <c r="C47" i="9"/>
  <c r="S47" i="9" s="1"/>
  <c r="AI46" i="9"/>
  <c r="AY46" i="9" s="1"/>
  <c r="D47" i="9"/>
  <c r="T47" i="9" s="1"/>
  <c r="Z46" i="9"/>
  <c r="J47" i="9"/>
  <c r="P46" i="9"/>
  <c r="F47" i="9"/>
  <c r="V47" i="9" s="1"/>
  <c r="AA46" i="9"/>
  <c r="AQ46" i="9" s="1"/>
  <c r="BG46" i="9" s="1"/>
  <c r="K47" i="9"/>
  <c r="N47" i="9"/>
  <c r="AD46" i="9"/>
  <c r="AT46" i="9" s="1"/>
  <c r="BJ46" i="9" s="1"/>
  <c r="AB46" i="9"/>
  <c r="AR46" i="9" s="1"/>
  <c r="BH46" i="9" s="1"/>
  <c r="L47" i="9"/>
  <c r="O47" i="9"/>
  <c r="AE46" i="9"/>
  <c r="AU46" i="9" s="1"/>
  <c r="BK46" i="9" s="1"/>
  <c r="E47" i="9"/>
  <c r="U47" i="9" s="1"/>
  <c r="AC46" i="9"/>
  <c r="AS46" i="9" s="1"/>
  <c r="BI46" i="9" s="1"/>
  <c r="M47" i="9"/>
  <c r="H46" i="9"/>
  <c r="X46" i="9" s="1"/>
  <c r="B47" i="9"/>
  <c r="R47" i="9" s="1"/>
  <c r="G47" i="9"/>
  <c r="W47" i="9" s="1"/>
  <c r="F55" i="8" l="1"/>
  <c r="G10" i="13"/>
  <c r="F56" i="8"/>
  <c r="G11" i="13"/>
  <c r="F50" i="8"/>
  <c r="G5" i="13"/>
  <c r="F57" i="8"/>
  <c r="G12" i="13"/>
  <c r="F52" i="8"/>
  <c r="G7" i="13"/>
  <c r="G15" i="12"/>
  <c r="G32" i="12" s="1"/>
  <c r="G22" i="12"/>
  <c r="F54" i="8"/>
  <c r="G9" i="13"/>
  <c r="G16" i="12"/>
  <c r="G36" i="12"/>
  <c r="F53" i="8"/>
  <c r="G8" i="13"/>
  <c r="F51" i="8"/>
  <c r="G6" i="13"/>
  <c r="BF45" i="9"/>
  <c r="BL45" i="9" s="1"/>
  <c r="AV45" i="9"/>
  <c r="BD46" i="9"/>
  <c r="AP46" i="9"/>
  <c r="AF46" i="9"/>
  <c r="AN46" i="9"/>
  <c r="AJ47" i="9"/>
  <c r="AZ47" i="9" s="1"/>
  <c r="AL47" i="9"/>
  <c r="BB47" i="9" s="1"/>
  <c r="AH47" i="9"/>
  <c r="AX47" i="9" s="1"/>
  <c r="AK47" i="9"/>
  <c r="BA47" i="9" s="1"/>
  <c r="AM47" i="9"/>
  <c r="BC47" i="9" s="1"/>
  <c r="C48" i="9"/>
  <c r="S48" i="9" s="1"/>
  <c r="AI47" i="9"/>
  <c r="AY47" i="9" s="1"/>
  <c r="O48" i="9"/>
  <c r="AE47" i="9"/>
  <c r="AU47" i="9" s="1"/>
  <c r="BK47" i="9" s="1"/>
  <c r="L48" i="9"/>
  <c r="AB47" i="9"/>
  <c r="AR47" i="9" s="1"/>
  <c r="BH47" i="9" s="1"/>
  <c r="F48" i="9"/>
  <c r="V48" i="9" s="1"/>
  <c r="G48" i="9"/>
  <c r="W48" i="9" s="1"/>
  <c r="H47" i="9"/>
  <c r="X47" i="9" s="1"/>
  <c r="B48" i="9"/>
  <c r="R48" i="9" s="1"/>
  <c r="AC47" i="9"/>
  <c r="AS47" i="9" s="1"/>
  <c r="BI47" i="9" s="1"/>
  <c r="M48" i="9"/>
  <c r="P47" i="9"/>
  <c r="Z47" i="9"/>
  <c r="J48" i="9"/>
  <c r="E48" i="9"/>
  <c r="U48" i="9" s="1"/>
  <c r="AD47" i="9"/>
  <c r="AT47" i="9" s="1"/>
  <c r="BJ47" i="9" s="1"/>
  <c r="N48" i="9"/>
  <c r="AA47" i="9"/>
  <c r="AQ47" i="9" s="1"/>
  <c r="BG47" i="9" s="1"/>
  <c r="K48" i="9"/>
  <c r="D48" i="9"/>
  <c r="T48" i="9" s="1"/>
  <c r="G16" i="13" l="1"/>
  <c r="G36" i="13"/>
  <c r="G22" i="13"/>
  <c r="G15" i="13"/>
  <c r="G32" i="13" s="1"/>
  <c r="G33" i="12"/>
  <c r="BD47" i="9"/>
  <c r="AV46" i="9"/>
  <c r="BF46" i="9"/>
  <c r="BL46" i="9" s="1"/>
  <c r="AN47" i="9"/>
  <c r="AP47" i="9"/>
  <c r="AF47" i="9"/>
  <c r="AH48" i="9"/>
  <c r="AX48" i="9" s="1"/>
  <c r="AK48" i="9"/>
  <c r="BA48" i="9" s="1"/>
  <c r="AM48" i="9"/>
  <c r="BC48" i="9" s="1"/>
  <c r="AL48" i="9"/>
  <c r="BB48" i="9" s="1"/>
  <c r="AJ48" i="9"/>
  <c r="AZ48" i="9" s="1"/>
  <c r="C49" i="9"/>
  <c r="S49" i="9" s="1"/>
  <c r="AI48" i="9"/>
  <c r="AY48" i="9" s="1"/>
  <c r="D49" i="9"/>
  <c r="T49" i="9" s="1"/>
  <c r="AC48" i="9"/>
  <c r="AS48" i="9" s="1"/>
  <c r="BI48" i="9" s="1"/>
  <c r="M49" i="9"/>
  <c r="F49" i="9"/>
  <c r="V49" i="9" s="1"/>
  <c r="E49" i="9"/>
  <c r="U49" i="9" s="1"/>
  <c r="Z48" i="9"/>
  <c r="P48" i="9"/>
  <c r="J49" i="9"/>
  <c r="G49" i="9"/>
  <c r="W49" i="9" s="1"/>
  <c r="AD48" i="9"/>
  <c r="AT48" i="9" s="1"/>
  <c r="BJ48" i="9" s="1"/>
  <c r="N49" i="9"/>
  <c r="K49" i="9"/>
  <c r="AA48" i="9"/>
  <c r="AQ48" i="9" s="1"/>
  <c r="BG48" i="9" s="1"/>
  <c r="H48" i="9"/>
  <c r="X48" i="9" s="1"/>
  <c r="B49" i="9"/>
  <c r="R49" i="9" s="1"/>
  <c r="AB48" i="9"/>
  <c r="AR48" i="9" s="1"/>
  <c r="BH48" i="9" s="1"/>
  <c r="L49" i="9"/>
  <c r="AE48" i="9"/>
  <c r="AU48" i="9" s="1"/>
  <c r="BK48" i="9" s="1"/>
  <c r="O49" i="9"/>
  <c r="G33" i="13" l="1"/>
  <c r="AV47" i="9"/>
  <c r="BF47" i="9"/>
  <c r="BL47" i="9" s="1"/>
  <c r="BD48" i="9"/>
  <c r="AN48" i="9"/>
  <c r="AP48" i="9"/>
  <c r="AF48" i="9"/>
  <c r="AM49" i="9"/>
  <c r="BC49" i="9" s="1"/>
  <c r="AJ49" i="9"/>
  <c r="AZ49" i="9" s="1"/>
  <c r="AH49" i="9"/>
  <c r="AX49" i="9" s="1"/>
  <c r="AK49" i="9"/>
  <c r="BA49" i="9" s="1"/>
  <c r="AL49" i="9"/>
  <c r="BB49" i="9" s="1"/>
  <c r="C50" i="9"/>
  <c r="S50" i="9" s="1"/>
  <c r="AI49" i="9"/>
  <c r="AY49" i="9" s="1"/>
  <c r="AA49" i="9"/>
  <c r="AQ49" i="9" s="1"/>
  <c r="BG49" i="9" s="1"/>
  <c r="K50" i="9"/>
  <c r="AB49" i="9"/>
  <c r="AR49" i="9" s="1"/>
  <c r="BH49" i="9" s="1"/>
  <c r="L50" i="9"/>
  <c r="N50" i="9"/>
  <c r="AD49" i="9"/>
  <c r="AT49" i="9" s="1"/>
  <c r="BJ49" i="9" s="1"/>
  <c r="F50" i="9"/>
  <c r="V50" i="9" s="1"/>
  <c r="O50" i="9"/>
  <c r="AE49" i="9"/>
  <c r="AU49" i="9" s="1"/>
  <c r="BK49" i="9" s="1"/>
  <c r="H49" i="9"/>
  <c r="X49" i="9" s="1"/>
  <c r="B50" i="9"/>
  <c r="R50" i="9" s="1"/>
  <c r="G50" i="9"/>
  <c r="W50" i="9" s="1"/>
  <c r="E50" i="9"/>
  <c r="U50" i="9" s="1"/>
  <c r="M50" i="9"/>
  <c r="AC49" i="9"/>
  <c r="AS49" i="9" s="1"/>
  <c r="BI49" i="9" s="1"/>
  <c r="P49" i="9"/>
  <c r="J50" i="9"/>
  <c r="Z49" i="9"/>
  <c r="D50" i="9"/>
  <c r="T50" i="9" s="1"/>
  <c r="BF48" i="9" l="1"/>
  <c r="BL48" i="9" s="1"/>
  <c r="AV48" i="9"/>
  <c r="BD49" i="9"/>
  <c r="AN49" i="9"/>
  <c r="G40" i="8" a="1"/>
  <c r="AP49" i="9"/>
  <c r="AF49" i="9"/>
  <c r="G11" i="8" a="1"/>
  <c r="AH50" i="9"/>
  <c r="AL50" i="9"/>
  <c r="BB50" i="9" s="1"/>
  <c r="AK50" i="9"/>
  <c r="BA50" i="9" s="1"/>
  <c r="AJ50" i="9"/>
  <c r="AZ50" i="9" s="1"/>
  <c r="AM50" i="9"/>
  <c r="BC50" i="9" s="1"/>
  <c r="C51" i="9"/>
  <c r="S51" i="9" s="1"/>
  <c r="AI50" i="9"/>
  <c r="AY50" i="9" s="1"/>
  <c r="E51" i="9"/>
  <c r="U51" i="9" s="1"/>
  <c r="G51" i="9"/>
  <c r="W51" i="9" s="1"/>
  <c r="Z50" i="9"/>
  <c r="J51" i="9"/>
  <c r="P50" i="9"/>
  <c r="B51" i="9"/>
  <c r="R51" i="9" s="1"/>
  <c r="H50" i="9"/>
  <c r="X50" i="9" s="1"/>
  <c r="N51" i="9"/>
  <c r="AD50" i="9"/>
  <c r="AT50" i="9" s="1"/>
  <c r="BJ50" i="9" s="1"/>
  <c r="O51" i="9"/>
  <c r="AE50" i="9"/>
  <c r="AU50" i="9" s="1"/>
  <c r="BK50" i="9" s="1"/>
  <c r="F51" i="9"/>
  <c r="V51" i="9" s="1"/>
  <c r="AB50" i="9"/>
  <c r="AR50" i="9" s="1"/>
  <c r="BH50" i="9" s="1"/>
  <c r="L51" i="9"/>
  <c r="D51" i="9"/>
  <c r="T51" i="9" s="1"/>
  <c r="AC50" i="9"/>
  <c r="AS50" i="9" s="1"/>
  <c r="BI50" i="9" s="1"/>
  <c r="M51" i="9"/>
  <c r="K51" i="9"/>
  <c r="AA50" i="9"/>
  <c r="AQ50" i="9" s="1"/>
  <c r="BG50" i="9" s="1"/>
  <c r="BF49" i="9" l="1"/>
  <c r="BL49" i="9" s="1"/>
  <c r="AV49" i="9"/>
  <c r="AN50" i="9"/>
  <c r="AX50" i="9"/>
  <c r="BD50" i="9" s="1"/>
  <c r="G40" i="8"/>
  <c r="G47" i="8"/>
  <c r="G46" i="8"/>
  <c r="G45" i="8"/>
  <c r="G42" i="8"/>
  <c r="G41" i="8"/>
  <c r="G44" i="8"/>
  <c r="G43" i="8"/>
  <c r="AP50" i="9"/>
  <c r="AF50" i="9"/>
  <c r="G12" i="8"/>
  <c r="G22" i="8" s="1"/>
  <c r="H6" i="12" s="1"/>
  <c r="G17" i="8"/>
  <c r="G27" i="8" s="1"/>
  <c r="H11" i="12" s="1"/>
  <c r="G18" i="8"/>
  <c r="G28" i="8" s="1"/>
  <c r="H12" i="12" s="1"/>
  <c r="G14" i="8"/>
  <c r="G24" i="8" s="1"/>
  <c r="H8" i="12" s="1"/>
  <c r="G15" i="8"/>
  <c r="G25" i="8" s="1"/>
  <c r="H9" i="12" s="1"/>
  <c r="G13" i="8"/>
  <c r="G23" i="8" s="1"/>
  <c r="H7" i="12" s="1"/>
  <c r="G11" i="8"/>
  <c r="G21" i="8" s="1"/>
  <c r="H5" i="12" s="1"/>
  <c r="G16" i="8"/>
  <c r="G26" i="8" s="1"/>
  <c r="H10" i="12" s="1"/>
  <c r="AK51" i="9"/>
  <c r="BA51" i="9" s="1"/>
  <c r="AJ51" i="9"/>
  <c r="AZ51" i="9" s="1"/>
  <c r="AM51" i="9"/>
  <c r="BC51" i="9" s="1"/>
  <c r="AH51" i="9"/>
  <c r="AX51" i="9" s="1"/>
  <c r="AL51" i="9"/>
  <c r="BB51" i="9" s="1"/>
  <c r="C52" i="9"/>
  <c r="S52" i="9" s="1"/>
  <c r="AI51" i="9"/>
  <c r="AY51" i="9" s="1"/>
  <c r="AA51" i="9"/>
  <c r="AQ51" i="9" s="1"/>
  <c r="BG51" i="9" s="1"/>
  <c r="K52" i="9"/>
  <c r="F52" i="9"/>
  <c r="V52" i="9" s="1"/>
  <c r="Z51" i="9"/>
  <c r="J52" i="9"/>
  <c r="P51" i="9"/>
  <c r="AC51" i="9"/>
  <c r="AS51" i="9" s="1"/>
  <c r="BI51" i="9" s="1"/>
  <c r="M52" i="9"/>
  <c r="O52" i="9"/>
  <c r="AE51" i="9"/>
  <c r="AU51" i="9" s="1"/>
  <c r="BK51" i="9" s="1"/>
  <c r="D52" i="9"/>
  <c r="T52" i="9" s="1"/>
  <c r="L52" i="9"/>
  <c r="AB51" i="9"/>
  <c r="AR51" i="9" s="1"/>
  <c r="BH51" i="9" s="1"/>
  <c r="AD51" i="9"/>
  <c r="AT51" i="9" s="1"/>
  <c r="BJ51" i="9" s="1"/>
  <c r="N52" i="9"/>
  <c r="G52" i="9"/>
  <c r="W52" i="9" s="1"/>
  <c r="E52" i="9"/>
  <c r="U52" i="9" s="1"/>
  <c r="B52" i="9"/>
  <c r="R52" i="9" s="1"/>
  <c r="H51" i="9"/>
  <c r="X51" i="9" s="1"/>
  <c r="G56" i="8" l="1"/>
  <c r="H11" i="13"/>
  <c r="G57" i="8"/>
  <c r="H12" i="13"/>
  <c r="H22" i="12"/>
  <c r="H15" i="12"/>
  <c r="H32" i="12" s="1"/>
  <c r="G50" i="8"/>
  <c r="H5" i="13"/>
  <c r="G55" i="8"/>
  <c r="H10" i="13"/>
  <c r="G53" i="8"/>
  <c r="H8" i="13"/>
  <c r="G54" i="8"/>
  <c r="H9" i="13"/>
  <c r="G51" i="8"/>
  <c r="H6" i="13"/>
  <c r="H16" i="12"/>
  <c r="H36" i="12"/>
  <c r="G52" i="8"/>
  <c r="H7" i="13"/>
  <c r="AV50" i="9"/>
  <c r="BF50" i="9"/>
  <c r="BL50" i="9" s="1"/>
  <c r="BD51" i="9"/>
  <c r="AN51" i="9"/>
  <c r="AP51" i="9"/>
  <c r="AF51" i="9"/>
  <c r="AK52" i="9"/>
  <c r="BA52" i="9" s="1"/>
  <c r="AM52" i="9"/>
  <c r="BC52" i="9" s="1"/>
  <c r="AJ52" i="9"/>
  <c r="AZ52" i="9" s="1"/>
  <c r="AL52" i="9"/>
  <c r="BB52" i="9" s="1"/>
  <c r="AH52" i="9"/>
  <c r="C53" i="9"/>
  <c r="AI52" i="9"/>
  <c r="AY52" i="9" s="1"/>
  <c r="AD52" i="9"/>
  <c r="AT52" i="9" s="1"/>
  <c r="BJ52" i="9" s="1"/>
  <c r="N53" i="9"/>
  <c r="E53" i="9"/>
  <c r="U53" i="9" s="1"/>
  <c r="H52" i="9"/>
  <c r="X52" i="9" s="1"/>
  <c r="B53" i="9"/>
  <c r="R53" i="9" s="1"/>
  <c r="AB52" i="9"/>
  <c r="AR52" i="9" s="1"/>
  <c r="BH52" i="9" s="1"/>
  <c r="L53" i="9"/>
  <c r="Z52" i="9"/>
  <c r="J53" i="9"/>
  <c r="P52" i="9"/>
  <c r="D53" i="9"/>
  <c r="T53" i="9" s="1"/>
  <c r="F53" i="9"/>
  <c r="V53" i="9" s="1"/>
  <c r="M53" i="9"/>
  <c r="AC52" i="9"/>
  <c r="AS52" i="9" s="1"/>
  <c r="BI52" i="9" s="1"/>
  <c r="G53" i="9"/>
  <c r="W53" i="9" s="1"/>
  <c r="AE52" i="9"/>
  <c r="AU52" i="9" s="1"/>
  <c r="BK52" i="9" s="1"/>
  <c r="O53" i="9"/>
  <c r="AA52" i="9"/>
  <c r="AQ52" i="9" s="1"/>
  <c r="BG52" i="9" s="1"/>
  <c r="K53" i="9"/>
  <c r="H36" i="13" l="1"/>
  <c r="H16" i="13"/>
  <c r="H17" i="12"/>
  <c r="H33" i="12"/>
  <c r="H15" i="13"/>
  <c r="H32" i="13" s="1"/>
  <c r="H22" i="13"/>
  <c r="AN52" i="9"/>
  <c r="AX52" i="9"/>
  <c r="BD52" i="9" s="1"/>
  <c r="BF51" i="9"/>
  <c r="BL51" i="9" s="1"/>
  <c r="AV51" i="9"/>
  <c r="AP52" i="9"/>
  <c r="AF52" i="9"/>
  <c r="S53" i="9"/>
  <c r="AI53" i="9" s="1"/>
  <c r="AY53" i="9" s="1"/>
  <c r="C54" i="9"/>
  <c r="S54" i="9" s="1"/>
  <c r="AM53" i="9"/>
  <c r="BC53" i="9" s="1"/>
  <c r="AH53" i="9"/>
  <c r="AX53" i="9" s="1"/>
  <c r="AL53" i="9"/>
  <c r="BB53" i="9" s="1"/>
  <c r="AJ53" i="9"/>
  <c r="AZ53" i="9" s="1"/>
  <c r="AK53" i="9"/>
  <c r="BA53" i="9" s="1"/>
  <c r="D54" i="9"/>
  <c r="T54" i="9" s="1"/>
  <c r="AE53" i="9"/>
  <c r="AU53" i="9" s="1"/>
  <c r="BK53" i="9" s="1"/>
  <c r="O54" i="9"/>
  <c r="G54" i="9"/>
  <c r="W54" i="9" s="1"/>
  <c r="E54" i="9"/>
  <c r="U54" i="9" s="1"/>
  <c r="H53" i="9"/>
  <c r="B54" i="9"/>
  <c r="R54" i="9" s="1"/>
  <c r="P53" i="9"/>
  <c r="J54" i="9"/>
  <c r="Z53" i="9"/>
  <c r="K54" i="9"/>
  <c r="AA53" i="9"/>
  <c r="AQ53" i="9" s="1"/>
  <c r="BG53" i="9" s="1"/>
  <c r="AC53" i="9"/>
  <c r="AS53" i="9" s="1"/>
  <c r="BI53" i="9" s="1"/>
  <c r="M54" i="9"/>
  <c r="AB53" i="9"/>
  <c r="AR53" i="9" s="1"/>
  <c r="BH53" i="9" s="1"/>
  <c r="L54" i="9"/>
  <c r="N54" i="9"/>
  <c r="AD53" i="9"/>
  <c r="AT53" i="9" s="1"/>
  <c r="BJ53" i="9" s="1"/>
  <c r="F54" i="9"/>
  <c r="V54" i="9" s="1"/>
  <c r="G17" i="12" l="1"/>
  <c r="H34" i="12"/>
  <c r="H18" i="12"/>
  <c r="H33" i="13"/>
  <c r="H17" i="13"/>
  <c r="X53" i="9"/>
  <c r="BD53" i="9"/>
  <c r="BF52" i="9"/>
  <c r="BL52" i="9" s="1"/>
  <c r="AV52" i="9"/>
  <c r="AN53" i="9"/>
  <c r="AP53" i="9"/>
  <c r="AF53" i="9"/>
  <c r="AJ54" i="9"/>
  <c r="AZ54" i="9" s="1"/>
  <c r="AH54" i="9"/>
  <c r="AX54" i="9" s="1"/>
  <c r="AK54" i="9"/>
  <c r="BA54" i="9" s="1"/>
  <c r="AM54" i="9"/>
  <c r="BC54" i="9" s="1"/>
  <c r="AL54" i="9"/>
  <c r="BB54" i="9" s="1"/>
  <c r="C55" i="9"/>
  <c r="S55" i="9" s="1"/>
  <c r="AI54" i="9"/>
  <c r="AY54" i="9" s="1"/>
  <c r="L55" i="9"/>
  <c r="AB54" i="9"/>
  <c r="AR54" i="9" s="1"/>
  <c r="BH54" i="9" s="1"/>
  <c r="K55" i="9"/>
  <c r="AA54" i="9"/>
  <c r="AQ54" i="9" s="1"/>
  <c r="BG54" i="9" s="1"/>
  <c r="G55" i="9"/>
  <c r="W55" i="9" s="1"/>
  <c r="J55" i="9"/>
  <c r="P54" i="9"/>
  <c r="Z54" i="9"/>
  <c r="O55" i="9"/>
  <c r="AE54" i="9"/>
  <c r="AU54" i="9" s="1"/>
  <c r="BK54" i="9" s="1"/>
  <c r="AC54" i="9"/>
  <c r="AS54" i="9" s="1"/>
  <c r="BI54" i="9" s="1"/>
  <c r="M55" i="9"/>
  <c r="F55" i="9"/>
  <c r="V55" i="9" s="1"/>
  <c r="AD54" i="9"/>
  <c r="AT54" i="9" s="1"/>
  <c r="BJ54" i="9" s="1"/>
  <c r="N55" i="9"/>
  <c r="B55" i="9"/>
  <c r="R55" i="9" s="1"/>
  <c r="H54" i="9"/>
  <c r="X54" i="9" s="1"/>
  <c r="D55" i="9"/>
  <c r="T55" i="9" s="1"/>
  <c r="E55" i="9"/>
  <c r="U55" i="9" s="1"/>
  <c r="H35" i="12" l="1"/>
  <c r="H26" i="12"/>
  <c r="H29" i="12"/>
  <c r="H27" i="12"/>
  <c r="H28" i="12"/>
  <c r="H25" i="12"/>
  <c r="H23" i="12"/>
  <c r="H24" i="12"/>
  <c r="G17" i="13"/>
  <c r="H34" i="13"/>
  <c r="H18" i="13"/>
  <c r="G18" i="12"/>
  <c r="G34" i="12"/>
  <c r="BD54" i="9"/>
  <c r="BF53" i="9"/>
  <c r="BL53" i="9" s="1"/>
  <c r="AV53" i="9"/>
  <c r="H40" i="8" s="1" a="1"/>
  <c r="AN54" i="9"/>
  <c r="AP54" i="9"/>
  <c r="AF54" i="9"/>
  <c r="H11" i="8" a="1"/>
  <c r="AJ55" i="9"/>
  <c r="AZ55" i="9" s="1"/>
  <c r="AH55" i="9"/>
  <c r="AL55" i="9"/>
  <c r="BB55" i="9" s="1"/>
  <c r="AM55" i="9"/>
  <c r="BC55" i="9" s="1"/>
  <c r="AK55" i="9"/>
  <c r="BA55" i="9" s="1"/>
  <c r="C56" i="9"/>
  <c r="S56" i="9" s="1"/>
  <c r="AI55" i="9"/>
  <c r="AY55" i="9" s="1"/>
  <c r="Z55" i="9"/>
  <c r="J56" i="9"/>
  <c r="P55" i="9"/>
  <c r="G56" i="9"/>
  <c r="W56" i="9" s="1"/>
  <c r="M56" i="9"/>
  <c r="AC55" i="9"/>
  <c r="AS55" i="9" s="1"/>
  <c r="BI55" i="9" s="1"/>
  <c r="F56" i="9"/>
  <c r="V56" i="9" s="1"/>
  <c r="B56" i="9"/>
  <c r="R56" i="9" s="1"/>
  <c r="H55" i="9"/>
  <c r="X55" i="9" s="1"/>
  <c r="AD55" i="9"/>
  <c r="AT55" i="9" s="1"/>
  <c r="BJ55" i="9" s="1"/>
  <c r="N56" i="9"/>
  <c r="AE55" i="9"/>
  <c r="AU55" i="9" s="1"/>
  <c r="BK55" i="9" s="1"/>
  <c r="O56" i="9"/>
  <c r="K56" i="9"/>
  <c r="AA55" i="9"/>
  <c r="AQ55" i="9" s="1"/>
  <c r="BG55" i="9" s="1"/>
  <c r="D56" i="9"/>
  <c r="T56" i="9" s="1"/>
  <c r="E56" i="9"/>
  <c r="U56" i="9" s="1"/>
  <c r="AB55" i="9"/>
  <c r="AR55" i="9" s="1"/>
  <c r="BH55" i="9" s="1"/>
  <c r="L56" i="9"/>
  <c r="H35" i="13" l="1"/>
  <c r="H25" i="13"/>
  <c r="H28" i="13"/>
  <c r="H24" i="13"/>
  <c r="H27" i="13"/>
  <c r="H29" i="13"/>
  <c r="H23" i="13"/>
  <c r="H26" i="13"/>
  <c r="G25" i="12"/>
  <c r="G35" i="12"/>
  <c r="G24" i="12"/>
  <c r="G27" i="12"/>
  <c r="G29" i="12"/>
  <c r="G26" i="12"/>
  <c r="G28" i="12"/>
  <c r="G23" i="12"/>
  <c r="G18" i="13"/>
  <c r="G34" i="13"/>
  <c r="AV54" i="9"/>
  <c r="BF54" i="9"/>
  <c r="BL54" i="9" s="1"/>
  <c r="AN55" i="9"/>
  <c r="AX55" i="9"/>
  <c r="BD55" i="9" s="1"/>
  <c r="H47" i="8"/>
  <c r="H46" i="8"/>
  <c r="H45" i="8"/>
  <c r="H42" i="8"/>
  <c r="H41" i="8"/>
  <c r="H44" i="8"/>
  <c r="H43" i="8"/>
  <c r="H40" i="8"/>
  <c r="AP55" i="9"/>
  <c r="AF55" i="9"/>
  <c r="H12" i="8"/>
  <c r="H22" i="8" s="1"/>
  <c r="I6" i="12" s="1"/>
  <c r="H11" i="8"/>
  <c r="H21" i="8" s="1"/>
  <c r="I5" i="12" s="1"/>
  <c r="H15" i="8"/>
  <c r="H25" i="8" s="1"/>
  <c r="I9" i="12" s="1"/>
  <c r="H18" i="8"/>
  <c r="H28" i="8" s="1"/>
  <c r="I12" i="12" s="1"/>
  <c r="H17" i="8"/>
  <c r="H27" i="8" s="1"/>
  <c r="I11" i="12" s="1"/>
  <c r="H14" i="8"/>
  <c r="H24" i="8" s="1"/>
  <c r="I8" i="12" s="1"/>
  <c r="H16" i="8"/>
  <c r="H26" i="8" s="1"/>
  <c r="I10" i="12" s="1"/>
  <c r="H13" i="8"/>
  <c r="H23" i="8" s="1"/>
  <c r="I7" i="12" s="1"/>
  <c r="AK56" i="9"/>
  <c r="BA56" i="9" s="1"/>
  <c r="AJ56" i="9"/>
  <c r="AZ56" i="9" s="1"/>
  <c r="AH56" i="9"/>
  <c r="AX56" i="9" s="1"/>
  <c r="AL56" i="9"/>
  <c r="BB56" i="9" s="1"/>
  <c r="AM56" i="9"/>
  <c r="BC56" i="9" s="1"/>
  <c r="C57" i="9"/>
  <c r="S57" i="9" s="1"/>
  <c r="AI56" i="9"/>
  <c r="AY56" i="9" s="1"/>
  <c r="E57" i="9"/>
  <c r="U57" i="9" s="1"/>
  <c r="N57" i="9"/>
  <c r="AD56" i="9"/>
  <c r="AT56" i="9" s="1"/>
  <c r="BJ56" i="9" s="1"/>
  <c r="D57" i="9"/>
  <c r="T57" i="9" s="1"/>
  <c r="G57" i="9"/>
  <c r="W57" i="9" s="1"/>
  <c r="AE56" i="9"/>
  <c r="AU56" i="9" s="1"/>
  <c r="BK56" i="9" s="1"/>
  <c r="O57" i="9"/>
  <c r="M57" i="9"/>
  <c r="AC56" i="9"/>
  <c r="AS56" i="9" s="1"/>
  <c r="BI56" i="9" s="1"/>
  <c r="H56" i="9"/>
  <c r="X56" i="9" s="1"/>
  <c r="B57" i="9"/>
  <c r="R57" i="9" s="1"/>
  <c r="L57" i="9"/>
  <c r="AB56" i="9"/>
  <c r="AR56" i="9" s="1"/>
  <c r="BH56" i="9" s="1"/>
  <c r="AA56" i="9"/>
  <c r="AQ56" i="9" s="1"/>
  <c r="BG56" i="9" s="1"/>
  <c r="K57" i="9"/>
  <c r="F57" i="9"/>
  <c r="V57" i="9" s="1"/>
  <c r="Z56" i="9"/>
  <c r="P56" i="9"/>
  <c r="J57" i="9"/>
  <c r="H51" i="8" l="1"/>
  <c r="I6" i="13"/>
  <c r="I22" i="12"/>
  <c r="I15" i="12"/>
  <c r="I32" i="12" s="1"/>
  <c r="H52" i="8"/>
  <c r="I7" i="13"/>
  <c r="I36" i="12"/>
  <c r="I16" i="12"/>
  <c r="H55" i="8"/>
  <c r="I10" i="13"/>
  <c r="G28" i="13"/>
  <c r="G35" i="13"/>
  <c r="G25" i="13"/>
  <c r="G26" i="13"/>
  <c r="G27" i="13"/>
  <c r="G23" i="13"/>
  <c r="G24" i="13"/>
  <c r="G29" i="13"/>
  <c r="H57" i="8"/>
  <c r="I12" i="13"/>
  <c r="H50" i="8"/>
  <c r="I5" i="13"/>
  <c r="H53" i="8"/>
  <c r="I8" i="13"/>
  <c r="H54" i="8"/>
  <c r="I9" i="13"/>
  <c r="H56" i="8"/>
  <c r="I11" i="13"/>
  <c r="BD56" i="9"/>
  <c r="AV55" i="9"/>
  <c r="BF55" i="9"/>
  <c r="BL55" i="9" s="1"/>
  <c r="AN56" i="9"/>
  <c r="AP56" i="9"/>
  <c r="AF56" i="9"/>
  <c r="AL57" i="9"/>
  <c r="BB57" i="9" s="1"/>
  <c r="AK57" i="9"/>
  <c r="BA57" i="9" s="1"/>
  <c r="AM57" i="9"/>
  <c r="BC57" i="9" s="1"/>
  <c r="AH57" i="9"/>
  <c r="AJ57" i="9"/>
  <c r="AZ57" i="9" s="1"/>
  <c r="C58" i="9"/>
  <c r="S58" i="9" s="1"/>
  <c r="AI57" i="9"/>
  <c r="AY57" i="9" s="1"/>
  <c r="G58" i="9"/>
  <c r="W58" i="9" s="1"/>
  <c r="B58" i="9"/>
  <c r="R58" i="9" s="1"/>
  <c r="H57" i="9"/>
  <c r="X57" i="9" s="1"/>
  <c r="F58" i="9"/>
  <c r="V58" i="9" s="1"/>
  <c r="AA57" i="9"/>
  <c r="AQ57" i="9" s="1"/>
  <c r="BG57" i="9" s="1"/>
  <c r="K58" i="9"/>
  <c r="D58" i="9"/>
  <c r="T58" i="9" s="1"/>
  <c r="AB57" i="9"/>
  <c r="AR57" i="9" s="1"/>
  <c r="BH57" i="9" s="1"/>
  <c r="L58" i="9"/>
  <c r="M58" i="9"/>
  <c r="AC57" i="9"/>
  <c r="AS57" i="9" s="1"/>
  <c r="BI57" i="9" s="1"/>
  <c r="AE57" i="9"/>
  <c r="AU57" i="9" s="1"/>
  <c r="BK57" i="9" s="1"/>
  <c r="O58" i="9"/>
  <c r="N58" i="9"/>
  <c r="AD57" i="9"/>
  <c r="AT57" i="9" s="1"/>
  <c r="BJ57" i="9" s="1"/>
  <c r="J58" i="9"/>
  <c r="P57" i="9"/>
  <c r="Z57" i="9"/>
  <c r="E58" i="9"/>
  <c r="U58" i="9" s="1"/>
  <c r="I15" i="13" l="1"/>
  <c r="I32" i="13" s="1"/>
  <c r="I22" i="13"/>
  <c r="I33" i="12"/>
  <c r="I17" i="12"/>
  <c r="I16" i="13"/>
  <c r="I36" i="13"/>
  <c r="BF56" i="9"/>
  <c r="BL56" i="9" s="1"/>
  <c r="AV56" i="9"/>
  <c r="AN57" i="9"/>
  <c r="AX57" i="9"/>
  <c r="BD57" i="9" s="1"/>
  <c r="AP57" i="9"/>
  <c r="AF57" i="9"/>
  <c r="AH58" i="9"/>
  <c r="AX58" i="9" s="1"/>
  <c r="AM58" i="9"/>
  <c r="BC58" i="9" s="1"/>
  <c r="AJ58" i="9"/>
  <c r="AZ58" i="9" s="1"/>
  <c r="AK58" i="9"/>
  <c r="BA58" i="9" s="1"/>
  <c r="AL58" i="9"/>
  <c r="BB58" i="9" s="1"/>
  <c r="C59" i="9"/>
  <c r="S59" i="9" s="1"/>
  <c r="AI58" i="9"/>
  <c r="AY58" i="9" s="1"/>
  <c r="Z58" i="9"/>
  <c r="J59" i="9"/>
  <c r="P58" i="9"/>
  <c r="AC58" i="9"/>
  <c r="AS58" i="9" s="1"/>
  <c r="BI58" i="9" s="1"/>
  <c r="M59" i="9"/>
  <c r="D59" i="9"/>
  <c r="T59" i="9" s="1"/>
  <c r="F59" i="9"/>
  <c r="V59" i="9" s="1"/>
  <c r="AE58" i="9"/>
  <c r="AU58" i="9" s="1"/>
  <c r="BK58" i="9" s="1"/>
  <c r="O59" i="9"/>
  <c r="K59" i="9"/>
  <c r="AA58" i="9"/>
  <c r="AQ58" i="9" s="1"/>
  <c r="BG58" i="9" s="1"/>
  <c r="B59" i="9"/>
  <c r="R59" i="9" s="1"/>
  <c r="H58" i="9"/>
  <c r="X58" i="9" s="1"/>
  <c r="E59" i="9"/>
  <c r="U59" i="9" s="1"/>
  <c r="AB58" i="9"/>
  <c r="AR58" i="9" s="1"/>
  <c r="BH58" i="9" s="1"/>
  <c r="L59" i="9"/>
  <c r="N59" i="9"/>
  <c r="AD58" i="9"/>
  <c r="AT58" i="9" s="1"/>
  <c r="BJ58" i="9" s="1"/>
  <c r="G59" i="9"/>
  <c r="W59" i="9" s="1"/>
  <c r="I34" i="12" l="1"/>
  <c r="I18" i="12"/>
  <c r="I17" i="13"/>
  <c r="I33" i="13"/>
  <c r="BF57" i="9"/>
  <c r="BL57" i="9" s="1"/>
  <c r="AV57" i="9"/>
  <c r="BD58" i="9"/>
  <c r="AN58" i="9"/>
  <c r="AP58" i="9"/>
  <c r="AF58" i="9"/>
  <c r="AL59" i="9"/>
  <c r="BB59" i="9" s="1"/>
  <c r="AK59" i="9"/>
  <c r="BA59" i="9" s="1"/>
  <c r="AH59" i="9"/>
  <c r="AX59" i="9" s="1"/>
  <c r="AJ59" i="9"/>
  <c r="AZ59" i="9" s="1"/>
  <c r="AM59" i="9"/>
  <c r="BC59" i="9" s="1"/>
  <c r="C60" i="9"/>
  <c r="S60" i="9" s="1"/>
  <c r="AI59" i="9"/>
  <c r="AY59" i="9" s="1"/>
  <c r="G60" i="9"/>
  <c r="W60" i="9" s="1"/>
  <c r="B60" i="9"/>
  <c r="R60" i="9" s="1"/>
  <c r="H59" i="9"/>
  <c r="X59" i="9" s="1"/>
  <c r="D60" i="9"/>
  <c r="T60" i="9" s="1"/>
  <c r="L60" i="9"/>
  <c r="AB59" i="9"/>
  <c r="AR59" i="9" s="1"/>
  <c r="BH59" i="9" s="1"/>
  <c r="AA59" i="9"/>
  <c r="AQ59" i="9" s="1"/>
  <c r="BG59" i="9" s="1"/>
  <c r="K60" i="9"/>
  <c r="AC59" i="9"/>
  <c r="AS59" i="9" s="1"/>
  <c r="BI59" i="9" s="1"/>
  <c r="M60" i="9"/>
  <c r="E60" i="9"/>
  <c r="U60" i="9" s="1"/>
  <c r="AD59" i="9"/>
  <c r="AT59" i="9" s="1"/>
  <c r="BJ59" i="9" s="1"/>
  <c r="N60" i="9"/>
  <c r="O60" i="9"/>
  <c r="AE59" i="9"/>
  <c r="AU59" i="9" s="1"/>
  <c r="BK59" i="9" s="1"/>
  <c r="Z59" i="9"/>
  <c r="J60" i="9"/>
  <c r="P59" i="9"/>
  <c r="F60" i="9"/>
  <c r="V60" i="9" s="1"/>
  <c r="I35" i="12" l="1"/>
  <c r="I26" i="12"/>
  <c r="I25" i="12"/>
  <c r="I24" i="12"/>
  <c r="I28" i="12"/>
  <c r="I23" i="12"/>
  <c r="I27" i="12"/>
  <c r="I29" i="12"/>
  <c r="I18" i="13"/>
  <c r="I34" i="13"/>
  <c r="BF58" i="9"/>
  <c r="BL58" i="9" s="1"/>
  <c r="AV58" i="9"/>
  <c r="I40" i="8" s="1" a="1"/>
  <c r="BD59" i="9"/>
  <c r="AN59" i="9"/>
  <c r="AP59" i="9"/>
  <c r="AF59" i="9"/>
  <c r="I11" i="8" a="1"/>
  <c r="AM60" i="9"/>
  <c r="BC60" i="9" s="1"/>
  <c r="AJ60" i="9"/>
  <c r="AZ60" i="9" s="1"/>
  <c r="AL60" i="9"/>
  <c r="BB60" i="9" s="1"/>
  <c r="AK60" i="9"/>
  <c r="BA60" i="9" s="1"/>
  <c r="AH60" i="9"/>
  <c r="AX60" i="9" s="1"/>
  <c r="C61" i="9"/>
  <c r="S61" i="9" s="1"/>
  <c r="AI60" i="9"/>
  <c r="AY60" i="9" s="1"/>
  <c r="AB60" i="9"/>
  <c r="AR60" i="9" s="1"/>
  <c r="BH60" i="9" s="1"/>
  <c r="L61" i="9"/>
  <c r="D61" i="9"/>
  <c r="T61" i="9" s="1"/>
  <c r="Z60" i="9"/>
  <c r="J61" i="9"/>
  <c r="P60" i="9"/>
  <c r="M61" i="9"/>
  <c r="AC60" i="9"/>
  <c r="AS60" i="9" s="1"/>
  <c r="BI60" i="9" s="1"/>
  <c r="E61" i="9"/>
  <c r="U61" i="9" s="1"/>
  <c r="AA60" i="9"/>
  <c r="AQ60" i="9" s="1"/>
  <c r="BG60" i="9" s="1"/>
  <c r="K61" i="9"/>
  <c r="AE60" i="9"/>
  <c r="AU60" i="9" s="1"/>
  <c r="BK60" i="9" s="1"/>
  <c r="O61" i="9"/>
  <c r="F61" i="9"/>
  <c r="V61" i="9" s="1"/>
  <c r="H60" i="9"/>
  <c r="X60" i="9" s="1"/>
  <c r="B61" i="9"/>
  <c r="R61" i="9" s="1"/>
  <c r="AD60" i="9"/>
  <c r="AT60" i="9" s="1"/>
  <c r="BJ60" i="9" s="1"/>
  <c r="N61" i="9"/>
  <c r="G61" i="9"/>
  <c r="W61" i="9" s="1"/>
  <c r="I35" i="13" l="1"/>
  <c r="I27" i="13"/>
  <c r="I24" i="13"/>
  <c r="I29" i="13"/>
  <c r="I28" i="13"/>
  <c r="I25" i="13"/>
  <c r="I23" i="13"/>
  <c r="I26" i="13"/>
  <c r="BD60" i="9"/>
  <c r="BF59" i="9"/>
  <c r="BL59" i="9" s="1"/>
  <c r="AV59" i="9"/>
  <c r="I41" i="8"/>
  <c r="J6" i="13" s="1"/>
  <c r="I42" i="8"/>
  <c r="I44" i="8"/>
  <c r="I46" i="8"/>
  <c r="I47" i="8"/>
  <c r="I40" i="8"/>
  <c r="I43" i="8"/>
  <c r="I45" i="8"/>
  <c r="AP60" i="9"/>
  <c r="AF60" i="9"/>
  <c r="AN60" i="9"/>
  <c r="I12" i="8"/>
  <c r="I22" i="8" s="1"/>
  <c r="J6" i="12" s="1"/>
  <c r="I11" i="8"/>
  <c r="I21" i="8" s="1"/>
  <c r="J5" i="12" s="1"/>
  <c r="I18" i="8"/>
  <c r="I28" i="8" s="1"/>
  <c r="J12" i="12" s="1"/>
  <c r="I15" i="8"/>
  <c r="I25" i="8" s="1"/>
  <c r="J9" i="12" s="1"/>
  <c r="I14" i="8"/>
  <c r="I24" i="8" s="1"/>
  <c r="J8" i="12" s="1"/>
  <c r="I17" i="8"/>
  <c r="I27" i="8" s="1"/>
  <c r="J11" i="12" s="1"/>
  <c r="I16" i="8"/>
  <c r="I26" i="8" s="1"/>
  <c r="J10" i="12" s="1"/>
  <c r="I13" i="8"/>
  <c r="I23" i="8" s="1"/>
  <c r="J7" i="12" s="1"/>
  <c r="AK61" i="9"/>
  <c r="BA61" i="9" s="1"/>
  <c r="AJ61" i="9"/>
  <c r="AZ61" i="9" s="1"/>
  <c r="AH61" i="9"/>
  <c r="AX61" i="9" s="1"/>
  <c r="AL61" i="9"/>
  <c r="BB61" i="9" s="1"/>
  <c r="AM61" i="9"/>
  <c r="BC61" i="9" s="1"/>
  <c r="C62" i="9"/>
  <c r="S62" i="9" s="1"/>
  <c r="AI61" i="9"/>
  <c r="AY61" i="9" s="1"/>
  <c r="AE61" i="9"/>
  <c r="AU61" i="9" s="1"/>
  <c r="BK61" i="9" s="1"/>
  <c r="O62" i="9"/>
  <c r="P61" i="9"/>
  <c r="Z61" i="9"/>
  <c r="J62" i="9"/>
  <c r="AC61" i="9"/>
  <c r="AS61" i="9" s="1"/>
  <c r="BI61" i="9" s="1"/>
  <c r="M62" i="9"/>
  <c r="K62" i="9"/>
  <c r="AA61" i="9"/>
  <c r="AQ61" i="9" s="1"/>
  <c r="BG61" i="9" s="1"/>
  <c r="H61" i="9"/>
  <c r="X61" i="9" s="1"/>
  <c r="B62" i="9"/>
  <c r="R62" i="9" s="1"/>
  <c r="D62" i="9"/>
  <c r="T62" i="9" s="1"/>
  <c r="F62" i="9"/>
  <c r="V62" i="9" s="1"/>
  <c r="N62" i="9"/>
  <c r="AD61" i="9"/>
  <c r="AT61" i="9" s="1"/>
  <c r="BJ61" i="9" s="1"/>
  <c r="G62" i="9"/>
  <c r="W62" i="9" s="1"/>
  <c r="E62" i="9"/>
  <c r="U62" i="9" s="1"/>
  <c r="AB61" i="9"/>
  <c r="AR61" i="9" s="1"/>
  <c r="BH61" i="9" s="1"/>
  <c r="L62" i="9"/>
  <c r="J22" i="12" l="1"/>
  <c r="J15" i="12"/>
  <c r="J32" i="12" s="1"/>
  <c r="I57" i="8"/>
  <c r="J12" i="13"/>
  <c r="I56" i="8"/>
  <c r="J11" i="13"/>
  <c r="I54" i="8"/>
  <c r="J9" i="13"/>
  <c r="I53" i="8"/>
  <c r="J8" i="13"/>
  <c r="I52" i="8"/>
  <c r="J7" i="13"/>
  <c r="I55" i="8"/>
  <c r="J10" i="13"/>
  <c r="J36" i="12"/>
  <c r="J16" i="12"/>
  <c r="I50" i="8"/>
  <c r="J5" i="13"/>
  <c r="BD61" i="9"/>
  <c r="BF60" i="9"/>
  <c r="BL60" i="9" s="1"/>
  <c r="AV60" i="9"/>
  <c r="AN61" i="9"/>
  <c r="I51" i="8"/>
  <c r="AP61" i="9"/>
  <c r="AF61" i="9"/>
  <c r="AK62" i="9"/>
  <c r="BA62" i="9" s="1"/>
  <c r="AM62" i="9"/>
  <c r="BC62" i="9" s="1"/>
  <c r="AL62" i="9"/>
  <c r="BB62" i="9" s="1"/>
  <c r="AJ62" i="9"/>
  <c r="AZ62" i="9" s="1"/>
  <c r="AH62" i="9"/>
  <c r="AX62" i="9" s="1"/>
  <c r="C63" i="9"/>
  <c r="S63" i="9" s="1"/>
  <c r="AI62" i="9"/>
  <c r="AY62" i="9" s="1"/>
  <c r="G63" i="9"/>
  <c r="W63" i="9" s="1"/>
  <c r="E63" i="9"/>
  <c r="U63" i="9" s="1"/>
  <c r="AC62" i="9"/>
  <c r="AS62" i="9" s="1"/>
  <c r="BI62" i="9" s="1"/>
  <c r="M63" i="9"/>
  <c r="B63" i="9"/>
  <c r="R63" i="9" s="1"/>
  <c r="H62" i="9"/>
  <c r="X62" i="9" s="1"/>
  <c r="J63" i="9"/>
  <c r="P62" i="9"/>
  <c r="Z62" i="9"/>
  <c r="F63" i="9"/>
  <c r="V63" i="9" s="1"/>
  <c r="AD62" i="9"/>
  <c r="AT62" i="9" s="1"/>
  <c r="BJ62" i="9" s="1"/>
  <c r="N63" i="9"/>
  <c r="D63" i="9"/>
  <c r="T63" i="9" s="1"/>
  <c r="L63" i="9"/>
  <c r="AB62" i="9"/>
  <c r="AR62" i="9" s="1"/>
  <c r="BH62" i="9" s="1"/>
  <c r="O63" i="9"/>
  <c r="AE62" i="9"/>
  <c r="AU62" i="9" s="1"/>
  <c r="BK62" i="9" s="1"/>
  <c r="K63" i="9"/>
  <c r="AA62" i="9"/>
  <c r="AQ62" i="9" s="1"/>
  <c r="BG62" i="9" s="1"/>
  <c r="J17" i="12" l="1"/>
  <c r="J33" i="12"/>
  <c r="J22" i="13"/>
  <c r="J15" i="13"/>
  <c r="J32" i="13" s="1"/>
  <c r="J16" i="13"/>
  <c r="J36" i="13"/>
  <c r="BD62" i="9"/>
  <c r="AV61" i="9"/>
  <c r="BF61" i="9"/>
  <c r="BL61" i="9" s="1"/>
  <c r="AN62" i="9"/>
  <c r="AP62" i="9"/>
  <c r="AF62" i="9"/>
  <c r="AL63" i="9"/>
  <c r="BB63" i="9" s="1"/>
  <c r="AM63" i="9"/>
  <c r="BC63" i="9" s="1"/>
  <c r="AH63" i="9"/>
  <c r="AX63" i="9" s="1"/>
  <c r="AK63" i="9"/>
  <c r="BA63" i="9" s="1"/>
  <c r="AJ63" i="9"/>
  <c r="AZ63" i="9" s="1"/>
  <c r="C64" i="9"/>
  <c r="S64" i="9" s="1"/>
  <c r="AI63" i="9"/>
  <c r="AY63" i="9" s="1"/>
  <c r="K64" i="9"/>
  <c r="AA63" i="9"/>
  <c r="AQ63" i="9" s="1"/>
  <c r="BG63" i="9" s="1"/>
  <c r="F64" i="9"/>
  <c r="V64" i="9" s="1"/>
  <c r="AE63" i="9"/>
  <c r="AU63" i="9" s="1"/>
  <c r="BK63" i="9" s="1"/>
  <c r="O64" i="9"/>
  <c r="M64" i="9"/>
  <c r="AC63" i="9"/>
  <c r="AS63" i="9" s="1"/>
  <c r="BI63" i="9" s="1"/>
  <c r="AB63" i="9"/>
  <c r="AR63" i="9" s="1"/>
  <c r="BH63" i="9" s="1"/>
  <c r="L64" i="9"/>
  <c r="E64" i="9"/>
  <c r="U64" i="9" s="1"/>
  <c r="D64" i="9"/>
  <c r="T64" i="9" s="1"/>
  <c r="Z63" i="9"/>
  <c r="J64" i="9"/>
  <c r="P63" i="9"/>
  <c r="AD63" i="9"/>
  <c r="AT63" i="9" s="1"/>
  <c r="BJ63" i="9" s="1"/>
  <c r="N64" i="9"/>
  <c r="B64" i="9"/>
  <c r="R64" i="9" s="1"/>
  <c r="H63" i="9"/>
  <c r="X63" i="9" s="1"/>
  <c r="G64" i="9"/>
  <c r="W64" i="9" s="1"/>
  <c r="J34" i="12" l="1"/>
  <c r="J18" i="12"/>
  <c r="J17" i="13"/>
  <c r="J33" i="13"/>
  <c r="BD63" i="9"/>
  <c r="AV62" i="9"/>
  <c r="BF62" i="9"/>
  <c r="BL62" i="9" s="1"/>
  <c r="AN63" i="9"/>
  <c r="AP63" i="9"/>
  <c r="AF63" i="9"/>
  <c r="AK64" i="9"/>
  <c r="BA64" i="9" s="1"/>
  <c r="AH64" i="9"/>
  <c r="AX64" i="9" s="1"/>
  <c r="AM64" i="9"/>
  <c r="BC64" i="9" s="1"/>
  <c r="AJ64" i="9"/>
  <c r="AZ64" i="9" s="1"/>
  <c r="AL64" i="9"/>
  <c r="BB64" i="9" s="1"/>
  <c r="C65" i="9"/>
  <c r="S65" i="9" s="1"/>
  <c r="AI64" i="9"/>
  <c r="AY64" i="9" s="1"/>
  <c r="H64" i="9"/>
  <c r="X64" i="9" s="1"/>
  <c r="B65" i="9"/>
  <c r="R65" i="9" s="1"/>
  <c r="E65" i="9"/>
  <c r="U65" i="9" s="1"/>
  <c r="F65" i="9"/>
  <c r="V65" i="9" s="1"/>
  <c r="M65" i="9"/>
  <c r="AC64" i="9"/>
  <c r="AS64" i="9" s="1"/>
  <c r="BI64" i="9" s="1"/>
  <c r="AE64" i="9"/>
  <c r="AU64" i="9" s="1"/>
  <c r="BK64" i="9" s="1"/>
  <c r="O65" i="9"/>
  <c r="AD64" i="9"/>
  <c r="AT64" i="9" s="1"/>
  <c r="BJ64" i="9" s="1"/>
  <c r="N65" i="9"/>
  <c r="L65" i="9"/>
  <c r="AB64" i="9"/>
  <c r="AR64" i="9" s="1"/>
  <c r="BH64" i="9" s="1"/>
  <c r="G65" i="9"/>
  <c r="W65" i="9" s="1"/>
  <c r="D65" i="9"/>
  <c r="T65" i="9" s="1"/>
  <c r="Z64" i="9"/>
  <c r="P64" i="9"/>
  <c r="J65" i="9"/>
  <c r="AA64" i="9"/>
  <c r="AQ64" i="9" s="1"/>
  <c r="BG64" i="9" s="1"/>
  <c r="K65" i="9"/>
  <c r="J35" i="12" l="1"/>
  <c r="J27" i="12"/>
  <c r="J28" i="12"/>
  <c r="J25" i="12"/>
  <c r="J26" i="12"/>
  <c r="J24" i="12"/>
  <c r="J29" i="12"/>
  <c r="J23" i="12"/>
  <c r="J18" i="13"/>
  <c r="J34" i="13"/>
  <c r="AV63" i="9"/>
  <c r="BF63" i="9"/>
  <c r="BL63" i="9" s="1"/>
  <c r="BD64" i="9"/>
  <c r="J40" i="8" a="1"/>
  <c r="AN64" i="9"/>
  <c r="AP64" i="9"/>
  <c r="AF64" i="9"/>
  <c r="J11" i="8" a="1"/>
  <c r="AJ65" i="9"/>
  <c r="AZ65" i="9" s="1"/>
  <c r="AH65" i="9"/>
  <c r="AM65" i="9"/>
  <c r="BC65" i="9" s="1"/>
  <c r="AL65" i="9"/>
  <c r="BB65" i="9" s="1"/>
  <c r="AK65" i="9"/>
  <c r="BA65" i="9" s="1"/>
  <c r="C66" i="9"/>
  <c r="S66" i="9" s="1"/>
  <c r="AI65" i="9"/>
  <c r="AY65" i="9" s="1"/>
  <c r="E66" i="9"/>
  <c r="U66" i="9" s="1"/>
  <c r="AD65" i="9"/>
  <c r="AT65" i="9" s="1"/>
  <c r="BJ65" i="9" s="1"/>
  <c r="N66" i="9"/>
  <c r="M66" i="9"/>
  <c r="AC65" i="9"/>
  <c r="AS65" i="9" s="1"/>
  <c r="BI65" i="9" s="1"/>
  <c r="J66" i="9"/>
  <c r="P65" i="9"/>
  <c r="Z65" i="9"/>
  <c r="D66" i="9"/>
  <c r="T66" i="9" s="1"/>
  <c r="B66" i="9"/>
  <c r="R66" i="9" s="1"/>
  <c r="H65" i="9"/>
  <c r="X65" i="9" s="1"/>
  <c r="F66" i="9"/>
  <c r="V66" i="9" s="1"/>
  <c r="AB65" i="9"/>
  <c r="AR65" i="9" s="1"/>
  <c r="BH65" i="9" s="1"/>
  <c r="L66" i="9"/>
  <c r="AE65" i="9"/>
  <c r="AU65" i="9" s="1"/>
  <c r="BK65" i="9" s="1"/>
  <c r="O66" i="9"/>
  <c r="AA65" i="9"/>
  <c r="AQ65" i="9" s="1"/>
  <c r="BG65" i="9" s="1"/>
  <c r="K66" i="9"/>
  <c r="G66" i="9"/>
  <c r="W66" i="9" s="1"/>
  <c r="J35" i="13" l="1"/>
  <c r="J23" i="13"/>
  <c r="J27" i="13"/>
  <c r="J25" i="13"/>
  <c r="J28" i="13"/>
  <c r="J24" i="13"/>
  <c r="J29" i="13"/>
  <c r="J26" i="13"/>
  <c r="BF64" i="9"/>
  <c r="BL64" i="9" s="1"/>
  <c r="AV64" i="9"/>
  <c r="AN65" i="9"/>
  <c r="AX65" i="9"/>
  <c r="BD65" i="9" s="1"/>
  <c r="J41" i="8"/>
  <c r="J43" i="8"/>
  <c r="J40" i="8"/>
  <c r="J42" i="8"/>
  <c r="J44" i="8"/>
  <c r="J46" i="8"/>
  <c r="J47" i="8"/>
  <c r="J45" i="8"/>
  <c r="AP65" i="9"/>
  <c r="AF65" i="9"/>
  <c r="J12" i="8"/>
  <c r="J22" i="8" s="1"/>
  <c r="K6" i="12" s="1"/>
  <c r="J15" i="8"/>
  <c r="J25" i="8" s="1"/>
  <c r="K9" i="12" s="1"/>
  <c r="J18" i="8"/>
  <c r="J28" i="8" s="1"/>
  <c r="K12" i="12" s="1"/>
  <c r="J11" i="8"/>
  <c r="J21" i="8" s="1"/>
  <c r="K5" i="12" s="1"/>
  <c r="J14" i="8"/>
  <c r="J24" i="8" s="1"/>
  <c r="K8" i="12" s="1"/>
  <c r="J13" i="8"/>
  <c r="J23" i="8" s="1"/>
  <c r="K7" i="12" s="1"/>
  <c r="J16" i="8"/>
  <c r="J26" i="8" s="1"/>
  <c r="K10" i="12" s="1"/>
  <c r="J17" i="8"/>
  <c r="J27" i="8" s="1"/>
  <c r="K11" i="12" s="1"/>
  <c r="AH66" i="9"/>
  <c r="AX66" i="9" s="1"/>
  <c r="AK66" i="9"/>
  <c r="BA66" i="9" s="1"/>
  <c r="AL66" i="9"/>
  <c r="BB66" i="9" s="1"/>
  <c r="AM66" i="9"/>
  <c r="BC66" i="9" s="1"/>
  <c r="AJ66" i="9"/>
  <c r="AZ66" i="9" s="1"/>
  <c r="C67" i="9"/>
  <c r="S67" i="9" s="1"/>
  <c r="AI66" i="9"/>
  <c r="AY66" i="9" s="1"/>
  <c r="G67" i="9"/>
  <c r="W67" i="9" s="1"/>
  <c r="Z66" i="9"/>
  <c r="J67" i="9"/>
  <c r="P66" i="9"/>
  <c r="AC66" i="9"/>
  <c r="AS66" i="9" s="1"/>
  <c r="BI66" i="9" s="1"/>
  <c r="M67" i="9"/>
  <c r="F67" i="9"/>
  <c r="V67" i="9" s="1"/>
  <c r="N67" i="9"/>
  <c r="AD66" i="9"/>
  <c r="AT66" i="9" s="1"/>
  <c r="BJ66" i="9" s="1"/>
  <c r="D67" i="9"/>
  <c r="T67" i="9" s="1"/>
  <c r="K67" i="9"/>
  <c r="AA66" i="9"/>
  <c r="AQ66" i="9" s="1"/>
  <c r="BG66" i="9" s="1"/>
  <c r="O67" i="9"/>
  <c r="AE66" i="9"/>
  <c r="AU66" i="9" s="1"/>
  <c r="BK66" i="9" s="1"/>
  <c r="B67" i="9"/>
  <c r="R67" i="9" s="1"/>
  <c r="H66" i="9"/>
  <c r="X66" i="9" s="1"/>
  <c r="AB66" i="9"/>
  <c r="AR66" i="9" s="1"/>
  <c r="BH66" i="9" s="1"/>
  <c r="L67" i="9"/>
  <c r="E67" i="9"/>
  <c r="U67" i="9" s="1"/>
  <c r="J51" i="8" l="1"/>
  <c r="K6" i="13"/>
  <c r="J57" i="8"/>
  <c r="K12" i="13"/>
  <c r="J53" i="8"/>
  <c r="K8" i="13"/>
  <c r="J55" i="8"/>
  <c r="K10" i="13"/>
  <c r="K22" i="12"/>
  <c r="K15" i="12"/>
  <c r="K32" i="12" s="1"/>
  <c r="J56" i="8"/>
  <c r="K11" i="13"/>
  <c r="J52" i="8"/>
  <c r="K7" i="13"/>
  <c r="J50" i="8"/>
  <c r="K5" i="13"/>
  <c r="K16" i="12"/>
  <c r="K36" i="12"/>
  <c r="J54" i="8"/>
  <c r="K9" i="13"/>
  <c r="BF65" i="9"/>
  <c r="BL65" i="9" s="1"/>
  <c r="AV65" i="9"/>
  <c r="BD66" i="9"/>
  <c r="AP66" i="9"/>
  <c r="AF66" i="9"/>
  <c r="AN66" i="9"/>
  <c r="AK67" i="9"/>
  <c r="BA67" i="9" s="1"/>
  <c r="AJ67" i="9"/>
  <c r="AZ67" i="9" s="1"/>
  <c r="AH67" i="9"/>
  <c r="AX67" i="9" s="1"/>
  <c r="AM67" i="9"/>
  <c r="BC67" i="9" s="1"/>
  <c r="AL67" i="9"/>
  <c r="BB67" i="9" s="1"/>
  <c r="C68" i="9"/>
  <c r="S68" i="9" s="1"/>
  <c r="AI67" i="9"/>
  <c r="AY67" i="9" s="1"/>
  <c r="AC67" i="9"/>
  <c r="AS67" i="9" s="1"/>
  <c r="BI67" i="9" s="1"/>
  <c r="M68" i="9"/>
  <c r="AC68" i="9" s="1"/>
  <c r="AS68" i="9" s="1"/>
  <c r="BI68" i="9" s="1"/>
  <c r="D68" i="9"/>
  <c r="T68" i="9" s="1"/>
  <c r="H67" i="9"/>
  <c r="X67" i="9" s="1"/>
  <c r="B68" i="9"/>
  <c r="R68" i="9" s="1"/>
  <c r="AA67" i="9"/>
  <c r="AQ67" i="9" s="1"/>
  <c r="BG67" i="9" s="1"/>
  <c r="K68" i="9"/>
  <c r="AD67" i="9"/>
  <c r="AT67" i="9" s="1"/>
  <c r="BJ67" i="9" s="1"/>
  <c r="N68" i="9"/>
  <c r="AD68" i="9" s="1"/>
  <c r="AT68" i="9" s="1"/>
  <c r="BJ68" i="9" s="1"/>
  <c r="L68" i="9"/>
  <c r="AB68" i="9" s="1"/>
  <c r="AR68" i="9" s="1"/>
  <c r="BH68" i="9" s="1"/>
  <c r="AB67" i="9"/>
  <c r="AR67" i="9" s="1"/>
  <c r="BH67" i="9" s="1"/>
  <c r="Z67" i="9"/>
  <c r="J68" i="9"/>
  <c r="P67" i="9"/>
  <c r="E68" i="9"/>
  <c r="U68" i="9" s="1"/>
  <c r="O68" i="9"/>
  <c r="AE68" i="9" s="1"/>
  <c r="AU68" i="9" s="1"/>
  <c r="BK68" i="9" s="1"/>
  <c r="AE67" i="9"/>
  <c r="AU67" i="9" s="1"/>
  <c r="BK67" i="9" s="1"/>
  <c r="F68" i="9"/>
  <c r="V68" i="9" s="1"/>
  <c r="G68" i="9"/>
  <c r="W68" i="9" s="1"/>
  <c r="K33" i="12" l="1"/>
  <c r="K17" i="12"/>
  <c r="K36" i="13"/>
  <c r="K16" i="13"/>
  <c r="K22" i="13"/>
  <c r="K15" i="13"/>
  <c r="K32" i="13" s="1"/>
  <c r="AV66" i="9"/>
  <c r="BF66" i="9"/>
  <c r="BL66" i="9" s="1"/>
  <c r="BD67" i="9"/>
  <c r="AN67" i="9"/>
  <c r="AP67" i="9"/>
  <c r="AF67" i="9"/>
  <c r="AI68" i="9"/>
  <c r="AY68" i="9" s="1"/>
  <c r="AH68" i="9"/>
  <c r="AX68" i="9" s="1"/>
  <c r="AK68" i="9"/>
  <c r="BA68" i="9" s="1"/>
  <c r="AM68" i="9"/>
  <c r="AL68" i="9"/>
  <c r="BB68" i="9" s="1"/>
  <c r="AJ68" i="9"/>
  <c r="AZ68" i="9" s="1"/>
  <c r="Z68" i="9"/>
  <c r="P68" i="9"/>
  <c r="H68" i="9"/>
  <c r="X68" i="9" s="1"/>
  <c r="AA68" i="9"/>
  <c r="AQ68" i="9" s="1"/>
  <c r="BG68" i="9" s="1"/>
  <c r="K33" i="13" l="1"/>
  <c r="K17" i="13"/>
  <c r="K34" i="12"/>
  <c r="K18" i="12"/>
  <c r="AV67" i="9"/>
  <c r="BF67" i="9"/>
  <c r="BL67" i="9" s="1"/>
  <c r="A2" i="8" a="1"/>
  <c r="P2" i="8" s="1"/>
  <c r="BC68" i="9"/>
  <c r="BD68" i="9" s="1"/>
  <c r="AN68" i="9"/>
  <c r="AP68" i="9"/>
  <c r="AF68" i="9"/>
  <c r="K35" i="12" l="1"/>
  <c r="K23" i="12"/>
  <c r="K29" i="12"/>
  <c r="K27" i="12"/>
  <c r="K25" i="12"/>
  <c r="K28" i="12"/>
  <c r="K24" i="12"/>
  <c r="K26" i="12"/>
  <c r="K34" i="13"/>
  <c r="K18" i="13"/>
  <c r="Z8" i="8"/>
  <c r="A4" i="8"/>
  <c r="R5" i="8"/>
  <c r="AG3" i="8"/>
  <c r="M6" i="8"/>
  <c r="N7" i="8"/>
  <c r="O6" i="8"/>
  <c r="P6" i="8"/>
  <c r="U4" i="8"/>
  <c r="AB6" i="8"/>
  <c r="Z6" i="8"/>
  <c r="AJ7" i="8"/>
  <c r="E3" i="8"/>
  <c r="AN5" i="8"/>
  <c r="W6" i="8"/>
  <c r="V6" i="8"/>
  <c r="J6" i="8"/>
  <c r="H5" i="8"/>
  <c r="AH7" i="8"/>
  <c r="D7" i="8"/>
  <c r="K7" i="8"/>
  <c r="AN2" i="8"/>
  <c r="V2" i="8"/>
  <c r="O2" i="8"/>
  <c r="AT4" i="8"/>
  <c r="T6" i="8"/>
  <c r="AD6" i="8"/>
  <c r="A7" i="8"/>
  <c r="X7" i="8"/>
  <c r="AI7" i="8"/>
  <c r="L5" i="8"/>
  <c r="G2" i="8"/>
  <c r="M2" i="8"/>
  <c r="AG5" i="8"/>
  <c r="AR2" i="8"/>
  <c r="E7" i="8"/>
  <c r="Y2" i="8"/>
  <c r="S8" i="8"/>
  <c r="AI2" i="8"/>
  <c r="AO7" i="8"/>
  <c r="AC7" i="8"/>
  <c r="AM2" i="8"/>
  <c r="Y6" i="8"/>
  <c r="AI5" i="8"/>
  <c r="K2" i="8"/>
  <c r="AM5" i="8"/>
  <c r="AR8" i="8"/>
  <c r="J7" i="8"/>
  <c r="AH6" i="8"/>
  <c r="H7" i="8"/>
  <c r="I5" i="8"/>
  <c r="C2" i="8"/>
  <c r="AT7" i="8"/>
  <c r="AD8" i="8"/>
  <c r="N6" i="8"/>
  <c r="X4" i="8"/>
  <c r="R4" i="8"/>
  <c r="AU7" i="8"/>
  <c r="AP5" i="8"/>
  <c r="L4" i="8"/>
  <c r="Q2" i="8"/>
  <c r="A8" i="8"/>
  <c r="B3" i="8"/>
  <c r="A3" i="8"/>
  <c r="AQ7" i="8"/>
  <c r="B2" i="8"/>
  <c r="AT5" i="8"/>
  <c r="R8" i="8"/>
  <c r="V7" i="8"/>
  <c r="K4" i="8"/>
  <c r="J4" i="8"/>
  <c r="AH8" i="8"/>
  <c r="AH5" i="8"/>
  <c r="AI3" i="8"/>
  <c r="Z2" i="8"/>
  <c r="N5" i="8"/>
  <c r="AK3" i="8"/>
  <c r="AC6" i="8"/>
  <c r="T5" i="8"/>
  <c r="AA2" i="8"/>
  <c r="G8" i="8"/>
  <c r="BF68" i="9"/>
  <c r="BL68" i="9" s="1"/>
  <c r="AV68" i="9"/>
  <c r="B8" i="8"/>
  <c r="L7" i="8"/>
  <c r="F2" i="8"/>
  <c r="AH3" i="8"/>
  <c r="AS5" i="8"/>
  <c r="AT2" i="8"/>
  <c r="AD7" i="8"/>
  <c r="I3" i="8"/>
  <c r="Q5" i="8"/>
  <c r="AG2" i="8"/>
  <c r="I6" i="8"/>
  <c r="AB5" i="8"/>
  <c r="C3" i="8"/>
  <c r="E4" i="8"/>
  <c r="R2" i="8"/>
  <c r="D4" i="8"/>
  <c r="AH2" i="8"/>
  <c r="AJ4" i="8"/>
  <c r="AI4" i="8"/>
  <c r="AK7" i="8"/>
  <c r="P7" i="8"/>
  <c r="AD3" i="8"/>
  <c r="AS7" i="8"/>
  <c r="AC5" i="8"/>
  <c r="AT8" i="8"/>
  <c r="V4" i="8"/>
  <c r="R7" i="8"/>
  <c r="AL4" i="8"/>
  <c r="V5" i="8"/>
  <c r="AL5" i="8"/>
  <c r="AN6" i="8"/>
  <c r="X3" i="8"/>
  <c r="H3" i="8"/>
  <c r="AD4" i="8"/>
  <c r="W8" i="8"/>
  <c r="AK5" i="8"/>
  <c r="E8" i="8"/>
  <c r="L6" i="8"/>
  <c r="AL3" i="8"/>
  <c r="V3" i="8"/>
  <c r="AG4" i="8"/>
  <c r="T3" i="8"/>
  <c r="AE3" i="8"/>
  <c r="AL6" i="8"/>
  <c r="AA5" i="8"/>
  <c r="M7" i="8"/>
  <c r="AR5" i="8"/>
  <c r="AN3" i="8"/>
  <c r="AJ5" i="8"/>
  <c r="J5" i="8"/>
  <c r="AO5" i="8"/>
  <c r="C8" i="8"/>
  <c r="AK6" i="8"/>
  <c r="F8" i="8"/>
  <c r="AC4" i="8"/>
  <c r="AJ2" i="8"/>
  <c r="AR3" i="8"/>
  <c r="AR7" i="8"/>
  <c r="K5" i="8"/>
  <c r="X6" i="8"/>
  <c r="AM4" i="8"/>
  <c r="AQ6" i="8"/>
  <c r="AQ3" i="8"/>
  <c r="AL7" i="8"/>
  <c r="U2" i="8"/>
  <c r="N3" i="8"/>
  <c r="O7" i="8"/>
  <c r="W4" i="8"/>
  <c r="AC2" i="8"/>
  <c r="M8" i="8"/>
  <c r="M3" i="8"/>
  <c r="A5" i="8"/>
  <c r="AP4" i="8"/>
  <c r="E2" i="8"/>
  <c r="AJ3" i="8"/>
  <c r="T8" i="8"/>
  <c r="AU2" i="8"/>
  <c r="P5" i="8"/>
  <c r="J8" i="8"/>
  <c r="C6" i="8"/>
  <c r="I7" i="8"/>
  <c r="AP2" i="8"/>
  <c r="G6" i="8"/>
  <c r="AU6" i="8"/>
  <c r="AS2" i="8"/>
  <c r="AB4" i="8"/>
  <c r="AS4" i="8"/>
  <c r="AE5" i="8"/>
  <c r="AF6" i="8"/>
  <c r="H8" i="8"/>
  <c r="Z7" i="8"/>
  <c r="AL2" i="8"/>
  <c r="L2" i="8"/>
  <c r="AF4" i="8"/>
  <c r="AF2" i="8"/>
  <c r="AP3" i="8"/>
  <c r="Z3" i="8"/>
  <c r="AM8" i="8"/>
  <c r="F7" i="8"/>
  <c r="K8" i="8"/>
  <c r="S3" i="8"/>
  <c r="AF3" i="8"/>
  <c r="U7" i="8"/>
  <c r="A6" i="8"/>
  <c r="AF8" i="8"/>
  <c r="AN8" i="8"/>
  <c r="K3" i="8"/>
  <c r="P4" i="8"/>
  <c r="N4" i="8"/>
  <c r="P8" i="8"/>
  <c r="C7" i="8"/>
  <c r="AN4" i="8"/>
  <c r="AP8" i="8"/>
  <c r="AG8" i="8"/>
  <c r="N2" i="8"/>
  <c r="S2" i="8"/>
  <c r="AU8" i="8"/>
  <c r="W2" i="8"/>
  <c r="I8" i="8"/>
  <c r="D5" i="8"/>
  <c r="AR4" i="8"/>
  <c r="AE6" i="8"/>
  <c r="AE7" i="8"/>
  <c r="Q8" i="8"/>
  <c r="I2" i="8"/>
  <c r="J3" i="8"/>
  <c r="O3" i="8"/>
  <c r="AC3" i="8"/>
  <c r="AB8" i="8"/>
  <c r="AA4" i="8"/>
  <c r="AM3" i="8"/>
  <c r="S4" i="8"/>
  <c r="G4" i="8"/>
  <c r="W3" i="8"/>
  <c r="AE4" i="8"/>
  <c r="F6" i="8"/>
  <c r="O5" i="8"/>
  <c r="AQ4" i="8"/>
  <c r="AS8" i="8"/>
  <c r="D6" i="8"/>
  <c r="X5" i="8"/>
  <c r="Y5" i="8"/>
  <c r="X8" i="8"/>
  <c r="AA7" i="8"/>
  <c r="Q7" i="8"/>
  <c r="N8" i="8"/>
  <c r="O8" i="8"/>
  <c r="T2" i="8"/>
  <c r="AE2" i="8"/>
  <c r="D3" i="8"/>
  <c r="F4" i="8"/>
  <c r="AL8" i="8"/>
  <c r="AK2" i="8"/>
  <c r="AM6" i="8"/>
  <c r="T4" i="8"/>
  <c r="AB2" i="8"/>
  <c r="AA6" i="8"/>
  <c r="AR6" i="8"/>
  <c r="H6" i="8"/>
  <c r="AF5" i="8"/>
  <c r="AO2" i="8"/>
  <c r="AO8" i="8"/>
  <c r="S5" i="8"/>
  <c r="L3" i="8"/>
  <c r="AI8" i="8"/>
  <c r="J2" i="8"/>
  <c r="R6" i="8"/>
  <c r="AT3" i="8"/>
  <c r="U6" i="8"/>
  <c r="AO6" i="8"/>
  <c r="M4" i="8"/>
  <c r="AN7" i="8"/>
  <c r="AP6" i="8"/>
  <c r="Y7" i="8"/>
  <c r="A2" i="8"/>
  <c r="AC8" i="8"/>
  <c r="E6" i="8"/>
  <c r="C5" i="8"/>
  <c r="AU4" i="8"/>
  <c r="Y8" i="8"/>
  <c r="B4" i="8"/>
  <c r="G3" i="8"/>
  <c r="H2" i="8"/>
  <c r="S6" i="8"/>
  <c r="AD5" i="8"/>
  <c r="AU3" i="8"/>
  <c r="W7" i="8"/>
  <c r="Q4" i="8"/>
  <c r="M5" i="8"/>
  <c r="K6" i="8"/>
  <c r="Q3" i="8"/>
  <c r="AI6" i="8"/>
  <c r="T7" i="8"/>
  <c r="G7" i="8"/>
  <c r="AJ6" i="8"/>
  <c r="O4" i="8"/>
  <c r="AQ5" i="8"/>
  <c r="U8" i="8"/>
  <c r="F3" i="8"/>
  <c r="AH4" i="8"/>
  <c r="AB7" i="8"/>
  <c r="R3" i="8"/>
  <c r="Q6" i="8"/>
  <c r="AG6" i="8"/>
  <c r="G5" i="8"/>
  <c r="U3" i="8"/>
  <c r="W5" i="8"/>
  <c r="AG7" i="8"/>
  <c r="B6" i="8"/>
  <c r="Z4" i="8"/>
  <c r="AK8" i="8"/>
  <c r="L8" i="8"/>
  <c r="AJ8" i="8"/>
  <c r="AE8" i="8"/>
  <c r="X2" i="8"/>
  <c r="AK4" i="8"/>
  <c r="AO3" i="8"/>
  <c r="H4" i="8"/>
  <c r="V8" i="8"/>
  <c r="P3" i="8"/>
  <c r="Y3" i="8"/>
  <c r="AM7" i="8"/>
  <c r="Z5" i="8"/>
  <c r="AQ2" i="8"/>
  <c r="I4" i="8"/>
  <c r="AP7" i="8"/>
  <c r="AS6" i="8"/>
  <c r="D2" i="8"/>
  <c r="AS3" i="8"/>
  <c r="Y4" i="8"/>
  <c r="S7" i="8"/>
  <c r="AA3" i="8"/>
  <c r="AF7" i="8"/>
  <c r="F5" i="8"/>
  <c r="AO4" i="8"/>
  <c r="E5" i="8"/>
  <c r="AB3" i="8"/>
  <c r="B7" i="8"/>
  <c r="C4" i="8"/>
  <c r="B5" i="8"/>
  <c r="AQ8" i="8"/>
  <c r="D8" i="8"/>
  <c r="AU5" i="8"/>
  <c r="U5" i="8"/>
  <c r="AD2" i="8"/>
  <c r="AT6" i="8"/>
  <c r="AA8" i="8"/>
  <c r="K40" i="8" a="1"/>
  <c r="A31" i="8" a="1"/>
  <c r="K11" i="8" a="1"/>
  <c r="AA10" i="8" l="1"/>
  <c r="K35" i="13"/>
  <c r="K23" i="13"/>
  <c r="K28" i="13"/>
  <c r="K26" i="13"/>
  <c r="K25" i="13"/>
  <c r="K24" i="13"/>
  <c r="K27" i="13"/>
  <c r="K29" i="13"/>
  <c r="AB10" i="8"/>
  <c r="K40" i="8"/>
  <c r="K47" i="8"/>
  <c r="L12" i="13" s="1"/>
  <c r="K46" i="8"/>
  <c r="L11" i="13" s="1"/>
  <c r="K45" i="8"/>
  <c r="L10" i="13" s="1"/>
  <c r="K44" i="8"/>
  <c r="L9" i="13" s="1"/>
  <c r="K42" i="8"/>
  <c r="L7" i="13" s="1"/>
  <c r="K41" i="8"/>
  <c r="L6" i="13" s="1"/>
  <c r="K43" i="8"/>
  <c r="L8" i="13" s="1"/>
  <c r="A31" i="8"/>
  <c r="O33" i="8"/>
  <c r="AN34" i="8"/>
  <c r="AA37" i="8"/>
  <c r="X31" i="8"/>
  <c r="AO32" i="8"/>
  <c r="AQ34" i="8"/>
  <c r="AS36" i="8"/>
  <c r="M31" i="8"/>
  <c r="A32" i="8"/>
  <c r="AG32" i="8"/>
  <c r="R33" i="8"/>
  <c r="C34" i="8"/>
  <c r="AI34" i="8"/>
  <c r="T35" i="8"/>
  <c r="E36" i="8"/>
  <c r="AK36" i="8"/>
  <c r="V37" i="8"/>
  <c r="U31" i="8"/>
  <c r="AL32" i="8"/>
  <c r="H34" i="8"/>
  <c r="J36" i="8"/>
  <c r="I32" i="8"/>
  <c r="K34" i="8"/>
  <c r="AB35" i="8"/>
  <c r="AD37" i="8"/>
  <c r="AC31" i="8"/>
  <c r="N32" i="8"/>
  <c r="AT32" i="8"/>
  <c r="AE33" i="8"/>
  <c r="P34" i="8"/>
  <c r="A35" i="8"/>
  <c r="AG35" i="8"/>
  <c r="R36" i="8"/>
  <c r="C37" i="8"/>
  <c r="AI37" i="8"/>
  <c r="AF31" i="8"/>
  <c r="Q32" i="8"/>
  <c r="B33" i="8"/>
  <c r="AH33" i="8"/>
  <c r="S34" i="8"/>
  <c r="D35" i="8"/>
  <c r="AJ35" i="8"/>
  <c r="U36" i="8"/>
  <c r="F37" i="8"/>
  <c r="AL37" i="8"/>
  <c r="AK31" i="8"/>
  <c r="V32" i="8"/>
  <c r="G33" i="8"/>
  <c r="AM33" i="8"/>
  <c r="X34" i="8"/>
  <c r="I35" i="8"/>
  <c r="AO35" i="8"/>
  <c r="Z36" i="8"/>
  <c r="K37" i="8"/>
  <c r="AQ37" i="8"/>
  <c r="AN31" i="8"/>
  <c r="Y32" i="8"/>
  <c r="J33" i="8"/>
  <c r="AP33" i="8"/>
  <c r="AA34" i="8"/>
  <c r="L35" i="8"/>
  <c r="AR35" i="8"/>
  <c r="AC36" i="8"/>
  <c r="N37" i="8"/>
  <c r="AT37" i="8"/>
  <c r="E31" i="8"/>
  <c r="AS31" i="8"/>
  <c r="AD32" i="8"/>
  <c r="AU33" i="8"/>
  <c r="AF34" i="8"/>
  <c r="Q35" i="8"/>
  <c r="B36" i="8"/>
  <c r="AH36" i="8"/>
  <c r="S37" i="8"/>
  <c r="F32" i="8"/>
  <c r="W33" i="8"/>
  <c r="Y35" i="8"/>
  <c r="AP36" i="8"/>
  <c r="Z33" i="8"/>
  <c r="M36" i="8"/>
  <c r="U37" i="8"/>
  <c r="D36" i="8"/>
  <c r="AH34" i="8"/>
  <c r="Q33" i="8"/>
  <c r="AU31" i="8"/>
  <c r="AB37" i="8"/>
  <c r="K36" i="8"/>
  <c r="AO34" i="8"/>
  <c r="X33" i="8"/>
  <c r="G32" i="8"/>
  <c r="R37" i="8"/>
  <c r="AE34" i="8"/>
  <c r="AR31" i="8"/>
  <c r="AU35" i="8"/>
  <c r="M33" i="8"/>
  <c r="AF37" i="8"/>
  <c r="O36" i="8"/>
  <c r="AS34" i="8"/>
  <c r="AB33" i="8"/>
  <c r="K32" i="8"/>
  <c r="AP37" i="8"/>
  <c r="H35" i="8"/>
  <c r="U32" i="8"/>
  <c r="AN36" i="8"/>
  <c r="F34" i="8"/>
  <c r="S31" i="8"/>
  <c r="AT36" i="8"/>
  <c r="AC35" i="8"/>
  <c r="L34" i="8"/>
  <c r="AP32" i="8"/>
  <c r="Y31" i="8"/>
  <c r="M37" i="8"/>
  <c r="AQ35" i="8"/>
  <c r="Z34" i="8"/>
  <c r="I33" i="8"/>
  <c r="AM31" i="8"/>
  <c r="T37" i="8"/>
  <c r="C36" i="8"/>
  <c r="AG34" i="8"/>
  <c r="P33" i="8"/>
  <c r="AT31" i="8"/>
  <c r="B37" i="8"/>
  <c r="O34" i="8"/>
  <c r="AB31" i="8"/>
  <c r="AE35" i="8"/>
  <c r="AR32" i="8"/>
  <c r="X37" i="8"/>
  <c r="G36" i="8"/>
  <c r="AK34" i="8"/>
  <c r="T33" i="8"/>
  <c r="C32" i="8"/>
  <c r="Z37" i="8"/>
  <c r="AM34" i="8"/>
  <c r="E32" i="8"/>
  <c r="X36" i="8"/>
  <c r="AK33" i="8"/>
  <c r="C31" i="8"/>
  <c r="AL36" i="8"/>
  <c r="U35" i="8"/>
  <c r="D34" i="8"/>
  <c r="AH32" i="8"/>
  <c r="Q31" i="8"/>
  <c r="E37" i="8"/>
  <c r="R34" i="8"/>
  <c r="A33" i="8"/>
  <c r="AE31" i="8"/>
  <c r="L37" i="8"/>
  <c r="AP35" i="8"/>
  <c r="Y34" i="8"/>
  <c r="H33" i="8"/>
  <c r="AL31" i="8"/>
  <c r="AG36" i="8"/>
  <c r="L31" i="8"/>
  <c r="O35" i="8"/>
  <c r="AB32" i="8"/>
  <c r="P37" i="8"/>
  <c r="AT35" i="8"/>
  <c r="AC34" i="8"/>
  <c r="L33" i="8"/>
  <c r="AP31" i="8"/>
  <c r="J37" i="8"/>
  <c r="W34" i="8"/>
  <c r="H36" i="8"/>
  <c r="U33" i="8"/>
  <c r="AU37" i="8"/>
  <c r="AD36" i="8"/>
  <c r="M35" i="8"/>
  <c r="AQ33" i="8"/>
  <c r="Z32" i="8"/>
  <c r="I31" i="8"/>
  <c r="AI35" i="8"/>
  <c r="AT33" i="8"/>
  <c r="AJ31" i="8"/>
  <c r="AS37" i="8"/>
  <c r="AB36" i="8"/>
  <c r="K35" i="8"/>
  <c r="AO33" i="8"/>
  <c r="X32" i="8"/>
  <c r="G31" i="8"/>
  <c r="AI36" i="8"/>
  <c r="R35" i="8"/>
  <c r="A34" i="8"/>
  <c r="AE32" i="8"/>
  <c r="N31" i="8"/>
  <c r="AF35" i="8"/>
  <c r="AS32" i="8"/>
  <c r="A37" i="8"/>
  <c r="N34" i="8"/>
  <c r="AA31" i="8"/>
  <c r="AM36" i="8"/>
  <c r="V35" i="8"/>
  <c r="E34" i="8"/>
  <c r="AI32" i="8"/>
  <c r="R31" i="8"/>
  <c r="I36" i="8"/>
  <c r="V33" i="8"/>
  <c r="AO37" i="8"/>
  <c r="G35" i="8"/>
  <c r="T32" i="8"/>
  <c r="W37" i="8"/>
  <c r="F36" i="8"/>
  <c r="AJ34" i="8"/>
  <c r="S33" i="8"/>
  <c r="B32" i="8"/>
  <c r="AK37" i="8"/>
  <c r="T36" i="8"/>
  <c r="C35" i="8"/>
  <c r="AG33" i="8"/>
  <c r="P32" i="8"/>
  <c r="AR37" i="8"/>
  <c r="AA36" i="8"/>
  <c r="J35" i="8"/>
  <c r="AN33" i="8"/>
  <c r="W32" i="8"/>
  <c r="F31" i="8"/>
  <c r="P35" i="8"/>
  <c r="L36" i="8"/>
  <c r="AF32" i="8"/>
  <c r="AH35" i="8"/>
  <c r="O32" i="8"/>
  <c r="N33" i="8"/>
  <c r="AD34" i="8"/>
  <c r="AU36" i="8"/>
  <c r="M34" i="8"/>
  <c r="Z31" i="8"/>
  <c r="AL33" i="8"/>
  <c r="W35" i="8"/>
  <c r="AE37" i="8"/>
  <c r="AR34" i="8"/>
  <c r="J32" i="8"/>
  <c r="AA35" i="8"/>
  <c r="H32" i="8"/>
  <c r="Z35" i="8"/>
  <c r="AD31" i="8"/>
  <c r="AC32" i="8"/>
  <c r="AS33" i="8"/>
  <c r="AE36" i="8"/>
  <c r="AR33" i="8"/>
  <c r="J31" i="8"/>
  <c r="F33" i="8"/>
  <c r="AL34" i="8"/>
  <c r="O37" i="8"/>
  <c r="AB34" i="8"/>
  <c r="AO31" i="8"/>
  <c r="S35" i="8"/>
  <c r="W31" i="8"/>
  <c r="B35" i="8"/>
  <c r="V31" i="8"/>
  <c r="M32" i="8"/>
  <c r="AC33" i="8"/>
  <c r="W36" i="8"/>
  <c r="AJ33" i="8"/>
  <c r="B31" i="8"/>
  <c r="AK32" i="8"/>
  <c r="V34" i="8"/>
  <c r="G37" i="8"/>
  <c r="T34" i="8"/>
  <c r="AG31" i="8"/>
  <c r="P31" i="8"/>
  <c r="AP34" i="8"/>
  <c r="O31" i="8"/>
  <c r="Q34" i="8"/>
  <c r="AH37" i="8"/>
  <c r="AG37" i="8"/>
  <c r="L32" i="8"/>
  <c r="AL35" i="8"/>
  <c r="D33" i="8"/>
  <c r="AO36" i="8"/>
  <c r="T31" i="8"/>
  <c r="E33" i="8"/>
  <c r="V36" i="8"/>
  <c r="AI33" i="8"/>
  <c r="H31" i="8"/>
  <c r="J34" i="8"/>
  <c r="AJ37" i="8"/>
  <c r="I34" i="8"/>
  <c r="Q36" i="8"/>
  <c r="Q37" i="8"/>
  <c r="AQ31" i="8"/>
  <c r="AD35" i="8"/>
  <c r="AQ32" i="8"/>
  <c r="Y36" i="8"/>
  <c r="D31" i="8"/>
  <c r="AJ32" i="8"/>
  <c r="N36" i="8"/>
  <c r="AA33" i="8"/>
  <c r="AC37" i="8"/>
  <c r="B34" i="8"/>
  <c r="D37" i="8"/>
  <c r="AF33" i="8"/>
  <c r="A36" i="8"/>
  <c r="AF36" i="8"/>
  <c r="K31" i="8"/>
  <c r="N35" i="8"/>
  <c r="AA32" i="8"/>
  <c r="AN35" i="8"/>
  <c r="Y37" i="8"/>
  <c r="D32" i="8"/>
  <c r="AS35" i="8"/>
  <c r="K33" i="8"/>
  <c r="AR36" i="8"/>
  <c r="Y33" i="8"/>
  <c r="AQ36" i="8"/>
  <c r="AU32" i="8"/>
  <c r="AU34" i="8"/>
  <c r="P36" i="8"/>
  <c r="AN37" i="8"/>
  <c r="F35" i="8"/>
  <c r="S32" i="8"/>
  <c r="X35" i="8"/>
  <c r="I37" i="8"/>
  <c r="AI31" i="8"/>
  <c r="AK35" i="8"/>
  <c r="C33" i="8"/>
  <c r="AJ36" i="8"/>
  <c r="AN32" i="8"/>
  <c r="S36" i="8"/>
  <c r="AM32" i="8"/>
  <c r="AD33" i="8"/>
  <c r="AT34" i="8"/>
  <c r="H37" i="8"/>
  <c r="U34" i="8"/>
  <c r="AH31" i="8"/>
  <c r="G34" i="8"/>
  <c r="AM35" i="8"/>
  <c r="AM37" i="8"/>
  <c r="E35" i="8"/>
  <c r="R32" i="8"/>
  <c r="K11" i="8"/>
  <c r="K21" i="8" s="1"/>
  <c r="L5" i="12" s="1"/>
  <c r="K18" i="8"/>
  <c r="K15" i="8"/>
  <c r="K13" i="8"/>
  <c r="K14" i="8"/>
  <c r="K16" i="8"/>
  <c r="K12" i="8"/>
  <c r="K17" i="8"/>
  <c r="AB39" i="8" l="1"/>
  <c r="M9" i="13"/>
  <c r="M10" i="13"/>
  <c r="M11" i="13"/>
  <c r="L15" i="12"/>
  <c r="L32" i="12" s="1"/>
  <c r="L22" i="12"/>
  <c r="K50" i="8"/>
  <c r="L5" i="13"/>
  <c r="M8" i="13"/>
  <c r="M7" i="13"/>
  <c r="L36" i="13"/>
  <c r="L16" i="13"/>
  <c r="M12" i="13"/>
  <c r="M6" i="13"/>
  <c r="AA39" i="8"/>
  <c r="L12" i="8"/>
  <c r="K22" i="8"/>
  <c r="L6" i="12" s="1"/>
  <c r="L43" i="8"/>
  <c r="K53" i="8"/>
  <c r="L16" i="8"/>
  <c r="K26" i="8"/>
  <c r="L10" i="12" s="1"/>
  <c r="L41" i="8"/>
  <c r="K51" i="8"/>
  <c r="M39" i="8"/>
  <c r="L14" i="8"/>
  <c r="K24" i="8"/>
  <c r="L8" i="12" s="1"/>
  <c r="L42" i="8"/>
  <c r="K52" i="8"/>
  <c r="L44" i="8"/>
  <c r="K54" i="8"/>
  <c r="L45" i="8"/>
  <c r="K55" i="8"/>
  <c r="L18" i="8"/>
  <c r="K28" i="8"/>
  <c r="L12" i="12" s="1"/>
  <c r="L46" i="8"/>
  <c r="K56" i="8"/>
  <c r="L15" i="8"/>
  <c r="K25" i="8"/>
  <c r="L9" i="12" s="1"/>
  <c r="L47" i="8"/>
  <c r="K57" i="8"/>
  <c r="L13" i="8"/>
  <c r="K23" i="8"/>
  <c r="L7" i="12" s="1"/>
  <c r="L17" i="8"/>
  <c r="K27" i="8"/>
  <c r="L11" i="12" s="1"/>
  <c r="M10" i="8"/>
  <c r="E34" i="13"/>
  <c r="E18" i="13"/>
  <c r="E35" i="13" s="1"/>
  <c r="M8" i="12" l="1"/>
  <c r="M6" i="12"/>
  <c r="M10" i="12"/>
  <c r="L16" i="12"/>
  <c r="L36" i="12"/>
  <c r="M12" i="12"/>
  <c r="L17" i="13"/>
  <c r="L33" i="13"/>
  <c r="M16" i="13"/>
  <c r="L22" i="13"/>
  <c r="L15" i="13"/>
  <c r="L32" i="13" s="1"/>
  <c r="M7" i="12"/>
  <c r="M9" i="12"/>
  <c r="M11" i="12"/>
  <c r="F17" i="13" l="1"/>
  <c r="L18" i="13"/>
  <c r="L34" i="13"/>
  <c r="L17" i="12"/>
  <c r="L33" i="12"/>
  <c r="M16" i="12"/>
  <c r="F34" i="13" l="1"/>
  <c r="M17" i="13"/>
  <c r="F18" i="13"/>
  <c r="L34" i="12"/>
  <c r="L18" i="12"/>
  <c r="F17" i="12"/>
  <c r="L35" i="13"/>
  <c r="L26" i="13"/>
  <c r="L29" i="13"/>
  <c r="L28" i="13"/>
  <c r="L27" i="13"/>
  <c r="L25" i="13"/>
  <c r="L23" i="13"/>
  <c r="L24" i="13"/>
  <c r="G9" i="16"/>
  <c r="G11" i="16"/>
  <c r="E27" i="13" l="1"/>
  <c r="M27" i="13" s="1"/>
  <c r="F23" i="13"/>
  <c r="E23" i="13" s="1"/>
  <c r="M23" i="13" s="1"/>
  <c r="F24" i="13"/>
  <c r="E24" i="13" s="1"/>
  <c r="M24" i="13" s="1"/>
  <c r="F26" i="13"/>
  <c r="E26" i="13" s="1"/>
  <c r="M26" i="13" s="1"/>
  <c r="F25" i="13"/>
  <c r="E25" i="13" s="1"/>
  <c r="M25" i="13" s="1"/>
  <c r="F29" i="13"/>
  <c r="E29" i="13" s="1"/>
  <c r="M29" i="13" s="1"/>
  <c r="F27" i="13"/>
  <c r="F28" i="13"/>
  <c r="F35" i="13"/>
  <c r="E28" i="13"/>
  <c r="M28" i="13" s="1"/>
  <c r="F18" i="12"/>
  <c r="F34" i="12"/>
  <c r="M17" i="12"/>
  <c r="L35" i="12"/>
  <c r="L25" i="12"/>
  <c r="L29" i="12"/>
  <c r="L26" i="12"/>
  <c r="L28" i="12"/>
  <c r="L23" i="12"/>
  <c r="L27" i="12"/>
  <c r="L24" i="12"/>
  <c r="G19" i="16"/>
  <c r="G20" i="16" s="1"/>
  <c r="F35" i="12" l="1"/>
  <c r="F28" i="12"/>
  <c r="E28" i="12" s="1"/>
  <c r="M28" i="12" s="1"/>
  <c r="F23" i="12"/>
  <c r="E23" i="12" s="1"/>
  <c r="M23" i="12" s="1"/>
  <c r="F27" i="12"/>
  <c r="E27" i="12" s="1"/>
  <c r="M27" i="12" s="1"/>
  <c r="F26" i="12"/>
  <c r="E26" i="12" s="1"/>
  <c r="M26" i="12" s="1"/>
  <c r="F25" i="12"/>
  <c r="E25" i="12" s="1"/>
  <c r="M25" i="12" s="1"/>
  <c r="F24" i="12"/>
  <c r="E24" i="12" s="1"/>
  <c r="M24" i="12" s="1"/>
  <c r="F29" i="12"/>
  <c r="E29" i="12" s="1"/>
  <c r="M29" i="12" s="1"/>
  <c r="F95" i="16"/>
  <c r="F91" i="16"/>
  <c r="F90" i="16"/>
  <c r="E70" i="16" l="1"/>
  <c r="G17" i="16"/>
  <c r="F96" i="16"/>
  <c r="F97" i="16"/>
  <c r="F98" i="16" s="1"/>
  <c r="I19" i="16"/>
  <c r="I20" i="16" s="1"/>
  <c r="H90" i="16" l="1"/>
  <c r="H91" i="16"/>
  <c r="H95" i="16"/>
  <c r="I17" i="16"/>
  <c r="I9" i="16"/>
  <c r="I11" i="16"/>
  <c r="G70" i="16" l="1"/>
  <c r="H96" i="16"/>
  <c r="H97" i="16"/>
  <c r="H98" i="16" s="1"/>
  <c r="H7" i="16"/>
  <c r="J11" i="16"/>
  <c r="H10" i="16" l="1"/>
  <c r="H8" i="16"/>
  <c r="J19" i="16"/>
  <c r="J20" i="16" s="1"/>
  <c r="J9" i="16"/>
  <c r="H9" i="16"/>
  <c r="H19" i="16"/>
  <c r="H20" i="16" s="1"/>
  <c r="H11" i="16"/>
  <c r="J10" i="16"/>
  <c r="G90" i="16" l="1"/>
  <c r="G95" i="16"/>
  <c r="G91" i="16"/>
  <c r="K11" i="16"/>
  <c r="K9" i="16"/>
  <c r="K19" i="16"/>
  <c r="K20" i="16" s="1"/>
  <c r="K10" i="16"/>
  <c r="H70" i="16" l="1"/>
  <c r="F70" i="16"/>
  <c r="G96" i="16"/>
  <c r="G97" i="16"/>
  <c r="G98" i="16" s="1"/>
  <c r="L19" i="16"/>
  <c r="L20" i="16" s="1"/>
  <c r="L11" i="16"/>
  <c r="L10" i="16"/>
  <c r="L9" i="16"/>
  <c r="I70" i="16" l="1"/>
  <c r="H74" i="16"/>
  <c r="H78" i="16"/>
  <c r="M10" i="16"/>
  <c r="M11" i="16"/>
  <c r="M19" i="16"/>
  <c r="M20" i="16" s="1"/>
  <c r="M9" i="16"/>
  <c r="I74" i="16" l="1"/>
  <c r="I78" i="16"/>
  <c r="J70" i="16"/>
  <c r="H79" i="16"/>
  <c r="H84" i="16"/>
  <c r="H82" i="16"/>
  <c r="H85" i="16" s="1"/>
  <c r="H75" i="16"/>
  <c r="K70" i="16"/>
  <c r="K74" i="16" s="1"/>
  <c r="M17" i="16" l="1"/>
  <c r="J74" i="16"/>
  <c r="J78" i="16"/>
  <c r="K75" i="16"/>
  <c r="I79" i="16"/>
  <c r="I84" i="16"/>
  <c r="I82" i="16"/>
  <c r="I85" i="16" s="1"/>
  <c r="I75" i="16"/>
  <c r="K78" i="16"/>
  <c r="K79" i="16" l="1"/>
  <c r="J79" i="16"/>
  <c r="J84" i="16"/>
  <c r="J82" i="16"/>
  <c r="J85" i="16" s="1"/>
  <c r="J75" i="16"/>
  <c r="K82" i="16"/>
  <c r="K85" i="16" s="1"/>
  <c r="K84" i="16"/>
</calcChain>
</file>

<file path=xl/sharedStrings.xml><?xml version="1.0" encoding="utf-8"?>
<sst xmlns="http://schemas.openxmlformats.org/spreadsheetml/2006/main" count="2316" uniqueCount="409">
  <si>
    <t>CO2 EU-ETS</t>
  </si>
  <si>
    <t>Austria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</si>
  <si>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</si>
  <si>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</si>
  <si>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</si>
  <si>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</si>
  <si>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</si>
  <si>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</si>
  <si>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</si>
  <si>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</si>
  <si>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</si>
  <si>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</si>
  <si>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</si>
  <si>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</si>
  <si>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</si>
  <si>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</si>
  <si>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</si>
  <si>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</si>
  <si>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Total 1st trading period (05-07)</t>
  </si>
  <si>
    <t>Total 2nd trading period (08-12)</t>
  </si>
  <si>
    <t>Total 3rd trading period (13-20)</t>
  </si>
  <si>
    <t>Belgium</t>
  </si>
  <si>
    <t>Bulgaria</t>
  </si>
  <si>
    <t>1000 emission unit - kt CO2-eq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</si>
  <si>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</si>
  <si>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</si>
  <si>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</si>
  <si>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</si>
  <si>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</si>
  <si>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</si>
  <si>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</si>
  <si>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</si>
  <si>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</si>
  <si>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</si>
  <si>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</si>
  <si>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</si>
  <si>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</si>
  <si>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</si>
  <si>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</si>
  <si>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</si>
  <si>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</si>
  <si>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</si>
  <si>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NER 300 auctions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</si>
  <si>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</si>
  <si>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</si>
  <si>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</si>
  <si>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</si>
  <si>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</si>
  <si>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</si>
  <si>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</si>
  <si>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</si>
  <si>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</si>
  <si>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</si>
  <si>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EU-15</t>
  </si>
  <si>
    <t>EU-13</t>
  </si>
  <si>
    <t>EU-28</t>
  </si>
  <si>
    <t>All countries</t>
  </si>
  <si>
    <t>Year</t>
  </si>
  <si>
    <t>Country</t>
  </si>
  <si>
    <t>Zeilenbeschriftungen</t>
  </si>
  <si>
    <t>Gesamtergebnis</t>
  </si>
  <si>
    <t>Spaltenbeschriftungen</t>
  </si>
  <si>
    <t>EUAs</t>
  </si>
  <si>
    <t>Verified emissions</t>
  </si>
  <si>
    <t>Summe von Verified emissions</t>
  </si>
  <si>
    <t>Gruppe1</t>
  </si>
  <si>
    <t>EUN</t>
  </si>
  <si>
    <t>Gruppe2</t>
  </si>
  <si>
    <t>EUE</t>
  </si>
  <si>
    <t>Gruppe3</t>
  </si>
  <si>
    <t>EUS</t>
  </si>
  <si>
    <t>FRA</t>
  </si>
  <si>
    <t>AUT</t>
  </si>
  <si>
    <t>Gruppe4</t>
  </si>
  <si>
    <t>Non-EU</t>
  </si>
  <si>
    <t>TOTAL</t>
  </si>
  <si>
    <t>Jährliche Veränderungsrate:</t>
  </si>
  <si>
    <t>Lineare Veränderungsrate:</t>
  </si>
  <si>
    <t>CO2-Pfad (ETS75 = Referenzszenario)</t>
  </si>
  <si>
    <t>Zielvorgabe für 2050 (in %):</t>
  </si>
  <si>
    <r>
      <rPr>
        <b/>
        <sz val="11"/>
        <color theme="1"/>
        <rFont val="Calibri"/>
        <family val="2"/>
        <scheme val="minor"/>
      </rPr>
      <t>(A) Sinkender</t>
    </r>
    <r>
      <rPr>
        <sz val="11"/>
        <color theme="1"/>
        <rFont val="Calibri"/>
        <family val="2"/>
        <scheme val="minor"/>
      </rPr>
      <t xml:space="preserve"> Differenzbetrag (% vom Vorjahr, </t>
    </r>
    <r>
      <rPr>
        <b/>
        <sz val="11"/>
        <color theme="1"/>
        <rFont val="Calibri"/>
        <family val="2"/>
        <scheme val="minor"/>
      </rPr>
      <t>konstante</t>
    </r>
    <r>
      <rPr>
        <sz val="11"/>
        <color theme="1"/>
        <rFont val="Calibri"/>
        <family val="2"/>
        <scheme val="minor"/>
      </rPr>
      <t xml:space="preserve"> Belastung)</t>
    </r>
  </si>
  <si>
    <r>
      <rPr>
        <b/>
        <sz val="11"/>
        <color theme="1"/>
        <rFont val="Calibri"/>
        <family val="2"/>
        <scheme val="minor"/>
      </rPr>
      <t>(B) Konstanter</t>
    </r>
    <r>
      <rPr>
        <sz val="11"/>
        <color theme="1"/>
        <rFont val="Calibri"/>
        <family val="2"/>
        <scheme val="minor"/>
      </rPr>
      <t xml:space="preserve"> Differenzbetrag (% von 2013, </t>
    </r>
    <r>
      <rPr>
        <b/>
        <sz val="11"/>
        <color theme="1"/>
        <rFont val="Calibri"/>
        <family val="2"/>
        <scheme val="minor"/>
      </rPr>
      <t>steigende</t>
    </r>
    <r>
      <rPr>
        <sz val="11"/>
        <color theme="1"/>
        <rFont val="Calibri"/>
        <family val="2"/>
        <scheme val="minor"/>
      </rPr>
      <t xml:space="preserve"> Belastung)</t>
    </r>
  </si>
  <si>
    <r>
      <rPr>
        <b/>
        <sz val="11"/>
        <color theme="1"/>
        <rFont val="Calibri"/>
        <family val="2"/>
        <scheme val="minor"/>
      </rPr>
      <t>Kontrolle für (A):</t>
    </r>
    <r>
      <rPr>
        <sz val="11"/>
        <color theme="1"/>
        <rFont val="Calibri"/>
        <family val="2"/>
        <scheme val="minor"/>
      </rPr>
      <t xml:space="preserve"> 2005 = 100 und 2050 = [B16]</t>
    </r>
  </si>
  <si>
    <r>
      <rPr>
        <b/>
        <sz val="11"/>
        <color theme="1"/>
        <rFont val="Calibri"/>
        <family val="2"/>
        <scheme val="minor"/>
      </rPr>
      <t>Kontrolle für (B):</t>
    </r>
    <r>
      <rPr>
        <sz val="11"/>
        <color theme="1"/>
        <rFont val="Calibri"/>
        <family val="2"/>
        <scheme val="minor"/>
      </rPr>
      <t xml:space="preserve"> 2005 = 100 und 2050 = [B16]</t>
    </r>
  </si>
  <si>
    <r>
      <rPr>
        <b/>
        <sz val="11"/>
        <color theme="1"/>
        <rFont val="Calibri"/>
        <family val="2"/>
        <scheme val="minor"/>
      </rPr>
      <t>Index für (A):</t>
    </r>
    <r>
      <rPr>
        <sz val="11"/>
        <color theme="1"/>
        <rFont val="Calibri"/>
        <family val="2"/>
        <scheme val="minor"/>
      </rPr>
      <t xml:space="preserve"> 2007 = 100</t>
    </r>
  </si>
  <si>
    <r>
      <rPr>
        <b/>
        <sz val="11"/>
        <color theme="1"/>
        <rFont val="Calibri"/>
        <family val="2"/>
        <scheme val="minor"/>
      </rPr>
      <t>Index für (B):</t>
    </r>
    <r>
      <rPr>
        <sz val="11"/>
        <color theme="1"/>
        <rFont val="Calibri"/>
        <family val="2"/>
        <scheme val="minor"/>
      </rPr>
      <t xml:space="preserve"> 2007 = 100</t>
    </r>
  </si>
  <si>
    <r>
      <t xml:space="preserve">Gew. </t>
    </r>
    <r>
      <rPr>
        <b/>
        <u/>
        <sz val="11"/>
        <color theme="0"/>
        <rFont val="Calibri"/>
        <family val="2"/>
      </rPr>
      <t>Ø</t>
    </r>
  </si>
  <si>
    <t>Kontrolle</t>
  </si>
  <si>
    <t xml:space="preserve">Kontrolle </t>
  </si>
  <si>
    <t>DEU</t>
  </si>
  <si>
    <t>wird eingelesen:</t>
  </si>
  <si>
    <t>vertical line</t>
  </si>
  <si>
    <t>CO2PFAD Parameter (Carbon emissions cap) for NON-ETS-sectors</t>
  </si>
  <si>
    <t>REF_NONets</t>
  </si>
  <si>
    <t>Neu</t>
  </si>
  <si>
    <t>Alt</t>
  </si>
  <si>
    <t>BAW</t>
  </si>
  <si>
    <t xml:space="preserve">FRA </t>
  </si>
  <si>
    <t>OEU</t>
  </si>
  <si>
    <t>SWZ</t>
  </si>
  <si>
    <t>NEU</t>
  </si>
  <si>
    <t>USA</t>
  </si>
  <si>
    <t>BRZ</t>
  </si>
  <si>
    <t>ROW</t>
  </si>
  <si>
    <t>RUS</t>
  </si>
  <si>
    <t>IND</t>
  </si>
  <si>
    <t>CHI</t>
  </si>
  <si>
    <t>RSA</t>
  </si>
  <si>
    <t>OEC</t>
  </si>
  <si>
    <t>OCE</t>
  </si>
  <si>
    <t>RAB</t>
  </si>
  <si>
    <t>ARB</t>
  </si>
  <si>
    <t>MEA</t>
  </si>
  <si>
    <t>OPE</t>
  </si>
  <si>
    <t>OPC</t>
  </si>
  <si>
    <t>REU</t>
  </si>
  <si>
    <t>(A) Sinkender Differenzbetrag (% vom Vorjahr, konstante Belastung)</t>
  </si>
  <si>
    <t>(B) Konstanter Differenzbetrag (% von 2013, steigende Belastung)</t>
  </si>
  <si>
    <t xml:space="preserve">http://www.youtube.com/watch?v=EuWzDDkXIQ8 </t>
  </si>
  <si>
    <r>
      <rPr>
        <b/>
        <sz val="11"/>
        <color theme="1"/>
        <rFont val="Calibri"/>
        <family val="2"/>
        <scheme val="minor"/>
      </rPr>
      <t>Index für (A):</t>
    </r>
    <r>
      <rPr>
        <sz val="11"/>
        <color theme="1"/>
        <rFont val="Calibri"/>
        <family val="2"/>
        <scheme val="minor"/>
      </rPr>
      <t xml:space="preserve"> 2010 = 100</t>
    </r>
  </si>
  <si>
    <r>
      <rPr>
        <b/>
        <sz val="11"/>
        <color theme="1"/>
        <rFont val="Calibri"/>
        <family val="2"/>
        <scheme val="minor"/>
      </rPr>
      <t>Index für (B):</t>
    </r>
    <r>
      <rPr>
        <sz val="11"/>
        <color theme="1"/>
        <rFont val="Calibri"/>
        <family val="2"/>
        <scheme val="minor"/>
      </rPr>
      <t xml:space="preserve"> 2010 = 100</t>
    </r>
  </si>
  <si>
    <t>2010 später auf 1 setzen?</t>
  </si>
  <si>
    <t>Differenz</t>
  </si>
  <si>
    <t>EU-CAP-1</t>
  </si>
  <si>
    <t>EU-CAP-2</t>
  </si>
  <si>
    <t>Variante 1 (Ursprünglich, REF)</t>
  </si>
  <si>
    <t>Variante 2 (S-Verlauf, SC1)</t>
  </si>
  <si>
    <t>Summe</t>
  </si>
  <si>
    <t>Differenz zu A)</t>
  </si>
  <si>
    <r>
      <t>(C) Sinkender Differenzbetrag (</t>
    </r>
    <r>
      <rPr>
        <b/>
        <sz val="11"/>
        <color rgb="FFFF0000"/>
        <rFont val="Calibri"/>
        <family val="2"/>
        <scheme val="minor"/>
      </rPr>
      <t>Variante zu A), Unterschiede in 2015, 2020 und 2025; Integralsumme bleibt gleich)</t>
    </r>
  </si>
  <si>
    <t>Differenzpfad</t>
  </si>
  <si>
    <t>Umbasierung auf 2010 = 100%</t>
  </si>
  <si>
    <r>
      <t>(C) Sinkender Differenzbetrag (</t>
    </r>
    <r>
      <rPr>
        <b/>
        <sz val="11"/>
        <color rgb="FFFF0000"/>
        <rFont val="Calibri"/>
        <family val="2"/>
        <scheme val="minor"/>
      </rPr>
      <t>Variante zu B), Unterschiede in 2015, 2020 und 2025; Integralsumme bleibt gleich)</t>
    </r>
  </si>
  <si>
    <t>manuell</t>
  </si>
  <si>
    <t>Historische Emissionen</t>
  </si>
  <si>
    <t>Historische Emissionen + Cap-Aufschlag</t>
  </si>
  <si>
    <t>Quelle:</t>
  </si>
  <si>
    <t>http://ec.europa.eu/clima/policies/ets/cap/index_en.htm</t>
  </si>
  <si>
    <t>EU-ETS-Cap</t>
  </si>
  <si>
    <t>Aufschlag 2013</t>
  </si>
  <si>
    <r>
      <t xml:space="preserve">Historische Emissionen + Cap-Aufschlag </t>
    </r>
    <r>
      <rPr>
        <b/>
        <sz val="11"/>
        <color rgb="FFC00000"/>
        <rFont val="Calibri"/>
        <family val="2"/>
        <scheme val="minor"/>
      </rPr>
      <t>(2007 = 100)</t>
    </r>
  </si>
  <si>
    <r>
      <t xml:space="preserve">Historische Emissionen + Cap-Aufschlag </t>
    </r>
    <r>
      <rPr>
        <b/>
        <sz val="11"/>
        <color rgb="FFC00000"/>
        <rFont val="Calibri"/>
        <family val="2"/>
        <scheme val="minor"/>
      </rPr>
      <t>(2005 = 100)</t>
    </r>
  </si>
  <si>
    <r>
      <t xml:space="preserve">Historische Emissionen + Cap-Aufschlag </t>
    </r>
    <r>
      <rPr>
        <b/>
        <sz val="11"/>
        <color rgb="FFC00000"/>
        <rFont val="Calibri"/>
        <family val="2"/>
        <scheme val="minor"/>
      </rPr>
      <t>(2010= 100)</t>
    </r>
  </si>
  <si>
    <r>
      <t xml:space="preserve">Historische Emissionen + Cap-Aufschlag </t>
    </r>
    <r>
      <rPr>
        <b/>
        <sz val="11"/>
        <color rgb="FFC00000"/>
        <rFont val="Calibri"/>
        <family val="2"/>
        <scheme val="minor"/>
      </rPr>
      <t>(2013 = 100)</t>
    </r>
  </si>
  <si>
    <t>Emissionen</t>
  </si>
  <si>
    <t>Cap-Aufschlag</t>
  </si>
  <si>
    <t>Szenario 1 - Status Quo</t>
  </si>
  <si>
    <t>ETS-Reduktion 2050 vs. 2005 (%)</t>
  </si>
  <si>
    <t>ETS-Reduktion 2050 vs. 2013 (absolut)</t>
  </si>
  <si>
    <t>Link:</t>
  </si>
  <si>
    <t>2013-2020 (absolut)</t>
  </si>
  <si>
    <t>2021-2050 (absolut)</t>
  </si>
  <si>
    <t>2013-2050 (jährlich absolut)</t>
  </si>
  <si>
    <t>2013-2050 (jährlich relativ zu 2013)</t>
  </si>
  <si>
    <t>Hergeleitete Menge 2013</t>
  </si>
  <si>
    <t>Hergeleitete Menge 2050</t>
  </si>
  <si>
    <t>DEHSt-Bericht, S. 13</t>
  </si>
  <si>
    <t>Hergeleitete Menge 2005</t>
  </si>
  <si>
    <t>Aufteilung MS</t>
  </si>
  <si>
    <t>Verkettung der 2013er DEHst-Emissionszertifikatangaben (2.149 Mio. Zert.) mit historischen Emissionen (plus Cap-Aufschlag) und der Aufteilung des 2013er Budgets (2.149 Mio. Zert.) auf die einzelnen Staaten anhand der Verhältnisse der historischen Emissionen in 2013</t>
  </si>
  <si>
    <t>EU</t>
  </si>
  <si>
    <t>Summenkontrolle</t>
  </si>
  <si>
    <t>Jährlicher Cap-Reduktionspfad</t>
  </si>
  <si>
    <t>2013-2050: 1,74 %</t>
  </si>
  <si>
    <t>EU-Ratsbeschluss vom 23./24. Oktober 2014: Linearen Reduktionsfaktor ab 2021 von 1,74 % auf 2,2 % anheben</t>
  </si>
  <si>
    <t>http://www.consilium.europa.eu/uedocs/cms_data/docs/pressdata/en/ec/145397.pdf</t>
  </si>
  <si>
    <t>http://www.dehst.de/SharedDocs/Downloads/DE/Publikationen/Zielpapier.pdf?__blob=publicationFile</t>
  </si>
  <si>
    <r>
      <t>DEHSt-Bericht „</t>
    </r>
    <r>
      <rPr>
        <b/>
        <i/>
        <sz val="11"/>
        <color rgb="FF3F3F3F"/>
        <rFont val="Calibri"/>
        <family val="2"/>
        <scheme val="minor"/>
      </rPr>
      <t>Klimaschutzziele - Die Reform des europäischen Emissionshandels im Kontext der mittel- und langfristigen Klimaschutzziele der Europäischen Union</t>
    </r>
    <r>
      <rPr>
        <b/>
        <sz val="11"/>
        <color rgb="FF3F3F3F"/>
        <rFont val="Calibri"/>
        <family val="2"/>
        <scheme val="minor"/>
      </rPr>
      <t>“ (November 2013)</t>
    </r>
  </si>
  <si>
    <t>2013-2020: 1,74 % //  2021-2050: 2,2 %</t>
  </si>
  <si>
    <t>Faktor ab 2021 (EU-Ratsbeschluss)</t>
  </si>
  <si>
    <t>Szenario 1 - Status Quo (aktualisiert)</t>
  </si>
  <si>
    <t>Szenario 4 - ETS ambitioniert</t>
  </si>
  <si>
    <t>2013-2015: 1,74 % //  2016-2020: 6,5 % //             2021-2050: 1,6 %</t>
  </si>
  <si>
    <t>DEHst-Szenario 4, S. 15</t>
  </si>
  <si>
    <t>2013-2015</t>
  </si>
  <si>
    <t>2016-2020</t>
  </si>
  <si>
    <t>2021-2050</t>
  </si>
  <si>
    <t>Reduktion ggü. 2005</t>
  </si>
  <si>
    <t>Pfad</t>
  </si>
  <si>
    <t>Abs. Reduktion</t>
  </si>
  <si>
    <t>Rel. Reduktion</t>
  </si>
  <si>
    <t>NEWAGE-Pfade</t>
  </si>
  <si>
    <t>wird eingelesen</t>
  </si>
  <si>
    <t xml:space="preserve">Quelle: </t>
  </si>
  <si>
    <t>http://www.eea.europa.eu/data-and-maps/data/data-viewers/emissions-trading-viewer</t>
  </si>
  <si>
    <t>Basisfall</t>
  </si>
  <si>
    <t>EU28-Emissionspfad (Mio. tCO2)</t>
  </si>
  <si>
    <t>jährliche Reduktion (Mio. tCO2)</t>
  </si>
  <si>
    <t>Linearer Reduktionsfaktor (%)</t>
  </si>
  <si>
    <t>Status-Quo</t>
  </si>
  <si>
    <t>EU28</t>
  </si>
  <si>
    <t>FC-Daten</t>
  </si>
  <si>
    <t>Grundszenario 1 (Status-Quo)</t>
  </si>
  <si>
    <t>Umlaufmenge</t>
  </si>
  <si>
    <t>Jahr</t>
  </si>
  <si>
    <t>Korrektur Knappheit</t>
  </si>
  <si>
    <t>Effektiver Emissonspfad</t>
  </si>
  <si>
    <t>Effektive CO2-Emissionspfade</t>
  </si>
  <si>
    <t>N:\esa\643_CarbonLeakage FutureCamp\Material\Rahmenannahmen\Emissionsminderungspfad_Zwischenbericht_20150601.xlsx</t>
  </si>
  <si>
    <t>Veränderung geg. 2007</t>
  </si>
  <si>
    <t>DEHSt-Szenario:</t>
  </si>
  <si>
    <t>DEHSt-Szenario + FC-Korrektur:</t>
  </si>
  <si>
    <t>hinzugefügt von http://www.eea.europa.eu/data-and-maps/data/data-viewers/emissions-trading-viewer</t>
  </si>
  <si>
    <t xml:space="preserve"> </t>
  </si>
  <si>
    <t>2005er Wert (2.458) =  1. Total allocated allowances (EUA or EUAA) ( 2096.444) + 3. Consistent scope correction to allowances and emissions since 2005 (361.291)</t>
  </si>
  <si>
    <t>EU-Cap (Mio. t)</t>
  </si>
  <si>
    <t>EU-Cap</t>
  </si>
  <si>
    <r>
      <rPr>
        <sz val="11"/>
        <color rgb="FFFF0000"/>
        <rFont val="Calibri"/>
        <family val="2"/>
        <scheme val="minor"/>
      </rPr>
      <t>15.06.2015</t>
    </r>
    <r>
      <rPr>
        <sz val="11"/>
        <color theme="1"/>
        <rFont val="Calibri"/>
        <family val="2"/>
        <scheme val="minor"/>
      </rPr>
      <t>: Neue Rechnungen für den Zwischenbericht (Szenario 1 vs. Szenario 2)</t>
    </r>
  </si>
  <si>
    <r>
      <rPr>
        <sz val="11"/>
        <color rgb="FFFF0000"/>
        <rFont val="Calibri"/>
        <family val="2"/>
        <scheme val="minor"/>
      </rPr>
      <t xml:space="preserve">20.05.2015: </t>
    </r>
    <r>
      <rPr>
        <sz val="11"/>
        <color theme="1"/>
        <rFont val="Calibri"/>
        <family val="2"/>
        <scheme val="minor"/>
      </rPr>
      <t>Proberechnungen für alternativen CO2-Pfad</t>
    </r>
  </si>
  <si>
    <r>
      <t xml:space="preserve">EU-Emissionsreduktionspfad </t>
    </r>
    <r>
      <rPr>
        <sz val="11"/>
        <color theme="1"/>
        <rFont val="Calibri"/>
        <family val="2"/>
        <scheme val="minor"/>
      </rPr>
      <t>gemäß historisch verfügbarer Zertifikate bis 2013 (</t>
    </r>
    <r>
      <rPr>
        <sz val="8"/>
        <color theme="1"/>
        <rFont val="Calibri"/>
        <family val="2"/>
        <scheme val="minor"/>
      </rPr>
      <t>http://www.eea.europa.eu/data-and-maps/data/data-viewers/emissions-trading-viewer</t>
    </r>
    <r>
      <rPr>
        <sz val="11"/>
        <color theme="1"/>
        <rFont val="Calibri"/>
        <family val="2"/>
        <scheme val="minor"/>
      </rPr>
      <t>) und der Emissionsreduktionsziele -21% in 2020 und -43% in 2030</t>
    </r>
  </si>
  <si>
    <t xml:space="preserve">Effektive Jährliche Reduktion bei Vorgabe der 21% und 43% Zielwerte </t>
  </si>
  <si>
    <t>Reduktionsfaktoren gemäß EU-Kommission</t>
  </si>
  <si>
    <t>Grundszenario 2 (Evolution)</t>
  </si>
  <si>
    <t>Datenübergabe ETS Grundszenario 1_2015-06-12.xlsx</t>
  </si>
  <si>
    <t>Emissionspfad TIMES-PanEU</t>
  </si>
  <si>
    <t>Meilensteine</t>
  </si>
  <si>
    <t>Effektives CO2-Cap (=Emissionen + Umlaufmenge - Knappheitskorrektur)</t>
  </si>
  <si>
    <t>Quelle: Historische Werte gemäß EEA (2015). Projektionen gemäß EU-Klimaziele -21% in 2020  und -43 % in 2030 jeweils ggü. 2005. Umlaufmengen gemäß EHS-Modell.</t>
  </si>
  <si>
    <t>Veränderung ggü. 2005</t>
  </si>
  <si>
    <t>EU-EHS-Cap ohne Umlaufmenge</t>
  </si>
  <si>
    <t>EU-EHS-Cap mit Umlaufmenge</t>
  </si>
  <si>
    <t>Emissionsberechtigungen ggü. 2005</t>
  </si>
  <si>
    <t xml:space="preserve">Knappheitskorrektur </t>
  </si>
  <si>
    <t>Umlaufmenge (EHS-Modell)</t>
  </si>
  <si>
    <t>Emissionspfad (TIMES-PanEU)</t>
  </si>
  <si>
    <r>
      <t>Effektives CO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-Cap (Summe)</t>
    </r>
  </si>
  <si>
    <t>Menge für TIMES</t>
  </si>
  <si>
    <t>2.1</t>
  </si>
  <si>
    <t>3.1</t>
  </si>
  <si>
    <t>4.1</t>
  </si>
  <si>
    <t>5.1</t>
  </si>
  <si>
    <t>Historisches CAP</t>
  </si>
  <si>
    <t>Szenarien</t>
  </si>
  <si>
    <t>Menge für TIMES (PFADE)</t>
  </si>
  <si>
    <t>Emissionen (FutureCamp)</t>
  </si>
  <si>
    <t>KOM</t>
  </si>
  <si>
    <r>
      <t xml:space="preserve">Grundszenario 1 (Status-Quo): </t>
    </r>
    <r>
      <rPr>
        <sz val="11"/>
        <color theme="1"/>
        <rFont val="Calibri"/>
        <family val="2"/>
        <scheme val="minor"/>
      </rPr>
      <t>Mengen für TIMES</t>
    </r>
  </si>
  <si>
    <r>
      <t>Grundszenario 2 (KOM-Vorschlag):</t>
    </r>
    <r>
      <rPr>
        <sz val="11"/>
        <color theme="1"/>
        <rFont val="Calibri"/>
        <family val="2"/>
        <scheme val="minor"/>
      </rPr>
      <t xml:space="preserve"> Mengen für TIMES</t>
    </r>
  </si>
  <si>
    <t>BMWi</t>
  </si>
  <si>
    <r>
      <t>Grundszenario 4 (BMWi-Vorschlag):</t>
    </r>
    <r>
      <rPr>
        <sz val="11"/>
        <color theme="1"/>
        <rFont val="Calibri"/>
        <family val="2"/>
        <scheme val="minor"/>
      </rPr>
      <t xml:space="preserve"> Mengen für TIMES</t>
    </r>
  </si>
  <si>
    <t>2020er-Wert muss unter 0,96 sein, damit positiver CO-Preis (PCO2_ETS) entsteht</t>
  </si>
  <si>
    <t>Veränderung 2/1</t>
  </si>
  <si>
    <t>Veränderung 4/1</t>
  </si>
  <si>
    <t>Veränderung GS 2.1 ggü. GS 1 (Sekundärachse)</t>
  </si>
  <si>
    <t>Grundszenario 1        (Status-Quo)</t>
  </si>
  <si>
    <t>Veränderung GS 4.1 ggü. GS 1 (Sekundärachse)</t>
  </si>
  <si>
    <t>Grundszenario 2.1      (KOM-Vorschlag)</t>
  </si>
  <si>
    <t>Datenübergabe-IER_2015-07-24_V3</t>
  </si>
  <si>
    <t>Quelle: Datenübergabe-IER_2015-07-24_V2_ob.xlsx</t>
  </si>
  <si>
    <t>Werte in 2011 wurden von Jahr 2010 genohmen</t>
  </si>
  <si>
    <t>EU-Cap (2011 = 1)</t>
  </si>
  <si>
    <t>EU-Cap 95% (2011 = 1)</t>
  </si>
  <si>
    <t>total emissions:</t>
  </si>
  <si>
    <t>Source:</t>
  </si>
  <si>
    <t>OPA</t>
  </si>
  <si>
    <t>ETP (RTS)</t>
  </si>
  <si>
    <t>calibration factor</t>
  </si>
  <si>
    <t>INDCs scenario</t>
  </si>
  <si>
    <t xml:space="preserve">Original </t>
  </si>
  <si>
    <t>2DC scenario</t>
  </si>
  <si>
    <t>ETP (2DS)</t>
  </si>
  <si>
    <t>ITA</t>
  </si>
  <si>
    <t>POL</t>
  </si>
  <si>
    <t>UKI</t>
  </si>
  <si>
    <t>ESP</t>
  </si>
  <si>
    <t>BNL</t>
  </si>
  <si>
    <t>non-ETS Cap (normal policies)</t>
  </si>
  <si>
    <t>calibration</t>
  </si>
  <si>
    <t>non-ETS Cap (2dc)</t>
  </si>
  <si>
    <t>ENavi - E3</t>
  </si>
  <si>
    <t>E3</t>
  </si>
  <si>
    <t>Starke Europa</t>
  </si>
  <si>
    <t>Scenario</t>
  </si>
  <si>
    <t>Target</t>
  </si>
  <si>
    <t>80% reduction of emissions by 2050 in comparison to 1990</t>
  </si>
  <si>
    <t>2050 target</t>
  </si>
  <si>
    <t>-0,8 (to 1990)</t>
  </si>
  <si>
    <t>Description</t>
  </si>
  <si>
    <t>Real</t>
  </si>
  <si>
    <t>Projected</t>
  </si>
  <si>
    <t>source for Real: http://ec.europa.eu/eurostat/statistics-explained/index.php/Greenhouse_gas_emission_statistics</t>
  </si>
  <si>
    <t>NEWAGE INPUT</t>
  </si>
  <si>
    <t>ETS</t>
  </si>
  <si>
    <t>ESD</t>
  </si>
  <si>
    <t>Source</t>
  </si>
  <si>
    <t>EU-reference</t>
  </si>
  <si>
    <t>Schwach Europa</t>
  </si>
  <si>
    <t>E1</t>
  </si>
  <si>
    <t>Equal to EU-Reference Scenario</t>
  </si>
  <si>
    <t>file:///N:\ega\450 Kopernikus ENavi\6_Literatur_Gesamtprojekt\EU_Europa\EU_Reference_Scenario_2016_AppendixRefSce.xls</t>
  </si>
  <si>
    <t>tax</t>
  </si>
  <si>
    <t>try</t>
  </si>
  <si>
    <t>emission</t>
  </si>
  <si>
    <t>carbon_tax_yr("DEU","</t>
  </si>
  <si>
    <t>") =</t>
  </si>
  <si>
    <t>;</t>
  </si>
  <si>
    <t>DEU-CO2</t>
  </si>
  <si>
    <t>2050-target</t>
  </si>
  <si>
    <t>Source: Klimaschutzplan 2050 and UNFCC paper</t>
  </si>
  <si>
    <t>CO2-Emissionen</t>
  </si>
  <si>
    <t>Handlungsfeld</t>
  </si>
  <si>
    <t>NEWAGE-SET</t>
  </si>
  <si>
    <t>(in Mio. t CO2)</t>
  </si>
  <si>
    <t>(Minderung in % ggü. 1990)</t>
  </si>
  <si>
    <t>Energiewirtschaft</t>
  </si>
  <si>
    <t>e(i)</t>
  </si>
  <si>
    <t>COL</t>
  </si>
  <si>
    <t>CRU</t>
  </si>
  <si>
    <t>GAS</t>
  </si>
  <si>
    <t>OIL</t>
  </si>
  <si>
    <t>ELE</t>
  </si>
  <si>
    <t>Gebäude</t>
  </si>
  <si>
    <t>bui(i)</t>
  </si>
  <si>
    <t>BUI</t>
  </si>
  <si>
    <t>Verkehr</t>
  </si>
  <si>
    <t>trn(i)</t>
  </si>
  <si>
    <t>TRN</t>
  </si>
  <si>
    <t>Industrie</t>
  </si>
  <si>
    <t>ind(i)</t>
  </si>
  <si>
    <t>IRS</t>
  </si>
  <si>
    <t>NFM</t>
  </si>
  <si>
    <t>NMM</t>
  </si>
  <si>
    <t>PPP</t>
  </si>
  <si>
    <t>CHM</t>
  </si>
  <si>
    <t>FOT</t>
  </si>
  <si>
    <t>MVH</t>
  </si>
  <si>
    <t>MAC</t>
  </si>
  <si>
    <t>ROI</t>
  </si>
  <si>
    <t>Landwirtschaft</t>
  </si>
  <si>
    <t>agr(i)</t>
  </si>
  <si>
    <t>AGR</t>
  </si>
  <si>
    <t>Teilsumme</t>
  </si>
  <si>
    <t>Sonstige</t>
  </si>
  <si>
    <t>ser(i)</t>
  </si>
  <si>
    <t>SER</t>
  </si>
  <si>
    <t>Gesamtsumme</t>
  </si>
  <si>
    <t>ACHTUNG! WERTE FÜR 2011, 2015, 2020, 2025, 2035 UND 2045 LINEAR INTERPOLIERT!!!</t>
  </si>
  <si>
    <t>energy</t>
  </si>
  <si>
    <t>buildings</t>
  </si>
  <si>
    <t>transport</t>
  </si>
  <si>
    <t>industry</t>
  </si>
  <si>
    <t>agriculture</t>
  </si>
  <si>
    <t>services</t>
  </si>
  <si>
    <t>ALL</t>
  </si>
  <si>
    <t>ACHTUNG! WERTE FÜR 2011, 2015, 2020, 2025, 2035 UND 2045 ENTSTEHEN DURCH LINEARE INTERPOLATION (SIEHE OBEN)!!!</t>
  </si>
  <si>
    <t>Formel für lineare Interpolation:</t>
  </si>
  <si>
    <t>Source: Klimaschutzplan 2050 and UNFCC paper; Projektion 2030 - 2050 angepasst (Industrie unterscheidet prozessbedingte und restliche Emissionen)</t>
  </si>
  <si>
    <t>original</t>
  </si>
  <si>
    <t>NEWAGE values</t>
  </si>
  <si>
    <t>German CO2 (NA)</t>
  </si>
  <si>
    <t xml:space="preserve">EU27 </t>
  </si>
  <si>
    <t>reduction</t>
  </si>
  <si>
    <t>Starke Europa - ohne Deutschland</t>
  </si>
  <si>
    <t xml:space="preserve">E3 </t>
  </si>
  <si>
    <t>Roland's</t>
  </si>
  <si>
    <t>UBA</t>
  </si>
  <si>
    <t>GHG</t>
  </si>
  <si>
    <t>CO2 %</t>
  </si>
  <si>
    <t>CO2</t>
  </si>
  <si>
    <t>https://www.umweltbundesamt.de/daten/klima/treibhausgas-emissionen-in-deutschland#textpart-3</t>
  </si>
  <si>
    <t>NEWAGE input sectorial</t>
  </si>
  <si>
    <t>NEWAGE input DEU solo</t>
  </si>
  <si>
    <t>NEWAGE</t>
  </si>
  <si>
    <t>EU-BAU</t>
  </si>
  <si>
    <t>E2</t>
  </si>
  <si>
    <t>E0</t>
  </si>
  <si>
    <t>Cluster Union</t>
  </si>
  <si>
    <t>Equal to cluster union</t>
  </si>
  <si>
    <t>C:\GAMS\NEWAGE_REEEM_Kopernikus\xcel_data\Archiv\clusters emisisons.xlsx</t>
  </si>
  <si>
    <t>ETS - clusters</t>
  </si>
  <si>
    <t>Hallo Roland,</t>
  </si>
  <si>
    <t>ich schlage vor, den Maximalwert für die Windenergie zunächst einmal aus PanEU zu nehmen: 1200 PJ oder 333,33 TWh/a. Für die Photovoltaik können wir erst einmal die Werte von Mainzer nehmen: 195,5 TWh/a oder 703,8 PJ.</t>
  </si>
  <si>
    <t>Viele Grüße</t>
  </si>
  <si>
    <t>Uli</t>
  </si>
  <si>
    <t>Energie-/prozessbedingt</t>
  </si>
  <si>
    <t>Uli pfad für DEU</t>
  </si>
  <si>
    <t>E4</t>
  </si>
  <si>
    <t>Starke Europa - 95% reduktion</t>
  </si>
  <si>
    <t>95% reduciton compared to 1990</t>
  </si>
  <si>
    <t>Regional Push</t>
  </si>
  <si>
    <t>Own Calculations</t>
  </si>
  <si>
    <t>Schwacher Europa- EU Referenz THG</t>
  </si>
  <si>
    <t>EU Referenz</t>
  </si>
  <si>
    <t>ETS-Cluster 90% cap</t>
  </si>
  <si>
    <t>ETS-Cluster 95% cap</t>
  </si>
  <si>
    <t>Cluster Union - ETS tighter cap: 90% reduction</t>
  </si>
  <si>
    <t>Cluster Union - ETS tighter cap: 95% reduction</t>
  </si>
  <si>
    <t>90% reduction CO2 emission compared to 1990 in ETS sectors</t>
  </si>
  <si>
    <t>95% reduction CO2 emission compared to 1990 in ETS sectors</t>
  </si>
  <si>
    <t>90% reduction of emissions by 2050 in comparison to 1990</t>
  </si>
  <si>
    <t>95% reduction of emissions by 2050 in comparison to 1990</t>
  </si>
  <si>
    <t>EU28(GHG)</t>
  </si>
  <si>
    <t>Transport</t>
  </si>
  <si>
    <t>residential</t>
  </si>
  <si>
    <t>Commerce</t>
  </si>
  <si>
    <t>Sector</t>
  </si>
  <si>
    <t>Local solution TIMES Targets</t>
  </si>
  <si>
    <t>New target (just assuming a lower trend, as in figure)</t>
  </si>
  <si>
    <t>NEWAGE Reference Emission Values for Industry in the EU28</t>
  </si>
  <si>
    <t>TIMES Emissions for Industry in Base Pathway</t>
  </si>
  <si>
    <t>Relative development</t>
  </si>
  <si>
    <t>CO2 Path for NEWAGE</t>
  </si>
  <si>
    <t>commerce</t>
  </si>
  <si>
    <t>Paris Agreement</t>
  </si>
  <si>
    <t>PA</t>
  </si>
  <si>
    <t>95% reduction of emissions by 2050 in comparison to 1990 - Negative emissions from TIMES</t>
  </si>
  <si>
    <t>TIMES-panEU neg emissions</t>
  </si>
  <si>
    <t>Reference Scenario</t>
  </si>
  <si>
    <t>Source: POTEnCIA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</si>
</sst>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0.0"/>
    <numFmt numFmtId="165" formatCode="0.000"/>
    <numFmt numFmtId="166" formatCode="0.0%"/>
    <numFmt numFmtId="167" formatCode="#,##0.000"/>
    <numFmt numFmtId="168" formatCode="#,##0.0000"/>
    <numFmt numFmtId="169" formatCode="0.000%"/>
    <numFmt numFmtId="170" formatCode="_-* #,##0\ _€_-;\-* #,##0\ _€_-;_-* &quot;-&quot;??\ _€_-;_-@_-"/>
    <numFmt numFmtId="171" formatCode="_-* #,##0.0000\ _€_-;\-* #,##0.0000\ _€_-;_-* &quot;-&quot;??\ _€_-;_-@_-"/>
    <numFmt numFmtId="172" formatCode="_-* #,##0.00_-;\-* #,##0.00_-;_-* &quot;-&quot;??_-;_-@_-"/>
    <numFmt numFmtId="173" formatCode="_-* #,##0.00\ _F_-;\-* #,##0.00\ _F_-;_-* &quot;-&quot;??\ _F_-;_-@_-"/>
  </numFmts>
  <fonts count="9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sz val="11"/>
      <color theme="5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i/>
      <sz val="11"/>
      <color rgb="FF3F3F3F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u/>
      <sz val="11"/>
      <color rgb="FFC00000"/>
      <name val="Calibri"/>
      <family val="2"/>
      <scheme val="minor"/>
    </font>
    <font>
      <sz val="10"/>
      <color theme="1"/>
      <name val="Arial"/>
      <family val="2"/>
    </font>
    <font>
      <sz val="10"/>
      <color rgb="FF323232"/>
      <name val="Arial"/>
      <family val="2"/>
    </font>
    <font>
      <sz val="8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u/>
      <sz val="11"/>
      <color theme="0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0"/>
      <color theme="1"/>
      <name val="Arial"/>
      <family val="2"/>
    </font>
    <font>
      <sz val="11"/>
      <color rgb="FF00B05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name val="Times New Roman"/>
      <family val="1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Calibri"/>
      <family val="2"/>
    </font>
    <font>
      <b/>
      <sz val="10"/>
      <name val="Arial"/>
      <family val="2"/>
    </font>
    <font>
      <u/>
      <sz val="10"/>
      <color indexed="12"/>
      <name val="Times New Roman"/>
      <family val="1"/>
    </font>
    <font>
      <sz val="11"/>
      <color indexed="8"/>
      <name val="Calibri"/>
      <family val="2"/>
      <charset val="186"/>
    </font>
    <font>
      <sz val="11"/>
      <color indexed="9"/>
      <name val="Calibri"/>
      <family val="2"/>
    </font>
    <font>
      <sz val="11"/>
      <color indexed="9"/>
      <name val="Calibri"/>
      <family val="2"/>
      <charset val="186"/>
    </font>
    <font>
      <b/>
      <sz val="11"/>
      <color indexed="63"/>
      <name val="Calibri"/>
      <family val="2"/>
    </font>
    <font>
      <sz val="11"/>
      <color indexed="20"/>
      <name val="Calibri"/>
      <family val="2"/>
      <charset val="186"/>
    </font>
    <font>
      <b/>
      <sz val="11"/>
      <color indexed="52"/>
      <name val="Calibri"/>
      <family val="2"/>
    </font>
    <font>
      <b/>
      <sz val="11"/>
      <color indexed="52"/>
      <name val="Calibri"/>
      <family val="2"/>
      <charset val="186"/>
    </font>
    <font>
      <b/>
      <sz val="11"/>
      <color indexed="9"/>
      <name val="Calibri"/>
      <family val="2"/>
      <charset val="186"/>
    </font>
    <font>
      <sz val="8"/>
      <name val="Helvetica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1"/>
      <color indexed="23"/>
      <name val="Calibri"/>
      <family val="2"/>
      <charset val="186"/>
    </font>
    <font>
      <sz val="11"/>
      <color indexed="17"/>
      <name val="Calibri"/>
      <family val="2"/>
      <charset val="186"/>
    </font>
    <font>
      <sz val="11"/>
      <color indexed="17"/>
      <name val="Calibri"/>
      <family val="2"/>
    </font>
    <font>
      <b/>
      <sz val="15"/>
      <color indexed="56"/>
      <name val="Calibri"/>
      <family val="2"/>
      <charset val="186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  <charset val="186"/>
    </font>
    <font>
      <sz val="11"/>
      <color indexed="62"/>
      <name val="Calibri"/>
      <family val="2"/>
      <charset val="186"/>
    </font>
    <font>
      <sz val="11"/>
      <color indexed="52"/>
      <name val="Calibri"/>
      <family val="2"/>
      <charset val="186"/>
    </font>
    <font>
      <sz val="11"/>
      <color indexed="60"/>
      <name val="Calibri"/>
      <family val="2"/>
      <charset val="186"/>
    </font>
    <font>
      <sz val="10"/>
      <name val="Arial"/>
      <family val="2"/>
      <charset val="186"/>
    </font>
    <font>
      <b/>
      <sz val="11"/>
      <color indexed="63"/>
      <name val="Calibri"/>
      <family val="2"/>
      <charset val="186"/>
    </font>
    <font>
      <sz val="11"/>
      <color indexed="20"/>
      <name val="Calibri"/>
      <family val="2"/>
    </font>
    <font>
      <b/>
      <sz val="18"/>
      <color indexed="56"/>
      <name val="Cambria"/>
      <family val="2"/>
      <charset val="186"/>
    </font>
    <font>
      <b/>
      <sz val="11"/>
      <color indexed="8"/>
      <name val="Calibri"/>
      <family val="2"/>
      <charset val="186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  <charset val="186"/>
    </font>
    <font>
      <b/>
      <sz val="11"/>
      <color indexed="9"/>
      <name val="Calibri"/>
      <family val="2"/>
    </font>
    <font>
      <u/>
      <sz val="10"/>
      <color indexed="12"/>
      <name val="Times New Roman"/>
      <family val="1"/>
      <charset val="186"/>
    </font>
    <font>
      <sz val="10"/>
      <name val="Arial"/>
      <family val="2"/>
      <charset val="204"/>
    </font>
    <font>
      <b/>
      <sz val="11"/>
      <color indexed="12"/>
      <name val="Arial"/>
      <family val="2"/>
      <charset val="204"/>
    </font>
    <font>
      <sz val="8"/>
      <name val="Helvetica"/>
      <family val="2"/>
    </font>
  </fonts>
  <fills count="7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A6E6B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Trellis"/>
    </fill>
  </fills>
  <borders count="7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Dashed">
        <color auto="1"/>
      </left>
      <right/>
      <top style="medium">
        <color auto="1"/>
      </top>
      <bottom/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/>
      <top/>
      <bottom style="medium">
        <color auto="1"/>
      </bottom>
      <diagonal/>
    </border>
    <border>
      <left style="mediumDashed">
        <color auto="1"/>
      </left>
      <right style="mediumDashed">
        <color auto="1"/>
      </right>
      <top style="medium">
        <color auto="1"/>
      </top>
      <bottom/>
      <diagonal/>
    </border>
    <border>
      <left style="mediumDashed">
        <color auto="1"/>
      </left>
      <right style="medium">
        <color auto="1"/>
      </right>
      <top/>
      <bottom/>
      <diagonal/>
    </border>
    <border>
      <left style="mediumDashed">
        <color auto="1"/>
      </left>
      <right style="medium">
        <color auto="1"/>
      </right>
      <top/>
      <bottom style="medium">
        <color auto="1"/>
      </bottom>
      <diagonal/>
    </border>
    <border>
      <left style="mediumDashed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97">
    <xf numFmtId="0" fontId="0" fillId="0" borderId="0"/>
    <xf numFmtId="9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7" fillId="0" borderId="0"/>
    <xf numFmtId="0" fontId="51" fillId="0" borderId="0" applyNumberFormat="0" applyFill="0" applyBorder="0" applyProtection="0">
      <alignment horizontal="left" vertical="center"/>
    </xf>
    <xf numFmtId="0" fontId="48" fillId="30" borderId="47" applyNumberFormat="0" applyAlignment="0" applyProtection="0"/>
    <xf numFmtId="0" fontId="52" fillId="0" borderId="0" applyNumberFormat="0" applyFill="0" applyBorder="0" applyAlignment="0" applyProtection="0"/>
    <xf numFmtId="0" fontId="53" fillId="0" borderId="0" applyNumberFormat="0">
      <alignment horizontal="right"/>
    </xf>
    <xf numFmtId="0" fontId="54" fillId="0" borderId="0"/>
    <xf numFmtId="0" fontId="55" fillId="50" borderId="0" applyBorder="0">
      <alignment horizontal="right" vertical="center"/>
    </xf>
    <xf numFmtId="0" fontId="55" fillId="50" borderId="51">
      <alignment horizontal="right" vertical="center"/>
    </xf>
    <xf numFmtId="0" fontId="54" fillId="0" borderId="0" applyNumberFormat="0" applyFont="0" applyFill="0" applyBorder="0" applyProtection="0">
      <alignment horizontal="left" vertical="center" indent="2"/>
    </xf>
    <xf numFmtId="0" fontId="55" fillId="50" borderId="0" applyBorder="0">
      <alignment horizontal="right" vertical="center"/>
    </xf>
    <xf numFmtId="0" fontId="55" fillId="0" borderId="0" applyBorder="0">
      <alignment horizontal="right" vertical="center"/>
    </xf>
    <xf numFmtId="0" fontId="54" fillId="51" borderId="0" applyNumberFormat="0" applyFont="0" applyBorder="0" applyAlignment="0" applyProtection="0"/>
    <xf numFmtId="0" fontId="54" fillId="0" borderId="0" applyNumberFormat="0" applyFont="0" applyFill="0" applyBorder="0" applyProtection="0">
      <alignment horizontal="left" vertical="center" indent="5"/>
    </xf>
    <xf numFmtId="0" fontId="55" fillId="0" borderId="50" applyNumberFormat="0" applyFill="0" applyAlignment="0" applyProtection="0"/>
    <xf numFmtId="0" fontId="53" fillId="0" borderId="55">
      <alignment horizontal="left" vertical="top" wrapText="1"/>
    </xf>
    <xf numFmtId="0" fontId="53" fillId="52" borderId="50">
      <alignment horizontal="right" vertical="center"/>
    </xf>
    <xf numFmtId="0" fontId="53" fillId="52" borderId="50">
      <alignment horizontal="right" vertical="center"/>
    </xf>
    <xf numFmtId="0" fontId="55" fillId="0" borderId="56">
      <alignment horizontal="left" vertical="center" wrapText="1" indent="2"/>
    </xf>
    <xf numFmtId="0" fontId="53" fillId="52" borderId="42">
      <alignment horizontal="right" vertical="center"/>
    </xf>
    <xf numFmtId="0" fontId="55" fillId="0" borderId="50">
      <alignment horizontal="right" vertical="center"/>
    </xf>
    <xf numFmtId="0" fontId="54" fillId="0" borderId="7"/>
    <xf numFmtId="0" fontId="57" fillId="50" borderId="50">
      <alignment horizontal="right" vertical="center"/>
    </xf>
    <xf numFmtId="0" fontId="55" fillId="51" borderId="50"/>
    <xf numFmtId="0" fontId="53" fillId="50" borderId="50">
      <alignment horizontal="right" vertical="center"/>
    </xf>
    <xf numFmtId="0" fontId="53" fillId="50" borderId="52">
      <alignment horizontal="right" vertical="center"/>
    </xf>
    <xf numFmtId="0" fontId="55" fillId="0" borderId="52">
      <alignment horizontal="right" vertical="center"/>
    </xf>
    <xf numFmtId="4" fontId="54" fillId="0" borderId="0"/>
    <xf numFmtId="0" fontId="53" fillId="52" borderId="54">
      <alignment horizontal="right" vertical="center"/>
    </xf>
    <xf numFmtId="0" fontId="53" fillId="52" borderId="52">
      <alignment horizontal="right" vertical="center"/>
    </xf>
    <xf numFmtId="0" fontId="53" fillId="52" borderId="53">
      <alignment horizontal="right" vertical="center"/>
    </xf>
    <xf numFmtId="4" fontId="53" fillId="52" borderId="42">
      <alignment horizontal="right" vertical="center"/>
    </xf>
    <xf numFmtId="0" fontId="55" fillId="0" borderId="0"/>
    <xf numFmtId="0" fontId="55" fillId="55" borderId="50">
      <alignment horizontal="right" vertical="center"/>
    </xf>
    <xf numFmtId="0" fontId="55" fillId="55" borderId="0" applyBorder="0">
      <alignment horizontal="right" vertical="center"/>
    </xf>
    <xf numFmtId="0" fontId="54" fillId="0" borderId="0"/>
    <xf numFmtId="0" fontId="54" fillId="54" borderId="50"/>
    <xf numFmtId="4" fontId="54" fillId="0" borderId="0"/>
    <xf numFmtId="4" fontId="55" fillId="0" borderId="50" applyFill="0" applyBorder="0" applyProtection="0">
      <alignment horizontal="right" vertical="center"/>
    </xf>
    <xf numFmtId="0" fontId="60" fillId="0" borderId="0" applyNumberFormat="0" applyFill="0" applyBorder="0" applyAlignment="0" applyProtection="0"/>
    <xf numFmtId="0" fontId="55" fillId="0" borderId="0"/>
    <xf numFmtId="4" fontId="54" fillId="0" borderId="0"/>
    <xf numFmtId="4" fontId="54" fillId="0" borderId="0"/>
    <xf numFmtId="0" fontId="3" fillId="0" borderId="0"/>
    <xf numFmtId="0" fontId="55" fillId="51" borderId="50"/>
    <xf numFmtId="0" fontId="53" fillId="52" borderId="42">
      <alignment horizontal="right" vertical="center"/>
    </xf>
    <xf numFmtId="0" fontId="22" fillId="31" borderId="48" applyNumberFormat="0" applyAlignment="0" applyProtection="0"/>
    <xf numFmtId="0" fontId="49" fillId="31" borderId="47" applyNumberFormat="0" applyAlignment="0" applyProtection="0"/>
    <xf numFmtId="0" fontId="18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0" borderId="49" applyNumberFormat="0" applyFill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4" fillId="37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4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2" borderId="0" applyNumberFormat="0" applyBorder="0" applyAlignment="0" applyProtection="0"/>
    <xf numFmtId="0" fontId="4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4" fillId="46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4" fillId="49" borderId="0" applyNumberFormat="0" applyBorder="0" applyAlignment="0" applyProtection="0"/>
    <xf numFmtId="0" fontId="55" fillId="0" borderId="50" applyNumberFormat="0" applyFill="0" applyAlignment="0" applyProtection="0"/>
    <xf numFmtId="0" fontId="53" fillId="52" borderId="50">
      <alignment horizontal="right" vertical="center"/>
    </xf>
    <xf numFmtId="0" fontId="53" fillId="52" borderId="50">
      <alignment horizontal="right" vertical="center"/>
    </xf>
    <xf numFmtId="0" fontId="55" fillId="0" borderId="56">
      <alignment horizontal="left" vertical="center" wrapText="1" indent="2"/>
    </xf>
    <xf numFmtId="0" fontId="53" fillId="52" borderId="42">
      <alignment horizontal="right" vertical="center"/>
    </xf>
    <xf numFmtId="0" fontId="55" fillId="0" borderId="50">
      <alignment horizontal="right" vertical="center"/>
    </xf>
    <xf numFmtId="0" fontId="57" fillId="50" borderId="50">
      <alignment horizontal="right" vertical="center"/>
    </xf>
    <xf numFmtId="0" fontId="55" fillId="51" borderId="50"/>
    <xf numFmtId="0" fontId="53" fillId="50" borderId="50">
      <alignment horizontal="right" vertical="center"/>
    </xf>
    <xf numFmtId="0" fontId="53" fillId="52" borderId="53">
      <alignment horizontal="right" vertical="center"/>
    </xf>
    <xf numFmtId="0" fontId="59" fillId="0" borderId="0" applyNumberFormat="0" applyFill="0" applyBorder="0" applyAlignment="0" applyProtection="0"/>
    <xf numFmtId="0" fontId="61" fillId="56" borderId="0" applyNumberFormat="0" applyBorder="0" applyAlignment="0" applyProtection="0"/>
    <xf numFmtId="0" fontId="61" fillId="57" borderId="0" applyNumberFormat="0" applyBorder="0" applyAlignment="0" applyProtection="0"/>
    <xf numFmtId="0" fontId="61" fillId="58" borderId="0" applyNumberFormat="0" applyBorder="0" applyAlignment="0" applyProtection="0"/>
    <xf numFmtId="0" fontId="61" fillId="59" borderId="0" applyNumberFormat="0" applyBorder="0" applyAlignment="0" applyProtection="0"/>
    <xf numFmtId="0" fontId="61" fillId="60" borderId="0" applyNumberFormat="0" applyBorder="0" applyAlignment="0" applyProtection="0"/>
    <xf numFmtId="0" fontId="61" fillId="61" borderId="0" applyNumberFormat="0" applyBorder="0" applyAlignment="0" applyProtection="0"/>
    <xf numFmtId="0" fontId="54" fillId="0" borderId="0" applyNumberFormat="0" applyFont="0" applyFill="0" applyBorder="0" applyProtection="0">
      <alignment horizontal="left" vertical="center" indent="2"/>
    </xf>
    <xf numFmtId="0" fontId="54" fillId="0" borderId="0" applyNumberFormat="0" applyFont="0" applyFill="0" applyBorder="0" applyProtection="0">
      <alignment horizontal="left" vertical="center" indent="2"/>
    </xf>
    <xf numFmtId="49" fontId="55" fillId="0" borderId="50" applyNumberFormat="0" applyFont="0" applyFill="0" applyBorder="0" applyProtection="0">
      <alignment horizontal="left" vertical="center" indent="2"/>
    </xf>
    <xf numFmtId="0" fontId="61" fillId="62" borderId="0" applyNumberFormat="0" applyBorder="0" applyAlignment="0" applyProtection="0"/>
    <xf numFmtId="0" fontId="61" fillId="63" borderId="0" applyNumberFormat="0" applyBorder="0" applyAlignment="0" applyProtection="0"/>
    <xf numFmtId="0" fontId="61" fillId="64" borderId="0" applyNumberFormat="0" applyBorder="0" applyAlignment="0" applyProtection="0"/>
    <xf numFmtId="0" fontId="61" fillId="59" borderId="0" applyNumberFormat="0" applyBorder="0" applyAlignment="0" applyProtection="0"/>
    <xf numFmtId="0" fontId="61" fillId="62" borderId="0" applyNumberFormat="0" applyBorder="0" applyAlignment="0" applyProtection="0"/>
    <xf numFmtId="0" fontId="61" fillId="65" borderId="0" applyNumberFormat="0" applyBorder="0" applyAlignment="0" applyProtection="0"/>
    <xf numFmtId="0" fontId="54" fillId="0" borderId="0" applyNumberFormat="0" applyFont="0" applyFill="0" applyBorder="0" applyProtection="0">
      <alignment horizontal="left" vertical="center" indent="5"/>
    </xf>
    <xf numFmtId="0" fontId="54" fillId="0" borderId="0" applyNumberFormat="0" applyFont="0" applyFill="0" applyBorder="0" applyProtection="0">
      <alignment horizontal="left" vertical="center" indent="5"/>
    </xf>
    <xf numFmtId="49" fontId="55" fillId="0" borderId="53" applyNumberFormat="0" applyFont="0" applyFill="0" applyBorder="0" applyProtection="0">
      <alignment horizontal="left" vertical="center" indent="5"/>
    </xf>
    <xf numFmtId="0" fontId="63" fillId="66" borderId="0" applyNumberFormat="0" applyBorder="0" applyAlignment="0" applyProtection="0"/>
    <xf numFmtId="0" fontId="63" fillId="63" borderId="0" applyNumberFormat="0" applyBorder="0" applyAlignment="0" applyProtection="0"/>
    <xf numFmtId="0" fontId="63" fillId="64" borderId="0" applyNumberFormat="0" applyBorder="0" applyAlignment="0" applyProtection="0"/>
    <xf numFmtId="0" fontId="63" fillId="67" borderId="0" applyNumberFormat="0" applyBorder="0" applyAlignment="0" applyProtection="0"/>
    <xf numFmtId="0" fontId="63" fillId="68" borderId="0" applyNumberFormat="0" applyBorder="0" applyAlignment="0" applyProtection="0"/>
    <xf numFmtId="0" fontId="63" fillId="69" borderId="0" applyNumberFormat="0" applyBorder="0" applyAlignment="0" applyProtection="0"/>
    <xf numFmtId="0" fontId="63" fillId="70" borderId="0" applyNumberFormat="0" applyBorder="0" applyAlignment="0" applyProtection="0"/>
    <xf numFmtId="0" fontId="63" fillId="71" borderId="0" applyNumberFormat="0" applyBorder="0" applyAlignment="0" applyProtection="0"/>
    <xf numFmtId="0" fontId="63" fillId="72" borderId="0" applyNumberFormat="0" applyBorder="0" applyAlignment="0" applyProtection="0"/>
    <xf numFmtId="0" fontId="63" fillId="67" borderId="0" applyNumberFormat="0" applyBorder="0" applyAlignment="0" applyProtection="0"/>
    <xf numFmtId="0" fontId="63" fillId="68" borderId="0" applyNumberFormat="0" applyBorder="0" applyAlignment="0" applyProtection="0"/>
    <xf numFmtId="0" fontId="63" fillId="73" borderId="0" applyNumberFormat="0" applyBorder="0" applyAlignment="0" applyProtection="0"/>
    <xf numFmtId="0" fontId="51" fillId="55" borderId="0" applyBorder="0" applyAlignment="0"/>
    <xf numFmtId="4" fontId="51" fillId="55" borderId="0" applyBorder="0" applyAlignment="0"/>
    <xf numFmtId="4" fontId="55" fillId="55" borderId="0" applyBorder="0">
      <alignment horizontal="right" vertical="center"/>
    </xf>
    <xf numFmtId="4" fontId="55" fillId="50" borderId="0" applyBorder="0">
      <alignment horizontal="right" vertical="center"/>
    </xf>
    <xf numFmtId="4" fontId="55" fillId="50" borderId="0" applyBorder="0">
      <alignment horizontal="right" vertical="center"/>
    </xf>
    <xf numFmtId="4" fontId="53" fillId="50" borderId="50">
      <alignment horizontal="right" vertical="center"/>
    </xf>
    <xf numFmtId="4" fontId="57" fillId="50" borderId="50">
      <alignment horizontal="right" vertical="center"/>
    </xf>
    <xf numFmtId="4" fontId="53" fillId="52" borderId="50">
      <alignment horizontal="right" vertical="center"/>
    </xf>
    <xf numFmtId="4" fontId="53" fillId="52" borderId="50">
      <alignment horizontal="right" vertical="center"/>
    </xf>
    <xf numFmtId="4" fontId="53" fillId="52" borderId="53">
      <alignment horizontal="right" vertical="center"/>
    </xf>
    <xf numFmtId="4" fontId="53" fillId="52" borderId="42">
      <alignment horizontal="right" vertical="center"/>
    </xf>
    <xf numFmtId="0" fontId="62" fillId="70" borderId="0" applyNumberFormat="0" applyBorder="0" applyAlignment="0" applyProtection="0"/>
    <xf numFmtId="0" fontId="62" fillId="71" borderId="0" applyNumberFormat="0" applyBorder="0" applyAlignment="0" applyProtection="0"/>
    <xf numFmtId="0" fontId="62" fillId="72" borderId="0" applyNumberFormat="0" applyBorder="0" applyAlignment="0" applyProtection="0"/>
    <xf numFmtId="0" fontId="62" fillId="67" borderId="0" applyNumberFormat="0" applyBorder="0" applyAlignment="0" applyProtection="0"/>
    <xf numFmtId="0" fontId="62" fillId="68" borderId="0" applyNumberFormat="0" applyBorder="0" applyAlignment="0" applyProtection="0"/>
    <xf numFmtId="0" fontId="62" fillId="73" borderId="0" applyNumberFormat="0" applyBorder="0" applyAlignment="0" applyProtection="0"/>
    <xf numFmtId="0" fontId="65" fillId="57" borderId="0" applyNumberFormat="0" applyBorder="0" applyAlignment="0" applyProtection="0"/>
    <xf numFmtId="4" fontId="51" fillId="0" borderId="39" applyFill="0" applyBorder="0" applyProtection="0">
      <alignment horizontal="right" vertical="center"/>
    </xf>
    <xf numFmtId="0" fontId="67" fillId="74" borderId="58" applyNumberFormat="0" applyAlignment="0" applyProtection="0"/>
    <xf numFmtId="0" fontId="68" fillId="75" borderId="59" applyNumberFormat="0" applyAlignment="0" applyProtection="0"/>
    <xf numFmtId="172" fontId="58" fillId="0" borderId="0" applyFont="0" applyFill="0" applyBorder="0" applyAlignment="0" applyProtection="0"/>
    <xf numFmtId="173" fontId="69" fillId="0" borderId="0" applyFont="0" applyFill="0" applyBorder="0" applyAlignment="0" applyProtection="0"/>
    <xf numFmtId="172" fontId="58" fillId="0" borderId="0" applyFont="0" applyFill="0" applyBorder="0" applyAlignment="0" applyProtection="0"/>
    <xf numFmtId="0" fontId="55" fillId="52" borderId="56">
      <alignment horizontal="left" vertical="center" wrapText="1" indent="2"/>
    </xf>
    <xf numFmtId="0" fontId="55" fillId="50" borderId="53">
      <alignment horizontal="left" vertical="center"/>
    </xf>
    <xf numFmtId="0" fontId="73" fillId="0" borderId="0" applyNumberFormat="0" applyFill="0" applyBorder="0" applyAlignment="0" applyProtection="0"/>
    <xf numFmtId="0" fontId="74" fillId="58" borderId="0" applyNumberFormat="0" applyBorder="0" applyAlignment="0" applyProtection="0"/>
    <xf numFmtId="0" fontId="75" fillId="58" borderId="0" applyNumberFormat="0" applyBorder="0" applyAlignment="0" applyProtection="0"/>
    <xf numFmtId="0" fontId="76" fillId="0" borderId="61" applyNumberFormat="0" applyFill="0" applyAlignment="0" applyProtection="0"/>
    <xf numFmtId="0" fontId="77" fillId="0" borderId="62" applyNumberFormat="0" applyFill="0" applyAlignment="0" applyProtection="0"/>
    <xf numFmtId="0" fontId="78" fillId="0" borderId="63" applyNumberFormat="0" applyFill="0" applyAlignment="0" applyProtection="0"/>
    <xf numFmtId="0" fontId="78" fillId="0" borderId="0" applyNumberFormat="0" applyFill="0" applyBorder="0" applyAlignment="0" applyProtection="0"/>
    <xf numFmtId="0" fontId="79" fillId="61" borderId="58" applyNumberFormat="0" applyAlignment="0" applyProtection="0"/>
    <xf numFmtId="4" fontId="55" fillId="0" borderId="0" applyBorder="0">
      <alignment horizontal="right" vertical="center"/>
    </xf>
    <xf numFmtId="0" fontId="55" fillId="0" borderId="18">
      <alignment horizontal="right" vertical="center"/>
    </xf>
    <xf numFmtId="4" fontId="55" fillId="0" borderId="50">
      <alignment horizontal="right" vertical="center"/>
    </xf>
    <xf numFmtId="1" fontId="56" fillId="50" borderId="0" applyBorder="0">
      <alignment horizontal="right" vertical="center"/>
    </xf>
    <xf numFmtId="0" fontId="80" fillId="0" borderId="64" applyNumberFormat="0" applyFill="0" applyAlignment="0" applyProtection="0"/>
    <xf numFmtId="0" fontId="81" fillId="76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69" fillId="0" borderId="0"/>
    <xf numFmtId="4" fontId="82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3" fillId="0" borderId="0"/>
    <xf numFmtId="4" fontId="55" fillId="0" borderId="0" applyFill="0" applyBorder="0" applyProtection="0">
      <alignment horizontal="right" vertical="center"/>
    </xf>
    <xf numFmtId="4" fontId="55" fillId="0" borderId="0" applyFill="0" applyBorder="0" applyProtection="0">
      <alignment horizontal="right" vertical="center"/>
    </xf>
    <xf numFmtId="4" fontId="55" fillId="0" borderId="50" applyFill="0" applyBorder="0" applyProtection="0">
      <alignment horizontal="right" vertical="center"/>
    </xf>
    <xf numFmtId="0" fontId="51" fillId="0" borderId="0" applyNumberFormat="0" applyFill="0" applyBorder="0" applyProtection="0">
      <alignment horizontal="left" vertical="center"/>
    </xf>
    <xf numFmtId="49" fontId="51" fillId="0" borderId="50" applyNumberFormat="0" applyFill="0" applyBorder="0" applyProtection="0">
      <alignment horizontal="left" vertical="center"/>
    </xf>
    <xf numFmtId="0" fontId="54" fillId="51" borderId="0" applyNumberFormat="0" applyFont="0" applyBorder="0" applyAlignment="0" applyProtection="0"/>
    <xf numFmtId="4" fontId="54" fillId="51" borderId="0" applyNumberFormat="0" applyFont="0" applyBorder="0" applyAlignment="0" applyProtection="0"/>
    <xf numFmtId="4" fontId="54" fillId="51" borderId="0" applyNumberFormat="0" applyFont="0" applyBorder="0" applyAlignment="0" applyProtection="0"/>
    <xf numFmtId="0" fontId="54" fillId="51" borderId="0" applyNumberFormat="0" applyFont="0" applyBorder="0" applyAlignment="0" applyProtection="0"/>
    <xf numFmtId="0" fontId="54" fillId="51" borderId="0" applyNumberFormat="0" applyFont="0" applyBorder="0" applyAlignment="0" applyProtection="0"/>
    <xf numFmtId="0" fontId="69" fillId="53" borderId="0" applyNumberFormat="0" applyFont="0" applyBorder="0" applyAlignment="0" applyProtection="0"/>
    <xf numFmtId="0" fontId="61" fillId="77" borderId="65" applyNumberFormat="0" applyFont="0" applyAlignment="0" applyProtection="0"/>
    <xf numFmtId="0" fontId="54" fillId="77" borderId="65" applyNumberFormat="0" applyFont="0" applyAlignment="0" applyProtection="0"/>
    <xf numFmtId="0" fontId="83" fillId="74" borderId="57" applyNumberFormat="0" applyAlignment="0" applyProtection="0"/>
    <xf numFmtId="168" fontId="55" fillId="78" borderId="50" applyNumberFormat="0" applyFont="0" applyBorder="0" applyAlignment="0" applyProtection="0">
      <alignment horizontal="right" vertical="center"/>
    </xf>
    <xf numFmtId="9" fontId="69" fillId="0" borderId="0" applyFont="0" applyFill="0" applyBorder="0" applyAlignment="0" applyProtection="0"/>
    <xf numFmtId="0" fontId="84" fillId="57" borderId="0" applyNumberFormat="0" applyBorder="0" applyAlignment="0" applyProtection="0"/>
    <xf numFmtId="4" fontId="55" fillId="51" borderId="50"/>
    <xf numFmtId="0" fontId="55" fillId="51" borderId="52"/>
    <xf numFmtId="0" fontId="85" fillId="0" borderId="0" applyNumberFormat="0" applyFill="0" applyBorder="0" applyAlignment="0" applyProtection="0"/>
    <xf numFmtId="0" fontId="86" fillId="0" borderId="60" applyNumberFormat="0" applyFill="0" applyAlignment="0" applyProtection="0"/>
    <xf numFmtId="0" fontId="87" fillId="0" borderId="0" applyNumberFormat="0" applyFill="0" applyBorder="0" applyAlignment="0" applyProtection="0"/>
    <xf numFmtId="0" fontId="88" fillId="0" borderId="61" applyNumberFormat="0" applyFill="0" applyAlignment="0" applyProtection="0"/>
    <xf numFmtId="0" fontId="89" fillId="0" borderId="62" applyNumberFormat="0" applyFill="0" applyAlignment="0" applyProtection="0"/>
    <xf numFmtId="0" fontId="90" fillId="0" borderId="63" applyNumberFormat="0" applyFill="0" applyAlignment="0" applyProtection="0"/>
    <xf numFmtId="0" fontId="90" fillId="0" borderId="0" applyNumberFormat="0" applyFill="0" applyBorder="0" applyAlignment="0" applyProtection="0"/>
    <xf numFmtId="0" fontId="91" fillId="0" borderId="64" applyNumberFormat="0" applyFill="0" applyAlignment="0" applyProtection="0"/>
    <xf numFmtId="0" fontId="93" fillId="0" borderId="0" applyNumberFormat="0" applyFill="0" applyBorder="0" applyAlignment="0" applyProtection="0"/>
    <xf numFmtId="0" fontId="94" fillId="75" borderId="59" applyNumberFormat="0" applyAlignment="0" applyProtection="0"/>
    <xf numFmtId="0" fontId="60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54" fillId="0" borderId="0" applyNumberFormat="0" applyFont="0" applyFill="0" applyBorder="0" applyProtection="0">
      <alignment horizontal="left" vertical="center"/>
    </xf>
    <xf numFmtId="0" fontId="55" fillId="50" borderId="0" applyBorder="0">
      <alignment horizontal="right" vertical="center"/>
    </xf>
    <xf numFmtId="0" fontId="55" fillId="50" borderId="0" applyBorder="0">
      <alignment horizontal="right" vertical="center"/>
    </xf>
    <xf numFmtId="0" fontId="55" fillId="0" borderId="0" applyBorder="0">
      <alignment horizontal="right" vertical="center"/>
    </xf>
    <xf numFmtId="4" fontId="54" fillId="0" borderId="0"/>
    <xf numFmtId="0" fontId="96" fillId="0" borderId="0"/>
    <xf numFmtId="0" fontId="54" fillId="51" borderId="0" applyNumberFormat="0" applyFont="0" applyBorder="0" applyAlignment="0" applyProtection="0"/>
    <xf numFmtId="0" fontId="60" fillId="0" borderId="0" applyNumberFormat="0" applyFill="0" applyBorder="0" applyAlignment="0" applyProtection="0"/>
    <xf numFmtId="0" fontId="61" fillId="56" borderId="0" applyNumberFormat="0" applyBorder="0" applyAlignment="0" applyProtection="0"/>
    <xf numFmtId="0" fontId="61" fillId="57" borderId="0" applyNumberFormat="0" applyBorder="0" applyAlignment="0" applyProtection="0"/>
    <xf numFmtId="0" fontId="61" fillId="58" borderId="0" applyNumberFormat="0" applyBorder="0" applyAlignment="0" applyProtection="0"/>
    <xf numFmtId="0" fontId="61" fillId="59" borderId="0" applyNumberFormat="0" applyBorder="0" applyAlignment="0" applyProtection="0"/>
    <xf numFmtId="0" fontId="61" fillId="60" borderId="0" applyNumberFormat="0" applyBorder="0" applyAlignment="0" applyProtection="0"/>
    <xf numFmtId="0" fontId="61" fillId="61" borderId="0" applyNumberFormat="0" applyBorder="0" applyAlignment="0" applyProtection="0"/>
    <xf numFmtId="0" fontId="61" fillId="62" borderId="0" applyNumberFormat="0" applyBorder="0" applyAlignment="0" applyProtection="0"/>
    <xf numFmtId="0" fontId="61" fillId="63" borderId="0" applyNumberFormat="0" applyBorder="0" applyAlignment="0" applyProtection="0"/>
    <xf numFmtId="0" fontId="61" fillId="64" borderId="0" applyNumberFormat="0" applyBorder="0" applyAlignment="0" applyProtection="0"/>
    <xf numFmtId="0" fontId="61" fillId="59" borderId="0" applyNumberFormat="0" applyBorder="0" applyAlignment="0" applyProtection="0"/>
    <xf numFmtId="0" fontId="61" fillId="62" borderId="0" applyNumberFormat="0" applyBorder="0" applyAlignment="0" applyProtection="0"/>
    <xf numFmtId="0" fontId="61" fillId="65" borderId="0" applyNumberFormat="0" applyBorder="0" applyAlignment="0" applyProtection="0"/>
    <xf numFmtId="0" fontId="63" fillId="66" borderId="0" applyNumberFormat="0" applyBorder="0" applyAlignment="0" applyProtection="0"/>
    <xf numFmtId="0" fontId="63" fillId="63" borderId="0" applyNumberFormat="0" applyBorder="0" applyAlignment="0" applyProtection="0"/>
    <xf numFmtId="0" fontId="63" fillId="64" borderId="0" applyNumberFormat="0" applyBorder="0" applyAlignment="0" applyProtection="0"/>
    <xf numFmtId="0" fontId="63" fillId="67" borderId="0" applyNumberFormat="0" applyBorder="0" applyAlignment="0" applyProtection="0"/>
    <xf numFmtId="0" fontId="63" fillId="68" borderId="0" applyNumberFormat="0" applyBorder="0" applyAlignment="0" applyProtection="0"/>
    <xf numFmtId="0" fontId="63" fillId="69" borderId="0" applyNumberFormat="0" applyBorder="0" applyAlignment="0" applyProtection="0"/>
    <xf numFmtId="0" fontId="63" fillId="70" borderId="0" applyNumberFormat="0" applyBorder="0" applyAlignment="0" applyProtection="0"/>
    <xf numFmtId="0" fontId="63" fillId="71" borderId="0" applyNumberFormat="0" applyBorder="0" applyAlignment="0" applyProtection="0"/>
    <xf numFmtId="0" fontId="63" fillId="72" borderId="0" applyNumberFormat="0" applyBorder="0" applyAlignment="0" applyProtection="0"/>
    <xf numFmtId="0" fontId="63" fillId="67" borderId="0" applyNumberFormat="0" applyBorder="0" applyAlignment="0" applyProtection="0"/>
    <xf numFmtId="0" fontId="63" fillId="68" borderId="0" applyNumberFormat="0" applyBorder="0" applyAlignment="0" applyProtection="0"/>
    <xf numFmtId="0" fontId="63" fillId="73" borderId="0" applyNumberFormat="0" applyBorder="0" applyAlignment="0" applyProtection="0"/>
    <xf numFmtId="0" fontId="65" fillId="57" borderId="0" applyNumberFormat="0" applyBorder="0" applyAlignment="0" applyProtection="0"/>
    <xf numFmtId="0" fontId="67" fillId="74" borderId="58" applyNumberFormat="0" applyAlignment="0" applyProtection="0"/>
    <xf numFmtId="0" fontId="68" fillId="75" borderId="59" applyNumberFormat="0" applyAlignment="0" applyProtection="0"/>
    <xf numFmtId="0" fontId="73" fillId="0" borderId="0" applyNumberFormat="0" applyFill="0" applyBorder="0" applyAlignment="0" applyProtection="0"/>
    <xf numFmtId="0" fontId="74" fillId="58" borderId="0" applyNumberFormat="0" applyBorder="0" applyAlignment="0" applyProtection="0"/>
    <xf numFmtId="0" fontId="76" fillId="0" borderId="61" applyNumberFormat="0" applyFill="0" applyAlignment="0" applyProtection="0"/>
    <xf numFmtId="0" fontId="77" fillId="0" borderId="62" applyNumberFormat="0" applyFill="0" applyAlignment="0" applyProtection="0"/>
    <xf numFmtId="0" fontId="78" fillId="0" borderId="63" applyNumberFormat="0" applyFill="0" applyAlignment="0" applyProtection="0"/>
    <xf numFmtId="0" fontId="78" fillId="0" borderId="0" applyNumberFormat="0" applyFill="0" applyBorder="0" applyAlignment="0" applyProtection="0"/>
    <xf numFmtId="0" fontId="79" fillId="61" borderId="58" applyNumberFormat="0" applyAlignment="0" applyProtection="0"/>
    <xf numFmtId="0" fontId="80" fillId="0" borderId="64" applyNumberFormat="0" applyFill="0" applyAlignment="0" applyProtection="0"/>
    <xf numFmtId="0" fontId="81" fillId="76" borderId="0" applyNumberFormat="0" applyBorder="0" applyAlignment="0" applyProtection="0"/>
    <xf numFmtId="0" fontId="54" fillId="0" borderId="0"/>
    <xf numFmtId="0" fontId="61" fillId="77" borderId="65" applyNumberFormat="0" applyFont="0" applyAlignment="0" applyProtection="0"/>
    <xf numFmtId="0" fontId="83" fillId="74" borderId="57" applyNumberFormat="0" applyAlignment="0" applyProtection="0"/>
    <xf numFmtId="0" fontId="85" fillId="0" borderId="0" applyNumberFormat="0" applyFill="0" applyBorder="0" applyAlignment="0" applyProtection="0"/>
    <xf numFmtId="0" fontId="86" fillId="0" borderId="60" applyNumberFormat="0" applyFill="0" applyAlignment="0" applyProtection="0"/>
    <xf numFmtId="0" fontId="93" fillId="0" borderId="0" applyNumberFormat="0" applyFill="0" applyBorder="0" applyAlignment="0" applyProtection="0"/>
    <xf numFmtId="0" fontId="97" fillId="0" borderId="0">
      <alignment horizontal="left" vertical="center" indent="1"/>
    </xf>
    <xf numFmtId="0" fontId="61" fillId="56" borderId="0" applyNumberFormat="0" applyBorder="0" applyAlignment="0" applyProtection="0"/>
    <xf numFmtId="0" fontId="61" fillId="57" borderId="0" applyNumberFormat="0" applyBorder="0" applyAlignment="0" applyProtection="0"/>
    <xf numFmtId="0" fontId="61" fillId="58" borderId="0" applyNumberFormat="0" applyBorder="0" applyAlignment="0" applyProtection="0"/>
    <xf numFmtId="0" fontId="61" fillId="59" borderId="0" applyNumberFormat="0" applyBorder="0" applyAlignment="0" applyProtection="0"/>
    <xf numFmtId="0" fontId="61" fillId="60" borderId="0" applyNumberFormat="0" applyBorder="0" applyAlignment="0" applyProtection="0"/>
    <xf numFmtId="0" fontId="61" fillId="61" borderId="0" applyNumberFormat="0" applyBorder="0" applyAlignment="0" applyProtection="0"/>
    <xf numFmtId="0" fontId="61" fillId="62" borderId="0" applyNumberFormat="0" applyBorder="0" applyAlignment="0" applyProtection="0"/>
    <xf numFmtId="0" fontId="61" fillId="63" borderId="0" applyNumberFormat="0" applyBorder="0" applyAlignment="0" applyProtection="0"/>
    <xf numFmtId="0" fontId="61" fillId="64" borderId="0" applyNumberFormat="0" applyBorder="0" applyAlignment="0" applyProtection="0"/>
    <xf numFmtId="0" fontId="61" fillId="59" borderId="0" applyNumberFormat="0" applyBorder="0" applyAlignment="0" applyProtection="0"/>
    <xf numFmtId="0" fontId="61" fillId="62" borderId="0" applyNumberFormat="0" applyBorder="0" applyAlignment="0" applyProtection="0"/>
    <xf numFmtId="0" fontId="61" fillId="65" borderId="0" applyNumberFormat="0" applyBorder="0" applyAlignment="0" applyProtection="0"/>
    <xf numFmtId="0" fontId="63" fillId="66" borderId="0" applyNumberFormat="0" applyBorder="0" applyAlignment="0" applyProtection="0"/>
    <xf numFmtId="0" fontId="63" fillId="63" borderId="0" applyNumberFormat="0" applyBorder="0" applyAlignment="0" applyProtection="0"/>
    <xf numFmtId="0" fontId="63" fillId="64" borderId="0" applyNumberFormat="0" applyBorder="0" applyAlignment="0" applyProtection="0"/>
    <xf numFmtId="0" fontId="63" fillId="67" borderId="0" applyNumberFormat="0" applyBorder="0" applyAlignment="0" applyProtection="0"/>
    <xf numFmtId="0" fontId="63" fillId="68" borderId="0" applyNumberFormat="0" applyBorder="0" applyAlignment="0" applyProtection="0"/>
    <xf numFmtId="0" fontId="63" fillId="69" borderId="0" applyNumberFormat="0" applyBorder="0" applyAlignment="0" applyProtection="0"/>
    <xf numFmtId="0" fontId="53" fillId="50" borderId="66">
      <alignment horizontal="right" vertical="center"/>
    </xf>
    <xf numFmtId="4" fontId="53" fillId="50" borderId="66">
      <alignment horizontal="right" vertical="center"/>
    </xf>
    <xf numFmtId="0" fontId="57" fillId="50" borderId="66">
      <alignment horizontal="right" vertical="center"/>
    </xf>
    <xf numFmtId="4" fontId="57" fillId="50" borderId="66">
      <alignment horizontal="right" vertical="center"/>
    </xf>
    <xf numFmtId="0" fontId="53" fillId="52" borderId="66">
      <alignment horizontal="right" vertical="center"/>
    </xf>
    <xf numFmtId="4" fontId="53" fillId="52" borderId="66">
      <alignment horizontal="right" vertical="center"/>
    </xf>
    <xf numFmtId="0" fontId="53" fillId="52" borderId="66">
      <alignment horizontal="right" vertical="center"/>
    </xf>
    <xf numFmtId="4" fontId="53" fillId="52" borderId="66">
      <alignment horizontal="right" vertical="center"/>
    </xf>
    <xf numFmtId="0" fontId="53" fillId="52" borderId="67">
      <alignment horizontal="right" vertical="center"/>
    </xf>
    <xf numFmtId="4" fontId="53" fillId="52" borderId="67">
      <alignment horizontal="right" vertical="center"/>
    </xf>
    <xf numFmtId="0" fontId="53" fillId="52" borderId="68">
      <alignment horizontal="right" vertical="center"/>
    </xf>
    <xf numFmtId="4" fontId="53" fillId="52" borderId="68">
      <alignment horizontal="right" vertical="center"/>
    </xf>
    <xf numFmtId="0" fontId="67" fillId="74" borderId="58" applyNumberFormat="0" applyAlignment="0" applyProtection="0"/>
    <xf numFmtId="0" fontId="55" fillId="52" borderId="69">
      <alignment horizontal="left" vertical="center" wrapText="1" indent="2"/>
    </xf>
    <xf numFmtId="0" fontId="55" fillId="0" borderId="69">
      <alignment horizontal="left" vertical="center" wrapText="1" indent="2"/>
    </xf>
    <xf numFmtId="0" fontId="55" fillId="50" borderId="67">
      <alignment horizontal="left" vertical="center"/>
    </xf>
    <xf numFmtId="0" fontId="73" fillId="0" borderId="0" applyNumberFormat="0" applyFill="0" applyBorder="0" applyAlignment="0" applyProtection="0"/>
    <xf numFmtId="0" fontId="79" fillId="61" borderId="58" applyNumberFormat="0" applyAlignment="0" applyProtection="0"/>
    <xf numFmtId="0" fontId="55" fillId="0" borderId="66">
      <alignment horizontal="right" vertical="center"/>
    </xf>
    <xf numFmtId="4" fontId="55" fillId="0" borderId="66">
      <alignment horizontal="right" vertical="center"/>
    </xf>
    <xf numFmtId="0" fontId="3" fillId="0" borderId="0"/>
    <xf numFmtId="0" fontId="55" fillId="0" borderId="66" applyNumberFormat="0" applyFill="0" applyAlignment="0" applyProtection="0"/>
    <xf numFmtId="0" fontId="83" fillId="74" borderId="57" applyNumberFormat="0" applyAlignment="0" applyProtection="0"/>
    <xf numFmtId="168" fontId="55" fillId="78" borderId="66" applyNumberFormat="0" applyFont="0" applyBorder="0" applyAlignment="0" applyProtection="0">
      <alignment horizontal="right" vertical="center"/>
    </xf>
    <xf numFmtId="0" fontId="55" fillId="51" borderId="66"/>
    <xf numFmtId="4" fontId="55" fillId="51" borderId="66"/>
    <xf numFmtId="0" fontId="86" fillId="0" borderId="60" applyNumberFormat="0" applyFill="0" applyAlignment="0" applyProtection="0"/>
    <xf numFmtId="0" fontId="9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8" fillId="30" borderId="47" applyNumberFormat="0" applyAlignment="0" applyProtection="0"/>
    <xf numFmtId="0" fontId="55" fillId="50" borderId="0" applyBorder="0">
      <alignment horizontal="right" vertical="center"/>
    </xf>
    <xf numFmtId="0" fontId="55" fillId="50" borderId="0" applyBorder="0">
      <alignment horizontal="right" vertical="center"/>
    </xf>
    <xf numFmtId="0" fontId="55" fillId="0" borderId="0" applyBorder="0">
      <alignment horizontal="right" vertical="center"/>
    </xf>
    <xf numFmtId="0" fontId="54" fillId="0" borderId="0"/>
    <xf numFmtId="49" fontId="55" fillId="0" borderId="66" applyNumberFormat="0" applyFont="0" applyFill="0" applyBorder="0" applyProtection="0">
      <alignment horizontal="left" vertical="center" indent="2"/>
    </xf>
    <xf numFmtId="49" fontId="55" fillId="0" borderId="67" applyNumberFormat="0" applyFont="0" applyFill="0" applyBorder="0" applyProtection="0">
      <alignment horizontal="left" vertical="center" indent="5"/>
    </xf>
    <xf numFmtId="0" fontId="62" fillId="70" borderId="0" applyNumberFormat="0" applyBorder="0" applyAlignment="0" applyProtection="0"/>
    <xf numFmtId="0" fontId="62" fillId="71" borderId="0" applyNumberFormat="0" applyBorder="0" applyAlignment="0" applyProtection="0"/>
    <xf numFmtId="0" fontId="62" fillId="72" borderId="0" applyNumberFormat="0" applyBorder="0" applyAlignment="0" applyProtection="0"/>
    <xf numFmtId="0" fontId="62" fillId="67" borderId="0" applyNumberFormat="0" applyBorder="0" applyAlignment="0" applyProtection="0"/>
    <xf numFmtId="0" fontId="62" fillId="68" borderId="0" applyNumberFormat="0" applyBorder="0" applyAlignment="0" applyProtection="0"/>
    <xf numFmtId="0" fontId="62" fillId="73" borderId="0" applyNumberFormat="0" applyBorder="0" applyAlignment="0" applyProtection="0"/>
    <xf numFmtId="0" fontId="75" fillId="58" borderId="0" applyNumberFormat="0" applyBorder="0" applyAlignment="0" applyProtection="0"/>
    <xf numFmtId="4" fontId="54" fillId="0" borderId="0"/>
    <xf numFmtId="0" fontId="54" fillId="0" borderId="0"/>
    <xf numFmtId="0" fontId="3" fillId="0" borderId="0"/>
    <xf numFmtId="4" fontId="55" fillId="0" borderId="66" applyFill="0" applyBorder="0" applyProtection="0">
      <alignment horizontal="right" vertical="center"/>
    </xf>
    <xf numFmtId="49" fontId="51" fillId="0" borderId="66" applyNumberFormat="0" applyFill="0" applyBorder="0" applyProtection="0">
      <alignment horizontal="left" vertical="center"/>
    </xf>
    <xf numFmtId="0" fontId="54" fillId="51" borderId="0" applyNumberFormat="0" applyFont="0" applyBorder="0" applyAlignment="0" applyProtection="0"/>
    <xf numFmtId="0" fontId="84" fillId="57" borderId="0" applyNumberFormat="0" applyBorder="0" applyAlignment="0" applyProtection="0"/>
    <xf numFmtId="0" fontId="88" fillId="0" borderId="61" applyNumberFormat="0" applyFill="0" applyAlignment="0" applyProtection="0"/>
    <xf numFmtId="0" fontId="89" fillId="0" borderId="62" applyNumberFormat="0" applyFill="0" applyAlignment="0" applyProtection="0"/>
    <xf numFmtId="0" fontId="90" fillId="0" borderId="63" applyNumberFormat="0" applyFill="0" applyAlignment="0" applyProtection="0"/>
    <xf numFmtId="0" fontId="90" fillId="0" borderId="0" applyNumberFormat="0" applyFill="0" applyBorder="0" applyAlignment="0" applyProtection="0"/>
    <xf numFmtId="0" fontId="91" fillId="0" borderId="64" applyNumberFormat="0" applyFill="0" applyAlignment="0" applyProtection="0"/>
    <xf numFmtId="0" fontId="94" fillId="75" borderId="59" applyNumberFormat="0" applyAlignment="0" applyProtection="0"/>
    <xf numFmtId="0" fontId="60" fillId="0" borderId="0" applyNumberFormat="0" applyFill="0" applyBorder="0" applyAlignment="0" applyProtection="0"/>
    <xf numFmtId="0" fontId="3" fillId="0" borderId="0"/>
    <xf numFmtId="0" fontId="48" fillId="30" borderId="47" applyNumberFormat="0" applyAlignment="0" applyProtection="0"/>
    <xf numFmtId="0" fontId="58" fillId="56" borderId="0" applyNumberFormat="0" applyBorder="0" applyAlignment="0" applyProtection="0"/>
    <xf numFmtId="0" fontId="58" fillId="57" borderId="0" applyNumberFormat="0" applyBorder="0" applyAlignment="0" applyProtection="0"/>
    <xf numFmtId="0" fontId="58" fillId="58" borderId="0" applyNumberFormat="0" applyBorder="0" applyAlignment="0" applyProtection="0"/>
    <xf numFmtId="0" fontId="58" fillId="59" borderId="0" applyNumberFormat="0" applyBorder="0" applyAlignment="0" applyProtection="0"/>
    <xf numFmtId="0" fontId="58" fillId="60" borderId="0" applyNumberFormat="0" applyBorder="0" applyAlignment="0" applyProtection="0"/>
    <xf numFmtId="0" fontId="58" fillId="61" borderId="0" applyNumberFormat="0" applyBorder="0" applyAlignment="0" applyProtection="0"/>
    <xf numFmtId="0" fontId="58" fillId="62" borderId="0" applyNumberFormat="0" applyBorder="0" applyAlignment="0" applyProtection="0"/>
    <xf numFmtId="0" fontId="58" fillId="63" borderId="0" applyNumberFormat="0" applyBorder="0" applyAlignment="0" applyProtection="0"/>
    <xf numFmtId="0" fontId="58" fillId="64" borderId="0" applyNumberFormat="0" applyBorder="0" applyAlignment="0" applyProtection="0"/>
    <xf numFmtId="0" fontId="58" fillId="59" borderId="0" applyNumberFormat="0" applyBorder="0" applyAlignment="0" applyProtection="0"/>
    <xf numFmtId="0" fontId="58" fillId="62" borderId="0" applyNumberFormat="0" applyBorder="0" applyAlignment="0" applyProtection="0"/>
    <xf numFmtId="0" fontId="58" fillId="65" borderId="0" applyNumberFormat="0" applyBorder="0" applyAlignment="0" applyProtection="0"/>
    <xf numFmtId="0" fontId="62" fillId="66" borderId="0" applyNumberFormat="0" applyBorder="0" applyAlignment="0" applyProtection="0"/>
    <xf numFmtId="0" fontId="62" fillId="63" borderId="0" applyNumberFormat="0" applyBorder="0" applyAlignment="0" applyProtection="0"/>
    <xf numFmtId="0" fontId="62" fillId="64" borderId="0" applyNumberFormat="0" applyBorder="0" applyAlignment="0" applyProtection="0"/>
    <xf numFmtId="0" fontId="62" fillId="67" borderId="0" applyNumberFormat="0" applyBorder="0" applyAlignment="0" applyProtection="0"/>
    <xf numFmtId="0" fontId="62" fillId="68" borderId="0" applyNumberFormat="0" applyBorder="0" applyAlignment="0" applyProtection="0"/>
    <xf numFmtId="0" fontId="62" fillId="69" borderId="0" applyNumberFormat="0" applyBorder="0" applyAlignment="0" applyProtection="0"/>
    <xf numFmtId="0" fontId="64" fillId="74" borderId="57" applyNumberFormat="0" applyAlignment="0" applyProtection="0"/>
    <xf numFmtId="0" fontId="66" fillId="74" borderId="58" applyNumberFormat="0" applyAlignment="0" applyProtection="0"/>
    <xf numFmtId="0" fontId="71" fillId="0" borderId="60" applyNumberFormat="0" applyFill="0" applyAlignment="0" applyProtection="0"/>
    <xf numFmtId="0" fontId="72" fillId="0" borderId="0" applyNumberFormat="0" applyFill="0" applyBorder="0" applyAlignment="0" applyProtection="0"/>
    <xf numFmtId="0" fontId="3" fillId="0" borderId="0"/>
    <xf numFmtId="0" fontId="92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49" fontId="55" fillId="0" borderId="50" applyNumberFormat="0" applyFont="0" applyFill="0" applyBorder="0" applyProtection="0">
      <alignment horizontal="left" vertical="center" indent="2"/>
    </xf>
    <xf numFmtId="49" fontId="55" fillId="0" borderId="53" applyNumberFormat="0" applyFont="0" applyFill="0" applyBorder="0" applyProtection="0">
      <alignment horizontal="left" vertical="center" indent="5"/>
    </xf>
    <xf numFmtId="0" fontId="53" fillId="50" borderId="50">
      <alignment horizontal="right" vertical="center"/>
    </xf>
    <xf numFmtId="4" fontId="53" fillId="50" borderId="50">
      <alignment horizontal="right" vertical="center"/>
    </xf>
    <xf numFmtId="0" fontId="57" fillId="50" borderId="50">
      <alignment horizontal="right" vertical="center"/>
    </xf>
    <xf numFmtId="4" fontId="57" fillId="50" borderId="50">
      <alignment horizontal="right" vertical="center"/>
    </xf>
    <xf numFmtId="0" fontId="53" fillId="52" borderId="50">
      <alignment horizontal="right" vertical="center"/>
    </xf>
    <xf numFmtId="4" fontId="53" fillId="52" borderId="50">
      <alignment horizontal="right" vertical="center"/>
    </xf>
    <xf numFmtId="0" fontId="53" fillId="52" borderId="50">
      <alignment horizontal="right" vertical="center"/>
    </xf>
    <xf numFmtId="4" fontId="53" fillId="52" borderId="50">
      <alignment horizontal="right" vertical="center"/>
    </xf>
    <xf numFmtId="0" fontId="53" fillId="52" borderId="53">
      <alignment horizontal="right" vertical="center"/>
    </xf>
    <xf numFmtId="4" fontId="53" fillId="52" borderId="53">
      <alignment horizontal="right" vertical="center"/>
    </xf>
    <xf numFmtId="0" fontId="53" fillId="52" borderId="42">
      <alignment horizontal="right" vertical="center"/>
    </xf>
    <xf numFmtId="4" fontId="53" fillId="52" borderId="42">
      <alignment horizontal="right" vertical="center"/>
    </xf>
    <xf numFmtId="173" fontId="98" fillId="0" borderId="0" applyFont="0" applyFill="0" applyBorder="0" applyAlignment="0" applyProtection="0"/>
    <xf numFmtId="0" fontId="55" fillId="52" borderId="56">
      <alignment horizontal="left" vertical="center" wrapText="1" indent="2"/>
    </xf>
    <xf numFmtId="0" fontId="55" fillId="0" borderId="56">
      <alignment horizontal="left" vertical="center" wrapText="1" indent="2"/>
    </xf>
    <xf numFmtId="0" fontId="55" fillId="50" borderId="53">
      <alignment horizontal="left" vertical="center"/>
    </xf>
    <xf numFmtId="0" fontId="70" fillId="61" borderId="58" applyNumberFormat="0" applyAlignment="0" applyProtection="0"/>
    <xf numFmtId="0" fontId="55" fillId="0" borderId="50">
      <alignment horizontal="right" vertical="center"/>
    </xf>
    <xf numFmtId="4" fontId="55" fillId="0" borderId="50">
      <alignment horizontal="right" vertical="center"/>
    </xf>
    <xf numFmtId="0" fontId="98" fillId="0" borderId="0"/>
    <xf numFmtId="0" fontId="96" fillId="0" borderId="0"/>
    <xf numFmtId="0" fontId="9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6" fillId="0" borderId="0"/>
    <xf numFmtId="0" fontId="54" fillId="0" borderId="0"/>
    <xf numFmtId="4" fontId="55" fillId="0" borderId="50" applyFill="0" applyBorder="0" applyProtection="0">
      <alignment horizontal="right" vertical="center"/>
    </xf>
    <xf numFmtId="49" fontId="51" fillId="0" borderId="50" applyNumberFormat="0" applyFill="0" applyBorder="0" applyProtection="0">
      <alignment horizontal="left" vertical="center"/>
    </xf>
    <xf numFmtId="0" fontId="55" fillId="0" borderId="50" applyNumberFormat="0" applyFill="0" applyAlignment="0" applyProtection="0"/>
    <xf numFmtId="0" fontId="98" fillId="53" borderId="0" applyNumberFormat="0" applyFont="0" applyBorder="0" applyAlignment="0" applyProtection="0"/>
    <xf numFmtId="168" fontId="55" fillId="78" borderId="50" applyNumberFormat="0" applyFont="0" applyBorder="0" applyAlignment="0" applyProtection="0">
      <alignment horizontal="right" vertical="center"/>
    </xf>
    <xf numFmtId="9" fontId="98" fillId="0" borderId="0" applyFont="0" applyFill="0" applyBorder="0" applyAlignment="0" applyProtection="0"/>
    <xf numFmtId="0" fontId="55" fillId="51" borderId="50"/>
    <xf numFmtId="4" fontId="55" fillId="51" borderId="50"/>
    <xf numFmtId="0" fontId="55" fillId="52" borderId="69">
      <alignment horizontal="left" vertical="center" wrapText="1" indent="2"/>
    </xf>
    <xf numFmtId="0" fontId="55" fillId="0" borderId="69">
      <alignment horizontal="left" vertical="center" wrapText="1" indent="2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52" borderId="56">
      <alignment horizontal="left" vertical="center" wrapText="1" indent="2"/>
    </xf>
    <xf numFmtId="0" fontId="55" fillId="0" borderId="56">
      <alignment horizontal="left" vertical="center" wrapText="1" indent="2"/>
    </xf>
    <xf numFmtId="0" fontId="54" fillId="0" borderId="0"/>
    <xf numFmtId="4" fontId="53" fillId="52" borderId="66">
      <alignment horizontal="right" vertical="center"/>
    </xf>
    <xf numFmtId="0" fontId="55" fillId="51" borderId="66"/>
    <xf numFmtId="0" fontId="66" fillId="74" borderId="58" applyNumberFormat="0" applyAlignment="0" applyProtection="0"/>
    <xf numFmtId="0" fontId="53" fillId="50" borderId="66">
      <alignment horizontal="right" vertical="center"/>
    </xf>
    <xf numFmtId="0" fontId="55" fillId="0" borderId="66">
      <alignment horizontal="right" vertical="center"/>
    </xf>
    <xf numFmtId="0" fontId="86" fillId="0" borderId="60" applyNumberFormat="0" applyFill="0" applyAlignment="0" applyProtection="0"/>
    <xf numFmtId="0" fontId="55" fillId="50" borderId="67">
      <alignment horizontal="left" vertical="center"/>
    </xf>
    <xf numFmtId="0" fontId="79" fillId="61" borderId="58" applyNumberFormat="0" applyAlignment="0" applyProtection="0"/>
    <xf numFmtId="168" fontId="55" fillId="78" borderId="66" applyNumberFormat="0" applyFont="0" applyBorder="0" applyAlignment="0" applyProtection="0">
      <alignment horizontal="right" vertical="center"/>
    </xf>
    <xf numFmtId="0" fontId="61" fillId="77" borderId="65" applyNumberFormat="0" applyFont="0" applyAlignment="0" applyProtection="0"/>
    <xf numFmtId="0" fontId="55" fillId="0" borderId="69">
      <alignment horizontal="left" vertical="center" wrapText="1" indent="2"/>
    </xf>
    <xf numFmtId="4" fontId="55" fillId="51" borderId="66"/>
    <xf numFmtId="49" fontId="51" fillId="0" borderId="66" applyNumberFormat="0" applyFill="0" applyBorder="0" applyProtection="0">
      <alignment horizontal="left" vertical="center"/>
    </xf>
    <xf numFmtId="0" fontId="55" fillId="0" borderId="66">
      <alignment horizontal="right" vertical="center"/>
    </xf>
    <xf numFmtId="4" fontId="53" fillId="52" borderId="68">
      <alignment horizontal="right" vertical="center"/>
    </xf>
    <xf numFmtId="4" fontId="53" fillId="52" borderId="66">
      <alignment horizontal="right" vertical="center"/>
    </xf>
    <xf numFmtId="4" fontId="53" fillId="52" borderId="66">
      <alignment horizontal="right" vertical="center"/>
    </xf>
    <xf numFmtId="0" fontId="57" fillId="50" borderId="66">
      <alignment horizontal="right" vertical="center"/>
    </xf>
    <xf numFmtId="0" fontId="53" fillId="50" borderId="66">
      <alignment horizontal="right" vertical="center"/>
    </xf>
    <xf numFmtId="49" fontId="55" fillId="0" borderId="66" applyNumberFormat="0" applyFont="0" applyFill="0" applyBorder="0" applyProtection="0">
      <alignment horizontal="left" vertical="center" indent="2"/>
    </xf>
    <xf numFmtId="0" fontId="79" fillId="61" borderId="58" applyNumberFormat="0" applyAlignment="0" applyProtection="0"/>
    <xf numFmtId="0" fontId="64" fillId="74" borderId="57" applyNumberFormat="0" applyAlignment="0" applyProtection="0"/>
    <xf numFmtId="49" fontId="55" fillId="0" borderId="66" applyNumberFormat="0" applyFont="0" applyFill="0" applyBorder="0" applyProtection="0">
      <alignment horizontal="left" vertical="center" indent="2"/>
    </xf>
    <xf numFmtId="0" fontId="70" fillId="61" borderId="58" applyNumberFormat="0" applyAlignment="0" applyProtection="0"/>
    <xf numFmtId="4" fontId="55" fillId="0" borderId="66" applyFill="0" applyBorder="0" applyProtection="0">
      <alignment horizontal="right" vertical="center"/>
    </xf>
    <xf numFmtId="0" fontId="67" fillId="74" borderId="58" applyNumberFormat="0" applyAlignment="0" applyProtection="0"/>
    <xf numFmtId="0" fontId="86" fillId="0" borderId="60" applyNumberFormat="0" applyFill="0" applyAlignment="0" applyProtection="0"/>
    <xf numFmtId="0" fontId="83" fillId="74" borderId="57" applyNumberFormat="0" applyAlignment="0" applyProtection="0"/>
    <xf numFmtId="0" fontId="55" fillId="0" borderId="66" applyNumberFormat="0" applyFill="0" applyAlignment="0" applyProtection="0"/>
    <xf numFmtId="4" fontId="55" fillId="0" borderId="66">
      <alignment horizontal="right" vertical="center"/>
    </xf>
    <xf numFmtId="0" fontId="55" fillId="0" borderId="66">
      <alignment horizontal="right" vertical="center"/>
    </xf>
    <xf numFmtId="0" fontId="79" fillId="61" borderId="58" applyNumberFormat="0" applyAlignment="0" applyProtection="0"/>
    <xf numFmtId="0" fontId="64" fillId="74" borderId="57" applyNumberFormat="0" applyAlignment="0" applyProtection="0"/>
    <xf numFmtId="0" fontId="66" fillId="74" borderId="58" applyNumberFormat="0" applyAlignment="0" applyProtection="0"/>
    <xf numFmtId="0" fontId="55" fillId="52" borderId="69">
      <alignment horizontal="left" vertical="center" wrapText="1" indent="2"/>
    </xf>
    <xf numFmtId="0" fontId="67" fillId="74" borderId="58" applyNumberFormat="0" applyAlignment="0" applyProtection="0"/>
    <xf numFmtId="0" fontId="67" fillId="74" borderId="58" applyNumberFormat="0" applyAlignment="0" applyProtection="0"/>
    <xf numFmtId="4" fontId="53" fillId="52" borderId="67">
      <alignment horizontal="right" vertical="center"/>
    </xf>
    <xf numFmtId="0" fontId="53" fillId="52" borderId="67">
      <alignment horizontal="right" vertical="center"/>
    </xf>
    <xf numFmtId="0" fontId="53" fillId="52" borderId="66">
      <alignment horizontal="right" vertical="center"/>
    </xf>
    <xf numFmtId="4" fontId="57" fillId="50" borderId="66">
      <alignment horizontal="right" vertical="center"/>
    </xf>
    <xf numFmtId="0" fontId="70" fillId="61" borderId="58" applyNumberFormat="0" applyAlignment="0" applyProtection="0"/>
    <xf numFmtId="0" fontId="71" fillId="0" borderId="60" applyNumberFormat="0" applyFill="0" applyAlignment="0" applyProtection="0"/>
    <xf numFmtId="0" fontId="86" fillId="0" borderId="60" applyNumberFormat="0" applyFill="0" applyAlignment="0" applyProtection="0"/>
    <xf numFmtId="0" fontId="61" fillId="77" borderId="65" applyNumberFormat="0" applyFont="0" applyAlignment="0" applyProtection="0"/>
    <xf numFmtId="0" fontId="79" fillId="61" borderId="58" applyNumberFormat="0" applyAlignment="0" applyProtection="0"/>
    <xf numFmtId="49" fontId="51" fillId="0" borderId="66" applyNumberFormat="0" applyFill="0" applyBorder="0" applyProtection="0">
      <alignment horizontal="left" vertical="center"/>
    </xf>
    <xf numFmtId="0" fontId="55" fillId="52" borderId="69">
      <alignment horizontal="left" vertical="center" wrapText="1" indent="2"/>
    </xf>
    <xf numFmtId="0" fontId="67" fillId="74" borderId="58" applyNumberFormat="0" applyAlignment="0" applyProtection="0"/>
    <xf numFmtId="0" fontId="55" fillId="0" borderId="69">
      <alignment horizontal="left" vertical="center" wrapText="1" indent="2"/>
    </xf>
    <xf numFmtId="0" fontId="61" fillId="77" borderId="65" applyNumberFormat="0" applyFont="0" applyAlignment="0" applyProtection="0"/>
    <xf numFmtId="0" fontId="54" fillId="77" borderId="65" applyNumberFormat="0" applyFont="0" applyAlignment="0" applyProtection="0"/>
    <xf numFmtId="0" fontId="83" fillId="74" borderId="57" applyNumberFormat="0" applyAlignment="0" applyProtection="0"/>
    <xf numFmtId="0" fontId="86" fillId="0" borderId="60" applyNumberFormat="0" applyFill="0" applyAlignment="0" applyProtection="0"/>
    <xf numFmtId="4" fontId="55" fillId="51" borderId="66"/>
    <xf numFmtId="0" fontId="53" fillId="52" borderId="66">
      <alignment horizontal="right" vertical="center"/>
    </xf>
    <xf numFmtId="0" fontId="86" fillId="0" borderId="60" applyNumberFormat="0" applyFill="0" applyAlignment="0" applyProtection="0"/>
    <xf numFmtId="4" fontId="53" fillId="52" borderId="68">
      <alignment horizontal="right" vertical="center"/>
    </xf>
    <xf numFmtId="0" fontId="66" fillId="74" borderId="58" applyNumberFormat="0" applyAlignment="0" applyProtection="0"/>
    <xf numFmtId="0" fontId="53" fillId="52" borderId="67">
      <alignment horizontal="right" vertical="center"/>
    </xf>
    <xf numFmtId="0" fontId="67" fillId="74" borderId="58" applyNumberFormat="0" applyAlignment="0" applyProtection="0"/>
    <xf numFmtId="0" fontId="71" fillId="0" borderId="60" applyNumberFormat="0" applyFill="0" applyAlignment="0" applyProtection="0"/>
    <xf numFmtId="0" fontId="61" fillId="77" borderId="65" applyNumberFormat="0" applyFont="0" applyAlignment="0" applyProtection="0"/>
    <xf numFmtId="4" fontId="53" fillId="52" borderId="67">
      <alignment horizontal="right" vertical="center"/>
    </xf>
    <xf numFmtId="0" fontId="55" fillId="52" borderId="69">
      <alignment horizontal="left" vertical="center" wrapText="1" indent="2"/>
    </xf>
    <xf numFmtId="0" fontId="55" fillId="51" borderId="66"/>
    <xf numFmtId="168" fontId="55" fillId="78" borderId="66" applyNumberFormat="0" applyFont="0" applyBorder="0" applyAlignment="0" applyProtection="0">
      <alignment horizontal="right" vertical="center"/>
    </xf>
    <xf numFmtId="0" fontId="55" fillId="0" borderId="66" applyNumberFormat="0" applyFill="0" applyAlignment="0" applyProtection="0"/>
    <xf numFmtId="4" fontId="55" fillId="0" borderId="66" applyFill="0" applyBorder="0" applyProtection="0">
      <alignment horizontal="right" vertical="center"/>
    </xf>
    <xf numFmtId="4" fontId="53" fillId="50" borderId="66">
      <alignment horizontal="right" vertical="center"/>
    </xf>
    <xf numFmtId="0" fontId="71" fillId="0" borderId="60" applyNumberFormat="0" applyFill="0" applyAlignment="0" applyProtection="0"/>
    <xf numFmtId="49" fontId="51" fillId="0" borderId="66" applyNumberFormat="0" applyFill="0" applyBorder="0" applyProtection="0">
      <alignment horizontal="left" vertical="center"/>
    </xf>
    <xf numFmtId="49" fontId="55" fillId="0" borderId="67" applyNumberFormat="0" applyFont="0" applyFill="0" applyBorder="0" applyProtection="0">
      <alignment horizontal="left" vertical="center" indent="5"/>
    </xf>
    <xf numFmtId="0" fontId="55" fillId="50" borderId="67">
      <alignment horizontal="left" vertical="center"/>
    </xf>
    <xf numFmtId="0" fontId="67" fillId="74" borderId="58" applyNumberFormat="0" applyAlignment="0" applyProtection="0"/>
    <xf numFmtId="4" fontId="53" fillId="52" borderId="68">
      <alignment horizontal="right" vertical="center"/>
    </xf>
    <xf numFmtId="0" fontId="79" fillId="61" borderId="58" applyNumberFormat="0" applyAlignment="0" applyProtection="0"/>
    <xf numFmtId="0" fontId="79" fillId="61" borderId="58" applyNumberFormat="0" applyAlignment="0" applyProtection="0"/>
    <xf numFmtId="0" fontId="61" fillId="77" borderId="65" applyNumberFormat="0" applyFont="0" applyAlignment="0" applyProtection="0"/>
    <xf numFmtId="0" fontId="83" fillId="74" borderId="57" applyNumberFormat="0" applyAlignment="0" applyProtection="0"/>
    <xf numFmtId="0" fontId="86" fillId="0" borderId="60" applyNumberFormat="0" applyFill="0" applyAlignment="0" applyProtection="0"/>
    <xf numFmtId="0" fontId="53" fillId="52" borderId="66">
      <alignment horizontal="right" vertical="center"/>
    </xf>
    <xf numFmtId="0" fontId="54" fillId="77" borderId="65" applyNumberFormat="0" applyFont="0" applyAlignment="0" applyProtection="0"/>
    <xf numFmtId="4" fontId="55" fillId="0" borderId="66">
      <alignment horizontal="right" vertical="center"/>
    </xf>
    <xf numFmtId="0" fontId="86" fillId="0" borderId="60" applyNumberFormat="0" applyFill="0" applyAlignment="0" applyProtection="0"/>
    <xf numFmtId="0" fontId="53" fillId="52" borderId="66">
      <alignment horizontal="right" vertical="center"/>
    </xf>
    <xf numFmtId="0" fontId="53" fillId="52" borderId="66">
      <alignment horizontal="right" vertical="center"/>
    </xf>
    <xf numFmtId="4" fontId="57" fillId="50" borderId="66">
      <alignment horizontal="right" vertical="center"/>
    </xf>
    <xf numFmtId="0" fontId="53" fillId="50" borderId="66">
      <alignment horizontal="right" vertical="center"/>
    </xf>
    <xf numFmtId="4" fontId="53" fillId="50" borderId="66">
      <alignment horizontal="right" vertical="center"/>
    </xf>
    <xf numFmtId="0" fontId="57" fillId="50" borderId="66">
      <alignment horizontal="right" vertical="center"/>
    </xf>
    <xf numFmtId="4" fontId="57" fillId="50" borderId="66">
      <alignment horizontal="right" vertical="center"/>
    </xf>
    <xf numFmtId="0" fontId="53" fillId="52" borderId="66">
      <alignment horizontal="right" vertical="center"/>
    </xf>
    <xf numFmtId="4" fontId="53" fillId="52" borderId="66">
      <alignment horizontal="right" vertical="center"/>
    </xf>
    <xf numFmtId="0" fontId="53" fillId="52" borderId="66">
      <alignment horizontal="right" vertical="center"/>
    </xf>
    <xf numFmtId="4" fontId="53" fillId="52" borderId="66">
      <alignment horizontal="right" vertical="center"/>
    </xf>
    <xf numFmtId="0" fontId="53" fillId="52" borderId="67">
      <alignment horizontal="right" vertical="center"/>
    </xf>
    <xf numFmtId="4" fontId="53" fillId="52" borderId="67">
      <alignment horizontal="right" vertical="center"/>
    </xf>
    <xf numFmtId="0" fontId="53" fillId="52" borderId="68">
      <alignment horizontal="right" vertical="center"/>
    </xf>
    <xf numFmtId="4" fontId="53" fillId="52" borderId="68">
      <alignment horizontal="right" vertical="center"/>
    </xf>
    <xf numFmtId="0" fontId="67" fillId="74" borderId="58" applyNumberFormat="0" applyAlignment="0" applyProtection="0"/>
    <xf numFmtId="0" fontId="55" fillId="52" borderId="69">
      <alignment horizontal="left" vertical="center" wrapText="1" indent="2"/>
    </xf>
    <xf numFmtId="0" fontId="55" fillId="0" borderId="69">
      <alignment horizontal="left" vertical="center" wrapText="1" indent="2"/>
    </xf>
    <xf numFmtId="0" fontId="55" fillId="50" borderId="67">
      <alignment horizontal="left" vertical="center"/>
    </xf>
    <xf numFmtId="0" fontId="79" fillId="61" borderId="58" applyNumberFormat="0" applyAlignment="0" applyProtection="0"/>
    <xf numFmtId="0" fontId="55" fillId="0" borderId="66">
      <alignment horizontal="right" vertical="center"/>
    </xf>
    <xf numFmtId="4" fontId="55" fillId="0" borderId="66">
      <alignment horizontal="right" vertical="center"/>
    </xf>
    <xf numFmtId="0" fontId="55" fillId="0" borderId="66" applyNumberFormat="0" applyFill="0" applyAlignment="0" applyProtection="0"/>
    <xf numFmtId="0" fontId="83" fillId="74" borderId="57" applyNumberFormat="0" applyAlignment="0" applyProtection="0"/>
    <xf numFmtId="168" fontId="55" fillId="78" borderId="66" applyNumberFormat="0" applyFont="0" applyBorder="0" applyAlignment="0" applyProtection="0">
      <alignment horizontal="right" vertical="center"/>
    </xf>
    <xf numFmtId="0" fontId="55" fillId="51" borderId="66"/>
    <xf numFmtId="4" fontId="55" fillId="51" borderId="66"/>
    <xf numFmtId="0" fontId="86" fillId="0" borderId="60" applyNumberFormat="0" applyFill="0" applyAlignment="0" applyProtection="0"/>
    <xf numFmtId="0" fontId="54" fillId="77" borderId="65" applyNumberFormat="0" applyFont="0" applyAlignment="0" applyProtection="0"/>
    <xf numFmtId="0" fontId="61" fillId="77" borderId="65" applyNumberFormat="0" applyFont="0" applyAlignment="0" applyProtection="0"/>
    <xf numFmtId="0" fontId="55" fillId="0" borderId="66" applyNumberFormat="0" applyFill="0" applyAlignment="0" applyProtection="0"/>
    <xf numFmtId="0" fontId="71" fillId="0" borderId="60" applyNumberFormat="0" applyFill="0" applyAlignment="0" applyProtection="0"/>
    <xf numFmtId="0" fontId="86" fillId="0" borderId="60" applyNumberFormat="0" applyFill="0" applyAlignment="0" applyProtection="0"/>
    <xf numFmtId="0" fontId="70" fillId="61" borderId="58" applyNumberFormat="0" applyAlignment="0" applyProtection="0"/>
    <xf numFmtId="0" fontId="67" fillId="74" borderId="58" applyNumberFormat="0" applyAlignment="0" applyProtection="0"/>
    <xf numFmtId="4" fontId="57" fillId="50" borderId="66">
      <alignment horizontal="right" vertical="center"/>
    </xf>
    <xf numFmtId="0" fontId="53" fillId="50" borderId="66">
      <alignment horizontal="right" vertical="center"/>
    </xf>
    <xf numFmtId="168" fontId="55" fillId="78" borderId="66" applyNumberFormat="0" applyFont="0" applyBorder="0" applyAlignment="0" applyProtection="0">
      <alignment horizontal="right" vertical="center"/>
    </xf>
    <xf numFmtId="0" fontId="71" fillId="0" borderId="60" applyNumberFormat="0" applyFill="0" applyAlignment="0" applyProtection="0"/>
    <xf numFmtId="49" fontId="55" fillId="0" borderId="66" applyNumberFormat="0" applyFont="0" applyFill="0" applyBorder="0" applyProtection="0">
      <alignment horizontal="left" vertical="center" indent="2"/>
    </xf>
    <xf numFmtId="49" fontId="55" fillId="0" borderId="67" applyNumberFormat="0" applyFont="0" applyFill="0" applyBorder="0" applyProtection="0">
      <alignment horizontal="left" vertical="center" indent="5"/>
    </xf>
    <xf numFmtId="49" fontId="55" fillId="0" borderId="66" applyNumberFormat="0" applyFont="0" applyFill="0" applyBorder="0" applyProtection="0">
      <alignment horizontal="left" vertical="center" indent="2"/>
    </xf>
    <xf numFmtId="4" fontId="55" fillId="0" borderId="66" applyFill="0" applyBorder="0" applyProtection="0">
      <alignment horizontal="right" vertical="center"/>
    </xf>
    <xf numFmtId="49" fontId="51" fillId="0" borderId="66" applyNumberFormat="0" applyFill="0" applyBorder="0" applyProtection="0">
      <alignment horizontal="left" vertical="center"/>
    </xf>
    <xf numFmtId="0" fontId="55" fillId="0" borderId="69">
      <alignment horizontal="left" vertical="center" wrapText="1" indent="2"/>
    </xf>
    <xf numFmtId="0" fontId="83" fillId="74" borderId="57" applyNumberFormat="0" applyAlignment="0" applyProtection="0"/>
    <xf numFmtId="0" fontId="53" fillId="52" borderId="68">
      <alignment horizontal="right" vertical="center"/>
    </xf>
    <xf numFmtId="0" fontId="70" fillId="61" borderId="58" applyNumberFormat="0" applyAlignment="0" applyProtection="0"/>
    <xf numFmtId="0" fontId="53" fillId="52" borderId="68">
      <alignment horizontal="right" vertical="center"/>
    </xf>
    <xf numFmtId="4" fontId="53" fillId="52" borderId="66">
      <alignment horizontal="right" vertical="center"/>
    </xf>
    <xf numFmtId="0" fontId="53" fillId="52" borderId="66">
      <alignment horizontal="right" vertical="center"/>
    </xf>
    <xf numFmtId="0" fontId="64" fillId="74" borderId="57" applyNumberFormat="0" applyAlignment="0" applyProtection="0"/>
    <xf numFmtId="0" fontId="66" fillId="74" borderId="58" applyNumberFormat="0" applyAlignment="0" applyProtection="0"/>
    <xf numFmtId="0" fontId="71" fillId="0" borderId="60" applyNumberFormat="0" applyFill="0" applyAlignment="0" applyProtection="0"/>
    <xf numFmtId="0" fontId="55" fillId="51" borderId="66"/>
    <xf numFmtId="4" fontId="55" fillId="51" borderId="66"/>
    <xf numFmtId="4" fontId="53" fillId="52" borderId="66">
      <alignment horizontal="right" vertical="center"/>
    </xf>
    <xf numFmtId="0" fontId="57" fillId="50" borderId="66">
      <alignment horizontal="right" vertical="center"/>
    </xf>
    <xf numFmtId="0" fontId="70" fillId="61" borderId="58" applyNumberFormat="0" applyAlignment="0" applyProtection="0"/>
    <xf numFmtId="0" fontId="67" fillId="74" borderId="58" applyNumberFormat="0" applyAlignment="0" applyProtection="0"/>
    <xf numFmtId="4" fontId="55" fillId="0" borderId="66">
      <alignment horizontal="right" vertical="center"/>
    </xf>
    <xf numFmtId="0" fontId="55" fillId="52" borderId="69">
      <alignment horizontal="left" vertical="center" wrapText="1" indent="2"/>
    </xf>
    <xf numFmtId="0" fontId="55" fillId="0" borderId="69">
      <alignment horizontal="left" vertical="center" wrapText="1" indent="2"/>
    </xf>
    <xf numFmtId="0" fontId="83" fillId="74" borderId="57" applyNumberFormat="0" applyAlignment="0" applyProtection="0"/>
    <xf numFmtId="0" fontId="79" fillId="61" borderId="58" applyNumberFormat="0" applyAlignment="0" applyProtection="0"/>
    <xf numFmtId="0" fontId="66" fillId="74" borderId="58" applyNumberFormat="0" applyAlignment="0" applyProtection="0"/>
    <xf numFmtId="0" fontId="64" fillId="74" borderId="57" applyNumberFormat="0" applyAlignment="0" applyProtection="0"/>
    <xf numFmtId="0" fontId="53" fillId="52" borderId="68">
      <alignment horizontal="right" vertical="center"/>
    </xf>
    <xf numFmtId="0" fontId="57" fillId="50" borderId="66">
      <alignment horizontal="right" vertical="center"/>
    </xf>
    <xf numFmtId="4" fontId="53" fillId="50" borderId="66">
      <alignment horizontal="right" vertical="center"/>
    </xf>
    <xf numFmtId="4" fontId="53" fillId="52" borderId="66">
      <alignment horizontal="right" vertical="center"/>
    </xf>
    <xf numFmtId="49" fontId="55" fillId="0" borderId="67" applyNumberFormat="0" applyFont="0" applyFill="0" applyBorder="0" applyProtection="0">
      <alignment horizontal="left" vertical="center" indent="5"/>
    </xf>
    <xf numFmtId="4" fontId="55" fillId="0" borderId="66" applyFill="0" applyBorder="0" applyProtection="0">
      <alignment horizontal="right" vertical="center"/>
    </xf>
    <xf numFmtId="4" fontId="53" fillId="50" borderId="66">
      <alignment horizontal="right" vertical="center"/>
    </xf>
    <xf numFmtId="0" fontId="54" fillId="0" borderId="0"/>
    <xf numFmtId="0" fontId="79" fillId="61" borderId="58" applyNumberFormat="0" applyAlignment="0" applyProtection="0"/>
    <xf numFmtId="0" fontId="70" fillId="61" borderId="58" applyNumberFormat="0" applyAlignment="0" applyProtection="0"/>
    <xf numFmtId="0" fontId="66" fillId="74" borderId="58" applyNumberFormat="0" applyAlignment="0" applyProtection="0"/>
    <xf numFmtId="0" fontId="55" fillId="52" borderId="69">
      <alignment horizontal="left" vertical="center" wrapText="1" indent="2"/>
    </xf>
    <xf numFmtId="0" fontId="55" fillId="0" borderId="69">
      <alignment horizontal="left" vertical="center" wrapText="1" indent="2"/>
    </xf>
    <xf numFmtId="0" fontId="55" fillId="52" borderId="69">
      <alignment horizontal="left" vertical="center" wrapText="1" indent="2"/>
    </xf>
    <xf numFmtId="0" fontId="55" fillId="0" borderId="69">
      <alignment horizontal="left" vertical="center" wrapText="1" indent="2"/>
    </xf>
    <xf numFmtId="0" fontId="64" fillId="74" borderId="57" applyNumberFormat="0" applyAlignment="0" applyProtection="0"/>
    <xf numFmtId="0" fontId="66" fillId="74" borderId="58" applyNumberFormat="0" applyAlignment="0" applyProtection="0"/>
    <xf numFmtId="0" fontId="67" fillId="74" borderId="58" applyNumberFormat="0" applyAlignment="0" applyProtection="0"/>
    <xf numFmtId="0" fontId="70" fillId="61" borderId="58" applyNumberFormat="0" applyAlignment="0" applyProtection="0"/>
    <xf numFmtId="0" fontId="71" fillId="0" borderId="60" applyNumberFormat="0" applyFill="0" applyAlignment="0" applyProtection="0"/>
    <xf numFmtId="0" fontId="79" fillId="61" borderId="58" applyNumberFormat="0" applyAlignment="0" applyProtection="0"/>
    <xf numFmtId="0" fontId="61" fillId="77" borderId="65" applyNumberFormat="0" applyFont="0" applyAlignment="0" applyProtection="0"/>
    <xf numFmtId="0" fontId="54" fillId="77" borderId="65" applyNumberFormat="0" applyFont="0" applyAlignment="0" applyProtection="0"/>
    <xf numFmtId="0" fontId="83" fillId="74" borderId="57" applyNumberFormat="0" applyAlignment="0" applyProtection="0"/>
    <xf numFmtId="0" fontId="86" fillId="0" borderId="60" applyNumberFormat="0" applyFill="0" applyAlignment="0" applyProtection="0"/>
    <xf numFmtId="0" fontId="67" fillId="74" borderId="58" applyNumberFormat="0" applyAlignment="0" applyProtection="0"/>
    <xf numFmtId="0" fontId="79" fillId="61" borderId="58" applyNumberFormat="0" applyAlignment="0" applyProtection="0"/>
    <xf numFmtId="0" fontId="61" fillId="77" borderId="65" applyNumberFormat="0" applyFont="0" applyAlignment="0" applyProtection="0"/>
    <xf numFmtId="0" fontId="83" fillId="74" borderId="57" applyNumberFormat="0" applyAlignment="0" applyProtection="0"/>
    <xf numFmtId="0" fontId="86" fillId="0" borderId="60" applyNumberFormat="0" applyFill="0" applyAlignment="0" applyProtection="0"/>
    <xf numFmtId="0" fontId="53" fillId="52" borderId="53">
      <alignment horizontal="right" vertical="center"/>
    </xf>
    <xf numFmtId="4" fontId="53" fillId="52" borderId="53">
      <alignment horizontal="right" vertical="center"/>
    </xf>
    <xf numFmtId="0" fontId="53" fillId="52" borderId="42">
      <alignment horizontal="right" vertical="center"/>
    </xf>
    <xf numFmtId="4" fontId="53" fillId="52" borderId="42">
      <alignment horizontal="right" vertical="center"/>
    </xf>
    <xf numFmtId="0" fontId="67" fillId="74" borderId="58" applyNumberFormat="0" applyAlignment="0" applyProtection="0"/>
    <xf numFmtId="0" fontId="55" fillId="52" borderId="56">
      <alignment horizontal="left" vertical="center" wrapText="1" indent="2"/>
    </xf>
    <xf numFmtId="0" fontId="55" fillId="0" borderId="56">
      <alignment horizontal="left" vertical="center" wrapText="1" indent="2"/>
    </xf>
    <xf numFmtId="0" fontId="55" fillId="50" borderId="53">
      <alignment horizontal="left" vertical="center"/>
    </xf>
    <xf numFmtId="0" fontId="79" fillId="61" borderId="58" applyNumberFormat="0" applyAlignment="0" applyProtection="0"/>
    <xf numFmtId="0" fontId="83" fillId="74" borderId="57" applyNumberFormat="0" applyAlignment="0" applyProtection="0"/>
    <xf numFmtId="0" fontId="86" fillId="0" borderId="60" applyNumberFormat="0" applyFill="0" applyAlignment="0" applyProtection="0"/>
    <xf numFmtId="49" fontId="55" fillId="0" borderId="53" applyNumberFormat="0" applyFont="0" applyFill="0" applyBorder="0" applyProtection="0">
      <alignment horizontal="left" vertical="center" indent="5"/>
    </xf>
    <xf numFmtId="0" fontId="64" fillId="74" borderId="57" applyNumberFormat="0" applyAlignment="0" applyProtection="0"/>
    <xf numFmtId="0" fontId="66" fillId="74" borderId="58" applyNumberFormat="0" applyAlignment="0" applyProtection="0"/>
    <xf numFmtId="0" fontId="71" fillId="0" borderId="60" applyNumberFormat="0" applyFill="0" applyAlignment="0" applyProtection="0"/>
    <xf numFmtId="49" fontId="55" fillId="0" borderId="66" applyNumberFormat="0" applyFont="0" applyFill="0" applyBorder="0" applyProtection="0">
      <alignment horizontal="left" vertical="center" indent="2"/>
    </xf>
    <xf numFmtId="0" fontId="53" fillId="50" borderId="66">
      <alignment horizontal="right" vertical="center"/>
    </xf>
    <xf numFmtId="4" fontId="53" fillId="50" borderId="66">
      <alignment horizontal="right" vertical="center"/>
    </xf>
    <xf numFmtId="0" fontId="57" fillId="50" borderId="66">
      <alignment horizontal="right" vertical="center"/>
    </xf>
    <xf numFmtId="4" fontId="57" fillId="50" borderId="66">
      <alignment horizontal="right" vertical="center"/>
    </xf>
    <xf numFmtId="0" fontId="53" fillId="52" borderId="66">
      <alignment horizontal="right" vertical="center"/>
    </xf>
    <xf numFmtId="4" fontId="53" fillId="52" borderId="66">
      <alignment horizontal="right" vertical="center"/>
    </xf>
    <xf numFmtId="0" fontId="53" fillId="52" borderId="66">
      <alignment horizontal="right" vertical="center"/>
    </xf>
    <xf numFmtId="4" fontId="53" fillId="52" borderId="66">
      <alignment horizontal="right" vertical="center"/>
    </xf>
    <xf numFmtId="0" fontId="70" fillId="61" borderId="58" applyNumberFormat="0" applyAlignment="0" applyProtection="0"/>
    <xf numFmtId="0" fontId="55" fillId="0" borderId="66">
      <alignment horizontal="right" vertical="center"/>
    </xf>
    <xf numFmtId="4" fontId="55" fillId="0" borderId="66">
      <alignment horizontal="right" vertical="center"/>
    </xf>
    <xf numFmtId="4" fontId="55" fillId="0" borderId="66" applyFill="0" applyBorder="0" applyProtection="0">
      <alignment horizontal="right" vertical="center"/>
    </xf>
    <xf numFmtId="49" fontId="51" fillId="0" borderId="66" applyNumberFormat="0" applyFill="0" applyBorder="0" applyProtection="0">
      <alignment horizontal="left" vertical="center"/>
    </xf>
    <xf numFmtId="0" fontId="55" fillId="0" borderId="66" applyNumberFormat="0" applyFill="0" applyAlignment="0" applyProtection="0"/>
    <xf numFmtId="168" fontId="55" fillId="78" borderId="66" applyNumberFormat="0" applyFont="0" applyBorder="0" applyAlignment="0" applyProtection="0">
      <alignment horizontal="right" vertical="center"/>
    </xf>
    <xf numFmtId="0" fontId="55" fillId="51" borderId="66"/>
    <xf numFmtId="4" fontId="55" fillId="51" borderId="66"/>
    <xf numFmtId="4" fontId="53" fillId="52" borderId="66">
      <alignment horizontal="right" vertical="center"/>
    </xf>
    <xf numFmtId="0" fontId="55" fillId="51" borderId="66"/>
    <xf numFmtId="0" fontId="66" fillId="74" borderId="58" applyNumberFormat="0" applyAlignment="0" applyProtection="0"/>
    <xf numFmtId="0" fontId="53" fillId="50" borderId="66">
      <alignment horizontal="right" vertical="center"/>
    </xf>
    <xf numFmtId="0" fontId="55" fillId="0" borderId="66">
      <alignment horizontal="right" vertical="center"/>
    </xf>
    <xf numFmtId="0" fontId="86" fillId="0" borderId="60" applyNumberFormat="0" applyFill="0" applyAlignment="0" applyProtection="0"/>
    <xf numFmtId="0" fontId="55" fillId="50" borderId="67">
      <alignment horizontal="left" vertical="center"/>
    </xf>
    <xf numFmtId="0" fontId="79" fillId="61" borderId="58" applyNumberFormat="0" applyAlignment="0" applyProtection="0"/>
    <xf numFmtId="168" fontId="55" fillId="78" borderId="66" applyNumberFormat="0" applyFont="0" applyBorder="0" applyAlignment="0" applyProtection="0">
      <alignment horizontal="right" vertical="center"/>
    </xf>
    <xf numFmtId="0" fontId="61" fillId="77" borderId="65" applyNumberFormat="0" applyFont="0" applyAlignment="0" applyProtection="0"/>
    <xf numFmtId="0" fontId="55" fillId="0" borderId="69">
      <alignment horizontal="left" vertical="center" wrapText="1" indent="2"/>
    </xf>
    <xf numFmtId="4" fontId="55" fillId="51" borderId="66"/>
    <xf numFmtId="49" fontId="51" fillId="0" borderId="66" applyNumberFormat="0" applyFill="0" applyBorder="0" applyProtection="0">
      <alignment horizontal="left" vertical="center"/>
    </xf>
    <xf numFmtId="0" fontId="55" fillId="0" borderId="66">
      <alignment horizontal="right" vertical="center"/>
    </xf>
    <xf numFmtId="4" fontId="53" fillId="52" borderId="68">
      <alignment horizontal="right" vertical="center"/>
    </xf>
    <xf numFmtId="4" fontId="53" fillId="52" borderId="66">
      <alignment horizontal="right" vertical="center"/>
    </xf>
    <xf numFmtId="4" fontId="53" fillId="52" borderId="66">
      <alignment horizontal="right" vertical="center"/>
    </xf>
    <xf numFmtId="0" fontId="57" fillId="50" borderId="66">
      <alignment horizontal="right" vertical="center"/>
    </xf>
    <xf numFmtId="0" fontId="53" fillId="50" borderId="66">
      <alignment horizontal="right" vertical="center"/>
    </xf>
    <xf numFmtId="49" fontId="55" fillId="0" borderId="66" applyNumberFormat="0" applyFont="0" applyFill="0" applyBorder="0" applyProtection="0">
      <alignment horizontal="left" vertical="center" indent="2"/>
    </xf>
    <xf numFmtId="0" fontId="79" fillId="61" borderId="58" applyNumberFormat="0" applyAlignment="0" applyProtection="0"/>
    <xf numFmtId="0" fontId="64" fillId="74" borderId="57" applyNumberFormat="0" applyAlignment="0" applyProtection="0"/>
    <xf numFmtId="49" fontId="55" fillId="0" borderId="66" applyNumberFormat="0" applyFont="0" applyFill="0" applyBorder="0" applyProtection="0">
      <alignment horizontal="left" vertical="center" indent="2"/>
    </xf>
    <xf numFmtId="0" fontId="70" fillId="61" borderId="58" applyNumberFormat="0" applyAlignment="0" applyProtection="0"/>
    <xf numFmtId="4" fontId="55" fillId="0" borderId="66" applyFill="0" applyBorder="0" applyProtection="0">
      <alignment horizontal="right" vertical="center"/>
    </xf>
    <xf numFmtId="0" fontId="67" fillId="74" borderId="58" applyNumberFormat="0" applyAlignment="0" applyProtection="0"/>
    <xf numFmtId="0" fontId="86" fillId="0" borderId="60" applyNumberFormat="0" applyFill="0" applyAlignment="0" applyProtection="0"/>
    <xf numFmtId="0" fontId="83" fillId="74" borderId="57" applyNumberFormat="0" applyAlignment="0" applyProtection="0"/>
    <xf numFmtId="0" fontId="55" fillId="0" borderId="66" applyNumberFormat="0" applyFill="0" applyAlignment="0" applyProtection="0"/>
    <xf numFmtId="4" fontId="55" fillId="0" borderId="66">
      <alignment horizontal="right" vertical="center"/>
    </xf>
    <xf numFmtId="0" fontId="55" fillId="0" borderId="66">
      <alignment horizontal="right" vertical="center"/>
    </xf>
    <xf numFmtId="0" fontId="79" fillId="61" borderId="58" applyNumberFormat="0" applyAlignment="0" applyProtection="0"/>
    <xf numFmtId="0" fontId="64" fillId="74" borderId="57" applyNumberFormat="0" applyAlignment="0" applyProtection="0"/>
    <xf numFmtId="0" fontId="66" fillId="74" borderId="58" applyNumberFormat="0" applyAlignment="0" applyProtection="0"/>
    <xf numFmtId="0" fontId="55" fillId="52" borderId="69">
      <alignment horizontal="left" vertical="center" wrapText="1" indent="2"/>
    </xf>
    <xf numFmtId="0" fontId="67" fillId="74" borderId="58" applyNumberFormat="0" applyAlignment="0" applyProtection="0"/>
    <xf numFmtId="0" fontId="67" fillId="74" borderId="58" applyNumberFormat="0" applyAlignment="0" applyProtection="0"/>
    <xf numFmtId="4" fontId="53" fillId="52" borderId="67">
      <alignment horizontal="right" vertical="center"/>
    </xf>
    <xf numFmtId="0" fontId="53" fillId="52" borderId="67">
      <alignment horizontal="right" vertical="center"/>
    </xf>
    <xf numFmtId="0" fontId="53" fillId="52" borderId="66">
      <alignment horizontal="right" vertical="center"/>
    </xf>
    <xf numFmtId="4" fontId="57" fillId="50" borderId="66">
      <alignment horizontal="right" vertical="center"/>
    </xf>
    <xf numFmtId="0" fontId="70" fillId="61" borderId="58" applyNumberFormat="0" applyAlignment="0" applyProtection="0"/>
    <xf numFmtId="0" fontId="71" fillId="0" borderId="60" applyNumberFormat="0" applyFill="0" applyAlignment="0" applyProtection="0"/>
    <xf numFmtId="0" fontId="86" fillId="0" borderId="60" applyNumberFormat="0" applyFill="0" applyAlignment="0" applyProtection="0"/>
    <xf numFmtId="0" fontId="61" fillId="77" borderId="65" applyNumberFormat="0" applyFont="0" applyAlignment="0" applyProtection="0"/>
    <xf numFmtId="0" fontId="79" fillId="61" borderId="58" applyNumberFormat="0" applyAlignment="0" applyProtection="0"/>
    <xf numFmtId="49" fontId="51" fillId="0" borderId="66" applyNumberFormat="0" applyFill="0" applyBorder="0" applyProtection="0">
      <alignment horizontal="left" vertical="center"/>
    </xf>
    <xf numFmtId="0" fontId="55" fillId="52" borderId="69">
      <alignment horizontal="left" vertical="center" wrapText="1" indent="2"/>
    </xf>
    <xf numFmtId="0" fontId="67" fillId="74" borderId="58" applyNumberFormat="0" applyAlignment="0" applyProtection="0"/>
    <xf numFmtId="0" fontId="55" fillId="0" borderId="69">
      <alignment horizontal="left" vertical="center" wrapText="1" indent="2"/>
    </xf>
    <xf numFmtId="0" fontId="61" fillId="77" borderId="65" applyNumberFormat="0" applyFont="0" applyAlignment="0" applyProtection="0"/>
    <xf numFmtId="0" fontId="54" fillId="77" borderId="65" applyNumberFormat="0" applyFont="0" applyAlignment="0" applyProtection="0"/>
    <xf numFmtId="0" fontId="83" fillId="74" borderId="57" applyNumberFormat="0" applyAlignment="0" applyProtection="0"/>
    <xf numFmtId="0" fontId="86" fillId="0" borderId="60" applyNumberFormat="0" applyFill="0" applyAlignment="0" applyProtection="0"/>
    <xf numFmtId="4" fontId="55" fillId="51" borderId="66"/>
    <xf numFmtId="0" fontId="53" fillId="52" borderId="66">
      <alignment horizontal="right" vertical="center"/>
    </xf>
    <xf numFmtId="0" fontId="86" fillId="0" borderId="60" applyNumberFormat="0" applyFill="0" applyAlignment="0" applyProtection="0"/>
    <xf numFmtId="4" fontId="53" fillId="52" borderId="68">
      <alignment horizontal="right" vertical="center"/>
    </xf>
    <xf numFmtId="0" fontId="66" fillId="74" borderId="58" applyNumberFormat="0" applyAlignment="0" applyProtection="0"/>
    <xf numFmtId="0" fontId="53" fillId="52" borderId="67">
      <alignment horizontal="right" vertical="center"/>
    </xf>
    <xf numFmtId="0" fontId="67" fillId="74" borderId="58" applyNumberFormat="0" applyAlignment="0" applyProtection="0"/>
    <xf numFmtId="0" fontId="71" fillId="0" borderId="60" applyNumberFormat="0" applyFill="0" applyAlignment="0" applyProtection="0"/>
    <xf numFmtId="0" fontId="61" fillId="77" borderId="65" applyNumberFormat="0" applyFont="0" applyAlignment="0" applyProtection="0"/>
    <xf numFmtId="4" fontId="53" fillId="52" borderId="67">
      <alignment horizontal="right" vertical="center"/>
    </xf>
    <xf numFmtId="0" fontId="55" fillId="52" borderId="69">
      <alignment horizontal="left" vertical="center" wrapText="1" indent="2"/>
    </xf>
    <xf numFmtId="0" fontId="55" fillId="51" borderId="66"/>
    <xf numFmtId="168" fontId="55" fillId="78" borderId="66" applyNumberFormat="0" applyFont="0" applyBorder="0" applyAlignment="0" applyProtection="0">
      <alignment horizontal="right" vertical="center"/>
    </xf>
    <xf numFmtId="0" fontId="55" fillId="0" borderId="66" applyNumberFormat="0" applyFill="0" applyAlignment="0" applyProtection="0"/>
    <xf numFmtId="4" fontId="55" fillId="0" borderId="66" applyFill="0" applyBorder="0" applyProtection="0">
      <alignment horizontal="right" vertical="center"/>
    </xf>
    <xf numFmtId="4" fontId="53" fillId="50" borderId="66">
      <alignment horizontal="right" vertical="center"/>
    </xf>
    <xf numFmtId="0" fontId="71" fillId="0" borderId="60" applyNumberFormat="0" applyFill="0" applyAlignment="0" applyProtection="0"/>
    <xf numFmtId="49" fontId="51" fillId="0" borderId="66" applyNumberFormat="0" applyFill="0" applyBorder="0" applyProtection="0">
      <alignment horizontal="left" vertical="center"/>
    </xf>
    <xf numFmtId="49" fontId="55" fillId="0" borderId="67" applyNumberFormat="0" applyFont="0" applyFill="0" applyBorder="0" applyProtection="0">
      <alignment horizontal="left" vertical="center" indent="5"/>
    </xf>
    <xf numFmtId="0" fontId="55" fillId="50" borderId="67">
      <alignment horizontal="left" vertical="center"/>
    </xf>
    <xf numFmtId="0" fontId="67" fillId="74" borderId="58" applyNumberFormat="0" applyAlignment="0" applyProtection="0"/>
    <xf numFmtId="4" fontId="53" fillId="52" borderId="68">
      <alignment horizontal="right" vertical="center"/>
    </xf>
    <xf numFmtId="0" fontId="79" fillId="61" borderId="58" applyNumberFormat="0" applyAlignment="0" applyProtection="0"/>
    <xf numFmtId="0" fontId="79" fillId="61" borderId="58" applyNumberFormat="0" applyAlignment="0" applyProtection="0"/>
    <xf numFmtId="0" fontId="61" fillId="77" borderId="65" applyNumberFormat="0" applyFont="0" applyAlignment="0" applyProtection="0"/>
    <xf numFmtId="0" fontId="83" fillId="74" borderId="57" applyNumberFormat="0" applyAlignment="0" applyProtection="0"/>
    <xf numFmtId="0" fontId="86" fillId="0" borderId="60" applyNumberFormat="0" applyFill="0" applyAlignment="0" applyProtection="0"/>
    <xf numFmtId="0" fontId="53" fillId="52" borderId="66">
      <alignment horizontal="right" vertical="center"/>
    </xf>
    <xf numFmtId="0" fontId="54" fillId="77" borderId="65" applyNumberFormat="0" applyFont="0" applyAlignment="0" applyProtection="0"/>
    <xf numFmtId="4" fontId="55" fillId="0" borderId="66">
      <alignment horizontal="right" vertical="center"/>
    </xf>
    <xf numFmtId="0" fontId="86" fillId="0" borderId="60" applyNumberFormat="0" applyFill="0" applyAlignment="0" applyProtection="0"/>
    <xf numFmtId="0" fontId="53" fillId="52" borderId="66">
      <alignment horizontal="right" vertical="center"/>
    </xf>
    <xf numFmtId="0" fontId="53" fillId="52" borderId="66">
      <alignment horizontal="right" vertical="center"/>
    </xf>
    <xf numFmtId="4" fontId="57" fillId="50" borderId="66">
      <alignment horizontal="right" vertical="center"/>
    </xf>
    <xf numFmtId="0" fontId="53" fillId="50" borderId="66">
      <alignment horizontal="right" vertical="center"/>
    </xf>
    <xf numFmtId="4" fontId="53" fillId="50" borderId="66">
      <alignment horizontal="right" vertical="center"/>
    </xf>
    <xf numFmtId="0" fontId="57" fillId="50" borderId="66">
      <alignment horizontal="right" vertical="center"/>
    </xf>
    <xf numFmtId="4" fontId="57" fillId="50" borderId="66">
      <alignment horizontal="right" vertical="center"/>
    </xf>
    <xf numFmtId="0" fontId="53" fillId="52" borderId="66">
      <alignment horizontal="right" vertical="center"/>
    </xf>
    <xf numFmtId="4" fontId="53" fillId="52" borderId="66">
      <alignment horizontal="right" vertical="center"/>
    </xf>
    <xf numFmtId="0" fontId="53" fillId="52" borderId="66">
      <alignment horizontal="right" vertical="center"/>
    </xf>
    <xf numFmtId="4" fontId="53" fillId="52" borderId="66">
      <alignment horizontal="right" vertical="center"/>
    </xf>
    <xf numFmtId="0" fontId="53" fillId="52" borderId="67">
      <alignment horizontal="right" vertical="center"/>
    </xf>
    <xf numFmtId="4" fontId="53" fillId="52" borderId="67">
      <alignment horizontal="right" vertical="center"/>
    </xf>
    <xf numFmtId="0" fontId="53" fillId="52" borderId="68">
      <alignment horizontal="right" vertical="center"/>
    </xf>
    <xf numFmtId="4" fontId="53" fillId="52" borderId="68">
      <alignment horizontal="right" vertical="center"/>
    </xf>
    <xf numFmtId="0" fontId="67" fillId="74" borderId="58" applyNumberFormat="0" applyAlignment="0" applyProtection="0"/>
    <xf numFmtId="0" fontId="55" fillId="52" borderId="69">
      <alignment horizontal="left" vertical="center" wrapText="1" indent="2"/>
    </xf>
    <xf numFmtId="0" fontId="55" fillId="0" borderId="69">
      <alignment horizontal="left" vertical="center" wrapText="1" indent="2"/>
    </xf>
    <xf numFmtId="0" fontId="55" fillId="50" borderId="67">
      <alignment horizontal="left" vertical="center"/>
    </xf>
    <xf numFmtId="0" fontId="79" fillId="61" borderId="58" applyNumberFormat="0" applyAlignment="0" applyProtection="0"/>
    <xf numFmtId="0" fontId="55" fillId="0" borderId="66">
      <alignment horizontal="right" vertical="center"/>
    </xf>
    <xf numFmtId="4" fontId="55" fillId="0" borderId="66">
      <alignment horizontal="right" vertical="center"/>
    </xf>
    <xf numFmtId="0" fontId="55" fillId="0" borderId="66" applyNumberFormat="0" applyFill="0" applyAlignment="0" applyProtection="0"/>
    <xf numFmtId="0" fontId="83" fillId="74" borderId="57" applyNumberFormat="0" applyAlignment="0" applyProtection="0"/>
    <xf numFmtId="168" fontId="55" fillId="78" borderId="66" applyNumberFormat="0" applyFont="0" applyBorder="0" applyAlignment="0" applyProtection="0">
      <alignment horizontal="right" vertical="center"/>
    </xf>
    <xf numFmtId="0" fontId="55" fillId="51" borderId="66"/>
    <xf numFmtId="4" fontId="55" fillId="51" borderId="66"/>
    <xf numFmtId="0" fontId="86" fillId="0" borderId="60" applyNumberFormat="0" applyFill="0" applyAlignment="0" applyProtection="0"/>
    <xf numFmtId="0" fontId="54" fillId="77" borderId="65" applyNumberFormat="0" applyFont="0" applyAlignment="0" applyProtection="0"/>
    <xf numFmtId="0" fontId="61" fillId="77" borderId="65" applyNumberFormat="0" applyFont="0" applyAlignment="0" applyProtection="0"/>
    <xf numFmtId="0" fontId="55" fillId="0" borderId="66" applyNumberFormat="0" applyFill="0" applyAlignment="0" applyProtection="0"/>
    <xf numFmtId="0" fontId="71" fillId="0" borderId="60" applyNumberFormat="0" applyFill="0" applyAlignment="0" applyProtection="0"/>
    <xf numFmtId="0" fontId="86" fillId="0" borderId="60" applyNumberFormat="0" applyFill="0" applyAlignment="0" applyProtection="0"/>
    <xf numFmtId="0" fontId="70" fillId="61" borderId="58" applyNumberFormat="0" applyAlignment="0" applyProtection="0"/>
    <xf numFmtId="0" fontId="67" fillId="74" borderId="58" applyNumberFormat="0" applyAlignment="0" applyProtection="0"/>
    <xf numFmtId="4" fontId="57" fillId="50" borderId="66">
      <alignment horizontal="right" vertical="center"/>
    </xf>
    <xf numFmtId="0" fontId="53" fillId="50" borderId="66">
      <alignment horizontal="right" vertical="center"/>
    </xf>
    <xf numFmtId="168" fontId="55" fillId="78" borderId="66" applyNumberFormat="0" applyFont="0" applyBorder="0" applyAlignment="0" applyProtection="0">
      <alignment horizontal="right" vertical="center"/>
    </xf>
    <xf numFmtId="0" fontId="71" fillId="0" borderId="60" applyNumberFormat="0" applyFill="0" applyAlignment="0" applyProtection="0"/>
    <xf numFmtId="49" fontId="55" fillId="0" borderId="66" applyNumberFormat="0" applyFont="0" applyFill="0" applyBorder="0" applyProtection="0">
      <alignment horizontal="left" vertical="center" indent="2"/>
    </xf>
    <xf numFmtId="49" fontId="55" fillId="0" borderId="67" applyNumberFormat="0" applyFont="0" applyFill="0" applyBorder="0" applyProtection="0">
      <alignment horizontal="left" vertical="center" indent="5"/>
    </xf>
    <xf numFmtId="49" fontId="55" fillId="0" borderId="66" applyNumberFormat="0" applyFont="0" applyFill="0" applyBorder="0" applyProtection="0">
      <alignment horizontal="left" vertical="center" indent="2"/>
    </xf>
    <xf numFmtId="4" fontId="55" fillId="0" borderId="66" applyFill="0" applyBorder="0" applyProtection="0">
      <alignment horizontal="right" vertical="center"/>
    </xf>
    <xf numFmtId="49" fontId="51" fillId="0" borderId="66" applyNumberFormat="0" applyFill="0" applyBorder="0" applyProtection="0">
      <alignment horizontal="left" vertical="center"/>
    </xf>
    <xf numFmtId="0" fontId="55" fillId="0" borderId="69">
      <alignment horizontal="left" vertical="center" wrapText="1" indent="2"/>
    </xf>
    <xf numFmtId="0" fontId="83" fillId="74" borderId="57" applyNumberFormat="0" applyAlignment="0" applyProtection="0"/>
    <xf numFmtId="0" fontId="53" fillId="52" borderId="68">
      <alignment horizontal="right" vertical="center"/>
    </xf>
    <xf numFmtId="0" fontId="70" fillId="61" borderId="58" applyNumberFormat="0" applyAlignment="0" applyProtection="0"/>
    <xf numFmtId="0" fontId="53" fillId="52" borderId="68">
      <alignment horizontal="right" vertical="center"/>
    </xf>
    <xf numFmtId="4" fontId="53" fillId="52" borderId="66">
      <alignment horizontal="right" vertical="center"/>
    </xf>
    <xf numFmtId="0" fontId="53" fillId="52" borderId="66">
      <alignment horizontal="right" vertical="center"/>
    </xf>
    <xf numFmtId="0" fontId="64" fillId="74" borderId="57" applyNumberFormat="0" applyAlignment="0" applyProtection="0"/>
    <xf numFmtId="0" fontId="66" fillId="74" borderId="58" applyNumberFormat="0" applyAlignment="0" applyProtection="0"/>
    <xf numFmtId="0" fontId="71" fillId="0" borderId="60" applyNumberFormat="0" applyFill="0" applyAlignment="0" applyProtection="0"/>
    <xf numFmtId="0" fontId="55" fillId="51" borderId="66"/>
    <xf numFmtId="4" fontId="55" fillId="51" borderId="66"/>
    <xf numFmtId="4" fontId="53" fillId="52" borderId="66">
      <alignment horizontal="right" vertical="center"/>
    </xf>
    <xf numFmtId="0" fontId="57" fillId="50" borderId="66">
      <alignment horizontal="right" vertical="center"/>
    </xf>
    <xf numFmtId="0" fontId="70" fillId="61" borderId="58" applyNumberFormat="0" applyAlignment="0" applyProtection="0"/>
    <xf numFmtId="0" fontId="67" fillId="74" borderId="58" applyNumberFormat="0" applyAlignment="0" applyProtection="0"/>
    <xf numFmtId="4" fontId="55" fillId="0" borderId="66">
      <alignment horizontal="right" vertical="center"/>
    </xf>
    <xf numFmtId="0" fontId="55" fillId="52" borderId="69">
      <alignment horizontal="left" vertical="center" wrapText="1" indent="2"/>
    </xf>
    <xf numFmtId="0" fontId="55" fillId="0" borderId="69">
      <alignment horizontal="left" vertical="center" wrapText="1" indent="2"/>
    </xf>
    <xf numFmtId="0" fontId="83" fillId="74" borderId="57" applyNumberFormat="0" applyAlignment="0" applyProtection="0"/>
    <xf numFmtId="0" fontId="79" fillId="61" borderId="58" applyNumberFormat="0" applyAlignment="0" applyProtection="0"/>
    <xf numFmtId="0" fontId="66" fillId="74" borderId="58" applyNumberFormat="0" applyAlignment="0" applyProtection="0"/>
    <xf numFmtId="0" fontId="64" fillId="74" borderId="57" applyNumberFormat="0" applyAlignment="0" applyProtection="0"/>
    <xf numFmtId="0" fontId="53" fillId="52" borderId="68">
      <alignment horizontal="right" vertical="center"/>
    </xf>
    <xf numFmtId="0" fontId="57" fillId="50" borderId="66">
      <alignment horizontal="right" vertical="center"/>
    </xf>
    <xf numFmtId="4" fontId="53" fillId="50" borderId="66">
      <alignment horizontal="right" vertical="center"/>
    </xf>
    <xf numFmtId="4" fontId="53" fillId="52" borderId="66">
      <alignment horizontal="right" vertical="center"/>
    </xf>
    <xf numFmtId="49" fontId="55" fillId="0" borderId="67" applyNumberFormat="0" applyFont="0" applyFill="0" applyBorder="0" applyProtection="0">
      <alignment horizontal="left" vertical="center" indent="5"/>
    </xf>
    <xf numFmtId="4" fontId="55" fillId="0" borderId="66" applyFill="0" applyBorder="0" applyProtection="0">
      <alignment horizontal="right" vertical="center"/>
    </xf>
    <xf numFmtId="4" fontId="53" fillId="50" borderId="66">
      <alignment horizontal="right" vertical="center"/>
    </xf>
    <xf numFmtId="0" fontId="79" fillId="61" borderId="58" applyNumberFormat="0" applyAlignment="0" applyProtection="0"/>
    <xf numFmtId="0" fontId="70" fillId="61" borderId="58" applyNumberFormat="0" applyAlignment="0" applyProtection="0"/>
    <xf numFmtId="0" fontId="66" fillId="74" borderId="58" applyNumberFormat="0" applyAlignment="0" applyProtection="0"/>
    <xf numFmtId="0" fontId="55" fillId="52" borderId="69">
      <alignment horizontal="left" vertical="center" wrapText="1" indent="2"/>
    </xf>
    <xf numFmtId="0" fontId="55" fillId="0" borderId="69">
      <alignment horizontal="left" vertical="center" wrapText="1" indent="2"/>
    </xf>
    <xf numFmtId="0" fontId="55" fillId="52" borderId="69">
      <alignment horizontal="left" vertical="center" wrapText="1" indent="2"/>
    </xf>
    <xf numFmtId="0" fontId="55" fillId="0" borderId="69">
      <alignment horizontal="left" vertical="center" wrapText="1" indent="2"/>
    </xf>
  </cellStyleXfs>
  <cellXfs count="561">
    <xf numFmtId="0" fontId="0" fillId="0" borderId="0" xfId="0"/>
    <xf numFmtId="0" fontId="1" fillId="2" borderId="3" xfId="0" applyFont="1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15" xfId="0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Alignment="1">
      <alignment horizontal="left" indent="1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1" fillId="0" borderId="18" xfId="0" applyFont="1" applyBorder="1"/>
    <xf numFmtId="3" fontId="0" fillId="0" borderId="18" xfId="0" applyNumberFormat="1" applyBorder="1" applyAlignment="1">
      <alignment horizontal="center"/>
    </xf>
    <xf numFmtId="0" fontId="0" fillId="0" borderId="18" xfId="0" applyBorder="1"/>
    <xf numFmtId="0" fontId="1" fillId="4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3" fontId="4" fillId="5" borderId="0" xfId="0" applyNumberFormat="1" applyFont="1" applyFill="1"/>
    <xf numFmtId="3" fontId="4" fillId="5" borderId="18" xfId="0" applyNumberFormat="1" applyFont="1" applyFill="1" applyBorder="1"/>
    <xf numFmtId="0" fontId="5" fillId="5" borderId="0" xfId="0" applyFont="1" applyFill="1" applyAlignment="1">
      <alignment horizontal="right"/>
    </xf>
    <xf numFmtId="164" fontId="0" fillId="0" borderId="0" xfId="0" applyNumberFormat="1"/>
    <xf numFmtId="164" fontId="0" fillId="0" borderId="18" xfId="0" applyNumberFormat="1" applyBorder="1"/>
    <xf numFmtId="0" fontId="1" fillId="6" borderId="19" xfId="0" applyFont="1" applyFill="1" applyBorder="1"/>
    <xf numFmtId="0" fontId="1" fillId="6" borderId="20" xfId="0" applyFont="1" applyFill="1" applyBorder="1"/>
    <xf numFmtId="0" fontId="1" fillId="4" borderId="24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0" fontId="0" fillId="0" borderId="0" xfId="0" applyFill="1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3" fontId="6" fillId="0" borderId="0" xfId="0" applyNumberFormat="1" applyFont="1" applyAlignment="1">
      <alignment horizontal="center"/>
    </xf>
    <xf numFmtId="10" fontId="1" fillId="6" borderId="24" xfId="1" applyNumberFormat="1" applyFont="1" applyFill="1" applyBorder="1" applyAlignment="1">
      <alignment horizontal="center"/>
    </xf>
    <xf numFmtId="10" fontId="1" fillId="6" borderId="18" xfId="1" applyNumberFormat="1" applyFont="1" applyFill="1" applyBorder="1" applyAlignment="1">
      <alignment horizontal="center"/>
    </xf>
    <xf numFmtId="10" fontId="1" fillId="6" borderId="25" xfId="1" applyNumberFormat="1" applyFont="1" applyFill="1" applyBorder="1" applyAlignment="1">
      <alignment horizontal="center"/>
    </xf>
    <xf numFmtId="0" fontId="5" fillId="8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10" borderId="0" xfId="0" applyFill="1" applyAlignment="1"/>
    <xf numFmtId="0" fontId="0" fillId="10" borderId="0" xfId="0" applyFill="1"/>
    <xf numFmtId="0" fontId="1" fillId="4" borderId="0" xfId="0" applyFont="1" applyFill="1"/>
    <xf numFmtId="0" fontId="0" fillId="4" borderId="0" xfId="0" applyFill="1"/>
    <xf numFmtId="3" fontId="11" fillId="9" borderId="0" xfId="0" applyNumberFormat="1" applyFont="1" applyFill="1"/>
    <xf numFmtId="2" fontId="0" fillId="0" borderId="0" xfId="0" applyNumberFormat="1"/>
    <xf numFmtId="164" fontId="11" fillId="9" borderId="0" xfId="0" applyNumberFormat="1" applyFont="1" applyFill="1"/>
    <xf numFmtId="0" fontId="1" fillId="4" borderId="0" xfId="0" applyFont="1" applyFill="1" applyAlignment="1">
      <alignment horizontal="left"/>
    </xf>
    <xf numFmtId="1" fontId="9" fillId="0" borderId="0" xfId="0" applyNumberFormat="1" applyFont="1"/>
    <xf numFmtId="0" fontId="12" fillId="9" borderId="0" xfId="0" applyFont="1" applyFill="1"/>
    <xf numFmtId="0" fontId="9" fillId="0" borderId="0" xfId="0" applyFont="1" applyBorder="1"/>
    <xf numFmtId="164" fontId="0" fillId="0" borderId="0" xfId="0" applyNumberFormat="1" applyBorder="1"/>
    <xf numFmtId="164" fontId="0" fillId="0" borderId="15" xfId="0" applyNumberFormat="1" applyBorder="1"/>
    <xf numFmtId="0" fontId="9" fillId="0" borderId="7" xfId="0" applyFont="1" applyBorder="1"/>
    <xf numFmtId="164" fontId="0" fillId="0" borderId="7" xfId="0" applyNumberFormat="1" applyBorder="1"/>
    <xf numFmtId="164" fontId="0" fillId="0" borderId="29" xfId="0" applyNumberFormat="1" applyBorder="1"/>
    <xf numFmtId="0" fontId="1" fillId="4" borderId="30" xfId="0" applyFont="1" applyFill="1" applyBorder="1"/>
    <xf numFmtId="0" fontId="1" fillId="4" borderId="31" xfId="0" applyFont="1" applyFill="1" applyBorder="1"/>
    <xf numFmtId="0" fontId="10" fillId="9" borderId="32" xfId="0" applyFont="1" applyFill="1" applyBorder="1"/>
    <xf numFmtId="0" fontId="1" fillId="4" borderId="1" xfId="0" applyFont="1" applyFill="1" applyBorder="1"/>
    <xf numFmtId="0" fontId="1" fillId="4" borderId="33" xfId="0" applyFont="1" applyFill="1" applyBorder="1"/>
    <xf numFmtId="0" fontId="1" fillId="4" borderId="34" xfId="0" applyFont="1" applyFill="1" applyBorder="1"/>
    <xf numFmtId="0" fontId="1" fillId="0" borderId="7" xfId="0" applyFont="1" applyFill="1" applyBorder="1" applyAlignment="1">
      <alignment horizontal="left" vertical="center"/>
    </xf>
    <xf numFmtId="0" fontId="0" fillId="0" borderId="35" xfId="0" applyFill="1" applyBorder="1"/>
    <xf numFmtId="0" fontId="0" fillId="0" borderId="7" xfId="0" applyFill="1" applyBorder="1"/>
    <xf numFmtId="0" fontId="0" fillId="0" borderId="7" xfId="0" applyBorder="1"/>
    <xf numFmtId="0" fontId="0" fillId="11" borderId="7" xfId="0" applyFill="1" applyBorder="1"/>
    <xf numFmtId="0" fontId="0" fillId="0" borderId="35" xfId="0" applyBorder="1"/>
    <xf numFmtId="0" fontId="1" fillId="4" borderId="7" xfId="0" applyFont="1" applyFill="1" applyBorder="1"/>
    <xf numFmtId="0" fontId="1" fillId="4" borderId="35" xfId="0" applyFont="1" applyFill="1" applyBorder="1"/>
    <xf numFmtId="0" fontId="13" fillId="0" borderId="7" xfId="0" applyFont="1" applyBorder="1"/>
    <xf numFmtId="0" fontId="1" fillId="0" borderId="0" xfId="0" applyFont="1" applyFill="1"/>
    <xf numFmtId="0" fontId="1" fillId="0" borderId="32" xfId="0" applyFont="1" applyFill="1" applyBorder="1"/>
    <xf numFmtId="2" fontId="14" fillId="0" borderId="4" xfId="0" applyNumberFormat="1" applyFont="1" applyFill="1" applyBorder="1"/>
    <xf numFmtId="2" fontId="0" fillId="0" borderId="0" xfId="0" applyNumberFormat="1" applyFill="1"/>
    <xf numFmtId="2" fontId="0" fillId="0" borderId="32" xfId="0" applyNumberFormat="1" applyFill="1" applyBorder="1"/>
    <xf numFmtId="0" fontId="0" fillId="12" borderId="0" xfId="0" applyFill="1"/>
    <xf numFmtId="2" fontId="14" fillId="0" borderId="0" xfId="0" applyNumberFormat="1" applyFont="1" applyFill="1" applyBorder="1"/>
    <xf numFmtId="0" fontId="1" fillId="0" borderId="32" xfId="0" applyFont="1" applyBorder="1"/>
    <xf numFmtId="2" fontId="14" fillId="0" borderId="0" xfId="0" applyNumberFormat="1" applyFont="1" applyBorder="1"/>
    <xf numFmtId="2" fontId="0" fillId="0" borderId="32" xfId="0" applyNumberFormat="1" applyBorder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2" fontId="14" fillId="0" borderId="0" xfId="0" applyNumberFormat="1" applyFont="1"/>
    <xf numFmtId="0" fontId="0" fillId="17" borderId="0" xfId="0" applyFill="1"/>
    <xf numFmtId="0" fontId="0" fillId="6" borderId="0" xfId="0" applyFill="1"/>
    <xf numFmtId="0" fontId="0" fillId="18" borderId="0" xfId="0" applyFill="1"/>
    <xf numFmtId="0" fontId="0" fillId="19" borderId="0" xfId="0" applyFill="1"/>
    <xf numFmtId="0" fontId="0" fillId="0" borderId="32" xfId="0" applyBorder="1"/>
    <xf numFmtId="2" fontId="11" fillId="9" borderId="0" xfId="0" applyNumberFormat="1" applyFont="1" applyFill="1"/>
    <xf numFmtId="0" fontId="16" fillId="13" borderId="0" xfId="2" applyFill="1"/>
    <xf numFmtId="0" fontId="1" fillId="13" borderId="0" xfId="0" applyFont="1" applyFill="1" applyAlignment="1">
      <alignment horizontal="right"/>
    </xf>
    <xf numFmtId="0" fontId="1" fillId="13" borderId="0" xfId="0" applyFont="1" applyFill="1"/>
    <xf numFmtId="0" fontId="15" fillId="10" borderId="0" xfId="0" applyFont="1" applyFill="1" applyAlignment="1"/>
    <xf numFmtId="0" fontId="15" fillId="10" borderId="0" xfId="0" applyFont="1" applyFill="1"/>
    <xf numFmtId="0" fontId="9" fillId="3" borderId="0" xfId="0" applyFont="1" applyFill="1" applyBorder="1"/>
    <xf numFmtId="2" fontId="0" fillId="3" borderId="0" xfId="0" applyNumberFormat="1" applyFill="1" applyBorder="1"/>
    <xf numFmtId="2" fontId="0" fillId="3" borderId="15" xfId="0" applyNumberFormat="1" applyFill="1" applyBorder="1"/>
    <xf numFmtId="0" fontId="9" fillId="3" borderId="7" xfId="0" applyFont="1" applyFill="1" applyBorder="1"/>
    <xf numFmtId="2" fontId="0" fillId="3" borderId="7" xfId="0" applyNumberFormat="1" applyFill="1" applyBorder="1"/>
    <xf numFmtId="2" fontId="0" fillId="3" borderId="29" xfId="0" applyNumberFormat="1" applyFill="1" applyBorder="1"/>
    <xf numFmtId="0" fontId="1" fillId="3" borderId="0" xfId="0" applyFont="1" applyFill="1"/>
    <xf numFmtId="0" fontId="0" fillId="3" borderId="0" xfId="0" applyFill="1"/>
    <xf numFmtId="3" fontId="17" fillId="8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/>
    <xf numFmtId="9" fontId="0" fillId="0" borderId="0" xfId="1" applyFont="1"/>
    <xf numFmtId="2" fontId="19" fillId="0" borderId="0" xfId="0" applyNumberFormat="1" applyFont="1"/>
    <xf numFmtId="0" fontId="19" fillId="0" borderId="0" xfId="0" applyFont="1"/>
    <xf numFmtId="2" fontId="18" fillId="4" borderId="0" xfId="0" applyNumberFormat="1" applyFont="1" applyFill="1"/>
    <xf numFmtId="0" fontId="20" fillId="0" borderId="0" xfId="0" applyFont="1"/>
    <xf numFmtId="0" fontId="20" fillId="4" borderId="0" xfId="0" applyFont="1" applyFill="1"/>
    <xf numFmtId="0" fontId="1" fillId="20" borderId="0" xfId="0" applyFont="1" applyFill="1"/>
    <xf numFmtId="0" fontId="0" fillId="20" borderId="0" xfId="0" applyFill="1"/>
    <xf numFmtId="2" fontId="0" fillId="20" borderId="0" xfId="0" applyNumberFormat="1" applyFill="1"/>
    <xf numFmtId="0" fontId="1" fillId="6" borderId="0" xfId="0" applyFont="1" applyFill="1"/>
    <xf numFmtId="2" fontId="0" fillId="6" borderId="0" xfId="0" applyNumberFormat="1" applyFill="1"/>
    <xf numFmtId="0" fontId="20" fillId="20" borderId="0" xfId="0" applyFont="1" applyFill="1"/>
    <xf numFmtId="2" fontId="18" fillId="20" borderId="0" xfId="0" applyNumberFormat="1" applyFont="1" applyFill="1"/>
    <xf numFmtId="2" fontId="19" fillId="20" borderId="0" xfId="0" applyNumberFormat="1" applyFont="1" applyFill="1"/>
    <xf numFmtId="165" fontId="0" fillId="0" borderId="0" xfId="0" applyNumberFormat="1" applyFill="1"/>
    <xf numFmtId="0" fontId="18" fillId="0" borderId="0" xfId="0" applyFont="1" applyFill="1"/>
    <xf numFmtId="9" fontId="18" fillId="0" borderId="0" xfId="1" applyFont="1"/>
    <xf numFmtId="9" fontId="21" fillId="0" borderId="0" xfId="1" applyFont="1"/>
    <xf numFmtId="2" fontId="18" fillId="21" borderId="0" xfId="0" applyNumberFormat="1" applyFont="1" applyFill="1"/>
    <xf numFmtId="0" fontId="18" fillId="21" borderId="0" xfId="0" applyFont="1" applyFill="1"/>
    <xf numFmtId="164" fontId="18" fillId="4" borderId="0" xfId="0" applyNumberFormat="1" applyFont="1" applyFill="1"/>
    <xf numFmtId="164" fontId="19" fillId="0" borderId="0" xfId="0" applyNumberFormat="1" applyFont="1"/>
    <xf numFmtId="164" fontId="18" fillId="21" borderId="0" xfId="0" applyNumberFormat="1" applyFont="1" applyFill="1"/>
    <xf numFmtId="0" fontId="1" fillId="6" borderId="22" xfId="0" applyFont="1" applyFill="1" applyBorder="1"/>
    <xf numFmtId="0" fontId="0" fillId="6" borderId="22" xfId="0" applyFill="1" applyBorder="1"/>
    <xf numFmtId="2" fontId="0" fillId="6" borderId="22" xfId="0" applyNumberFormat="1" applyFill="1" applyBorder="1"/>
    <xf numFmtId="0" fontId="1" fillId="20" borderId="22" xfId="0" applyFont="1" applyFill="1" applyBorder="1"/>
    <xf numFmtId="0" fontId="0" fillId="20" borderId="22" xfId="0" applyFill="1" applyBorder="1"/>
    <xf numFmtId="2" fontId="0" fillId="20" borderId="22" xfId="0" applyNumberFormat="1" applyFill="1" applyBorder="1"/>
    <xf numFmtId="2" fontId="18" fillId="20" borderId="22" xfId="0" applyNumberFormat="1" applyFont="1" applyFill="1" applyBorder="1"/>
    <xf numFmtId="2" fontId="19" fillId="20" borderId="22" xfId="0" applyNumberFormat="1" applyFont="1" applyFill="1" applyBorder="1"/>
    <xf numFmtId="165" fontId="0" fillId="0" borderId="22" xfId="0" applyNumberFormat="1" applyFill="1" applyBorder="1"/>
    <xf numFmtId="2" fontId="0" fillId="0" borderId="22" xfId="0" applyNumberFormat="1" applyFill="1" applyBorder="1"/>
    <xf numFmtId="0" fontId="1" fillId="6" borderId="21" xfId="0" applyFont="1" applyFill="1" applyBorder="1"/>
    <xf numFmtId="0" fontId="1" fillId="6" borderId="23" xfId="0" applyFont="1" applyFill="1" applyBorder="1"/>
    <xf numFmtId="0" fontId="1" fillId="6" borderId="36" xfId="0" applyFont="1" applyFill="1" applyBorder="1"/>
    <xf numFmtId="0" fontId="0" fillId="6" borderId="0" xfId="0" applyFill="1" applyBorder="1"/>
    <xf numFmtId="2" fontId="0" fillId="6" borderId="0" xfId="0" applyNumberFormat="1" applyFill="1" applyBorder="1"/>
    <xf numFmtId="2" fontId="0" fillId="6" borderId="32" xfId="0" applyNumberFormat="1" applyFill="1" applyBorder="1"/>
    <xf numFmtId="0" fontId="1" fillId="6" borderId="24" xfId="0" applyFont="1" applyFill="1" applyBorder="1"/>
    <xf numFmtId="0" fontId="0" fillId="6" borderId="18" xfId="0" applyFill="1" applyBorder="1"/>
    <xf numFmtId="2" fontId="0" fillId="6" borderId="18" xfId="0" applyNumberFormat="1" applyFill="1" applyBorder="1"/>
    <xf numFmtId="2" fontId="0" fillId="6" borderId="25" xfId="0" applyNumberFormat="1" applyFill="1" applyBorder="1"/>
    <xf numFmtId="0" fontId="1" fillId="20" borderId="21" xfId="0" applyFont="1" applyFill="1" applyBorder="1"/>
    <xf numFmtId="0" fontId="20" fillId="20" borderId="22" xfId="0" applyFont="1" applyFill="1" applyBorder="1"/>
    <xf numFmtId="0" fontId="20" fillId="20" borderId="23" xfId="0" applyFont="1" applyFill="1" applyBorder="1"/>
    <xf numFmtId="0" fontId="1" fillId="20" borderId="36" xfId="0" applyFont="1" applyFill="1" applyBorder="1"/>
    <xf numFmtId="0" fontId="0" fillId="20" borderId="0" xfId="0" applyFill="1" applyBorder="1"/>
    <xf numFmtId="2" fontId="0" fillId="20" borderId="0" xfId="0" applyNumberFormat="1" applyFill="1" applyBorder="1"/>
    <xf numFmtId="2" fontId="18" fillId="20" borderId="0" xfId="0" applyNumberFormat="1" applyFont="1" applyFill="1" applyBorder="1"/>
    <xf numFmtId="2" fontId="19" fillId="20" borderId="0" xfId="0" applyNumberFormat="1" applyFont="1" applyFill="1" applyBorder="1"/>
    <xf numFmtId="2" fontId="0" fillId="20" borderId="32" xfId="0" applyNumberFormat="1" applyFill="1" applyBorder="1"/>
    <xf numFmtId="0" fontId="1" fillId="20" borderId="24" xfId="0" applyFont="1" applyFill="1" applyBorder="1"/>
    <xf numFmtId="0" fontId="0" fillId="20" borderId="18" xfId="0" applyFill="1" applyBorder="1"/>
    <xf numFmtId="2" fontId="0" fillId="20" borderId="18" xfId="0" applyNumberFormat="1" applyFill="1" applyBorder="1"/>
    <xf numFmtId="2" fontId="18" fillId="20" borderId="18" xfId="0" applyNumberFormat="1" applyFont="1" applyFill="1" applyBorder="1"/>
    <xf numFmtId="2" fontId="19" fillId="20" borderId="18" xfId="0" applyNumberFormat="1" applyFont="1" applyFill="1" applyBorder="1"/>
    <xf numFmtId="2" fontId="0" fillId="20" borderId="25" xfId="0" applyNumberFormat="1" applyFill="1" applyBorder="1"/>
    <xf numFmtId="9" fontId="0" fillId="0" borderId="0" xfId="0" applyNumberFormat="1"/>
    <xf numFmtId="0" fontId="16" fillId="0" borderId="0" xfId="2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18" xfId="0" applyBorder="1" applyAlignment="1">
      <alignment horizontal="right"/>
    </xf>
    <xf numFmtId="3" fontId="0" fillId="0" borderId="18" xfId="0" applyNumberFormat="1" applyBorder="1" applyAlignment="1">
      <alignment horizontal="right"/>
    </xf>
    <xf numFmtId="0" fontId="0" fillId="0" borderId="25" xfId="0" applyBorder="1"/>
    <xf numFmtId="0" fontId="0" fillId="0" borderId="25" xfId="0" applyBorder="1" applyAlignment="1">
      <alignment horizontal="right"/>
    </xf>
    <xf numFmtId="3" fontId="0" fillId="0" borderId="32" xfId="0" applyNumberFormat="1" applyBorder="1" applyAlignment="1">
      <alignment horizontal="right"/>
    </xf>
    <xf numFmtId="3" fontId="0" fillId="0" borderId="25" xfId="0" applyNumberFormat="1" applyBorder="1" applyAlignment="1">
      <alignment horizontal="right"/>
    </xf>
    <xf numFmtId="3" fontId="0" fillId="0" borderId="32" xfId="0" applyNumberFormat="1" applyBorder="1" applyAlignment="1">
      <alignment horizontal="center"/>
    </xf>
    <xf numFmtId="0" fontId="15" fillId="11" borderId="0" xfId="0" applyFont="1" applyFill="1"/>
    <xf numFmtId="3" fontId="15" fillId="11" borderId="0" xfId="0" applyNumberFormat="1" applyFont="1" applyFill="1" applyAlignment="1">
      <alignment horizontal="center"/>
    </xf>
    <xf numFmtId="0" fontId="20" fillId="11" borderId="0" xfId="0" applyFont="1" applyFill="1" applyAlignment="1">
      <alignment horizontal="center"/>
    </xf>
    <xf numFmtId="0" fontId="20" fillId="11" borderId="0" xfId="0" applyFont="1" applyFill="1" applyAlignment="1">
      <alignment horizontal="right"/>
    </xf>
    <xf numFmtId="166" fontId="15" fillId="11" borderId="0" xfId="1" applyNumberFormat="1" applyFont="1" applyFill="1" applyAlignment="1">
      <alignment horizontal="center"/>
    </xf>
    <xf numFmtId="10" fontId="0" fillId="0" borderId="0" xfId="0" applyNumberFormat="1"/>
    <xf numFmtId="0" fontId="1" fillId="0" borderId="0" xfId="0" applyFont="1" applyAlignment="1">
      <alignment horizontal="right"/>
    </xf>
    <xf numFmtId="9" fontId="0" fillId="0" borderId="0" xfId="1" applyFont="1" applyFill="1" applyBorder="1" applyAlignment="1">
      <alignment horizontal="right"/>
    </xf>
    <xf numFmtId="3" fontId="1" fillId="11" borderId="32" xfId="0" applyNumberFormat="1" applyFont="1" applyFill="1" applyBorder="1" applyAlignment="1">
      <alignment horizontal="right"/>
    </xf>
    <xf numFmtId="3" fontId="1" fillId="11" borderId="0" xfId="0" applyNumberFormat="1" applyFont="1" applyFill="1"/>
    <xf numFmtId="3" fontId="25" fillId="0" borderId="0" xfId="0" applyNumberFormat="1" applyFont="1"/>
    <xf numFmtId="0" fontId="1" fillId="0" borderId="18" xfId="0" applyFont="1" applyBorder="1" applyAlignment="1">
      <alignment horizontal="right"/>
    </xf>
    <xf numFmtId="0" fontId="1" fillId="0" borderId="25" xfId="0" applyFont="1" applyBorder="1" applyAlignment="1">
      <alignment horizontal="right"/>
    </xf>
    <xf numFmtId="0" fontId="1" fillId="0" borderId="25" xfId="0" applyFont="1" applyBorder="1"/>
    <xf numFmtId="0" fontId="26" fillId="0" borderId="0" xfId="0" applyFont="1" applyAlignment="1">
      <alignment horizontal="right"/>
    </xf>
    <xf numFmtId="0" fontId="27" fillId="0" borderId="0" xfId="2" applyFont="1"/>
    <xf numFmtId="0" fontId="22" fillId="0" borderId="0" xfId="0" applyFont="1"/>
    <xf numFmtId="0" fontId="24" fillId="0" borderId="0" xfId="0" applyFont="1"/>
    <xf numFmtId="0" fontId="15" fillId="0" borderId="0" xfId="0" applyFont="1" applyAlignment="1">
      <alignment horizontal="right"/>
    </xf>
    <xf numFmtId="10" fontId="15" fillId="0" borderId="0" xfId="0" applyNumberFormat="1" applyFont="1"/>
    <xf numFmtId="0" fontId="1" fillId="4" borderId="18" xfId="0" applyFont="1" applyFill="1" applyBorder="1" applyAlignment="1">
      <alignment horizontal="right"/>
    </xf>
    <xf numFmtId="3" fontId="33" fillId="4" borderId="0" xfId="0" applyNumberFormat="1" applyFont="1" applyFill="1" applyAlignment="1">
      <alignment horizontal="right"/>
    </xf>
    <xf numFmtId="3" fontId="34" fillId="4" borderId="0" xfId="0" applyNumberFormat="1" applyFont="1" applyFill="1" applyAlignment="1">
      <alignment horizontal="right"/>
    </xf>
    <xf numFmtId="3" fontId="33" fillId="0" borderId="0" xfId="0" applyNumberFormat="1" applyFont="1" applyAlignment="1">
      <alignment horizontal="right"/>
    </xf>
    <xf numFmtId="164" fontId="34" fillId="4" borderId="0" xfId="0" applyNumberFormat="1" applyFont="1" applyFill="1" applyAlignment="1">
      <alignment horizontal="right"/>
    </xf>
    <xf numFmtId="0" fontId="33" fillId="0" borderId="0" xfId="0" applyFont="1" applyAlignment="1">
      <alignment horizontal="right"/>
    </xf>
    <xf numFmtId="10" fontId="34" fillId="4" borderId="18" xfId="1" applyNumberFormat="1" applyFont="1" applyFill="1" applyBorder="1" applyAlignment="1">
      <alignment horizontal="right"/>
    </xf>
    <xf numFmtId="10" fontId="33" fillId="0" borderId="18" xfId="1" applyNumberFormat="1" applyFont="1" applyBorder="1" applyAlignment="1">
      <alignment horizontal="right"/>
    </xf>
    <xf numFmtId="3" fontId="31" fillId="4" borderId="22" xfId="0" applyNumberFormat="1" applyFont="1" applyFill="1" applyBorder="1" applyAlignment="1">
      <alignment horizontal="right"/>
    </xf>
    <xf numFmtId="3" fontId="30" fillId="4" borderId="22" xfId="0" applyNumberFormat="1" applyFont="1" applyFill="1" applyBorder="1" applyAlignment="1">
      <alignment horizontal="right"/>
    </xf>
    <xf numFmtId="3" fontId="31" fillId="0" borderId="22" xfId="0" applyNumberFormat="1" applyFont="1" applyBorder="1" applyAlignment="1">
      <alignment horizontal="right"/>
    </xf>
    <xf numFmtId="0" fontId="31" fillId="4" borderId="0" xfId="0" applyFont="1" applyFill="1" applyBorder="1" applyAlignment="1">
      <alignment horizontal="right"/>
    </xf>
    <xf numFmtId="164" fontId="30" fillId="4" borderId="0" xfId="0" applyNumberFormat="1" applyFont="1" applyFill="1" applyBorder="1" applyAlignment="1">
      <alignment horizontal="right"/>
    </xf>
    <xf numFmtId="164" fontId="31" fillId="0" borderId="0" xfId="0" applyNumberFormat="1" applyFont="1" applyBorder="1" applyAlignment="1">
      <alignment horizontal="right"/>
    </xf>
    <xf numFmtId="0" fontId="31" fillId="4" borderId="18" xfId="0" applyFont="1" applyFill="1" applyBorder="1" applyAlignment="1">
      <alignment horizontal="right"/>
    </xf>
    <xf numFmtId="10" fontId="30" fillId="4" borderId="18" xfId="1" applyNumberFormat="1" applyFont="1" applyFill="1" applyBorder="1" applyAlignment="1">
      <alignment horizontal="right"/>
    </xf>
    <xf numFmtId="10" fontId="31" fillId="0" borderId="18" xfId="1" applyNumberFormat="1" applyFont="1" applyBorder="1" applyAlignment="1">
      <alignment horizontal="right"/>
    </xf>
    <xf numFmtId="166" fontId="31" fillId="0" borderId="18" xfId="1" applyNumberFormat="1" applyFont="1" applyBorder="1" applyAlignment="1">
      <alignment horizontal="right"/>
    </xf>
    <xf numFmtId="3" fontId="15" fillId="4" borderId="22" xfId="0" applyNumberFormat="1" applyFont="1" applyFill="1" applyBorder="1" applyAlignment="1">
      <alignment horizontal="right"/>
    </xf>
    <xf numFmtId="3" fontId="24" fillId="4" borderId="22" xfId="0" applyNumberFormat="1" applyFont="1" applyFill="1" applyBorder="1" applyAlignment="1">
      <alignment horizontal="right"/>
    </xf>
    <xf numFmtId="3" fontId="15" fillId="0" borderId="22" xfId="0" applyNumberFormat="1" applyFont="1" applyBorder="1" applyAlignment="1">
      <alignment horizontal="right"/>
    </xf>
    <xf numFmtId="0" fontId="15" fillId="4" borderId="0" xfId="0" applyFont="1" applyFill="1" applyBorder="1" applyAlignment="1">
      <alignment horizontal="right"/>
    </xf>
    <xf numFmtId="164" fontId="24" fillId="4" borderId="0" xfId="0" applyNumberFormat="1" applyFont="1" applyFill="1" applyBorder="1" applyAlignment="1">
      <alignment horizontal="right"/>
    </xf>
    <xf numFmtId="164" fontId="15" fillId="0" borderId="0" xfId="0" applyNumberFormat="1" applyFont="1" applyBorder="1" applyAlignment="1">
      <alignment horizontal="right"/>
    </xf>
    <xf numFmtId="0" fontId="15" fillId="4" borderId="18" xfId="0" applyFont="1" applyFill="1" applyBorder="1" applyAlignment="1">
      <alignment horizontal="right"/>
    </xf>
    <xf numFmtId="10" fontId="24" fillId="4" borderId="18" xfId="1" applyNumberFormat="1" applyFont="1" applyFill="1" applyBorder="1" applyAlignment="1">
      <alignment horizontal="right"/>
    </xf>
    <xf numFmtId="10" fontId="15" fillId="0" borderId="18" xfId="1" applyNumberFormat="1" applyFont="1" applyBorder="1" applyAlignment="1">
      <alignment horizontal="right"/>
    </xf>
    <xf numFmtId="166" fontId="15" fillId="0" borderId="18" xfId="1" applyNumberFormat="1" applyFont="1" applyBorder="1" applyAlignment="1">
      <alignment horizontal="right"/>
    </xf>
    <xf numFmtId="9" fontId="33" fillId="0" borderId="0" xfId="1" applyFont="1" applyAlignment="1">
      <alignment horizontal="right"/>
    </xf>
    <xf numFmtId="3" fontId="15" fillId="4" borderId="0" xfId="0" applyNumberFormat="1" applyFont="1" applyFill="1" applyBorder="1" applyAlignment="1">
      <alignment horizontal="right"/>
    </xf>
    <xf numFmtId="3" fontId="31" fillId="4" borderId="0" xfId="0" applyNumberFormat="1" applyFont="1" applyFill="1" applyBorder="1" applyAlignment="1">
      <alignment horizontal="right"/>
    </xf>
    <xf numFmtId="4" fontId="33" fillId="0" borderId="0" xfId="0" applyNumberFormat="1" applyFont="1" applyAlignment="1">
      <alignment horizontal="right"/>
    </xf>
    <xf numFmtId="0" fontId="33" fillId="4" borderId="0" xfId="0" applyFont="1" applyFill="1" applyAlignment="1">
      <alignment horizontal="left"/>
    </xf>
    <xf numFmtId="0" fontId="33" fillId="4" borderId="18" xfId="0" applyFont="1" applyFill="1" applyBorder="1" applyAlignment="1">
      <alignment horizontal="left"/>
    </xf>
    <xf numFmtId="3" fontId="30" fillId="4" borderId="0" xfId="0" applyNumberFormat="1" applyFont="1" applyFill="1" applyAlignment="1">
      <alignment horizontal="right"/>
    </xf>
    <xf numFmtId="3" fontId="24" fillId="4" borderId="0" xfId="0" applyNumberFormat="1" applyFont="1" applyFill="1" applyAlignment="1">
      <alignment horizontal="right"/>
    </xf>
    <xf numFmtId="4" fontId="31" fillId="0" borderId="0" xfId="0" applyNumberFormat="1" applyFont="1" applyBorder="1" applyAlignment="1">
      <alignment horizontal="right"/>
    </xf>
    <xf numFmtId="4" fontId="15" fillId="0" borderId="0" xfId="0" applyNumberFormat="1" applyFont="1" applyBorder="1" applyAlignment="1">
      <alignment horizontal="right"/>
    </xf>
    <xf numFmtId="0" fontId="32" fillId="0" borderId="18" xfId="0" applyFont="1" applyBorder="1" applyAlignment="1">
      <alignment horizontal="right"/>
    </xf>
    <xf numFmtId="0" fontId="32" fillId="0" borderId="25" xfId="0" applyFont="1" applyBorder="1" applyAlignment="1">
      <alignment horizontal="right"/>
    </xf>
    <xf numFmtId="3" fontId="21" fillId="0" borderId="0" xfId="0" applyNumberFormat="1" applyFont="1" applyAlignment="1">
      <alignment horizontal="right"/>
    </xf>
    <xf numFmtId="3" fontId="21" fillId="0" borderId="32" xfId="0" applyNumberFormat="1" applyFont="1" applyBorder="1" applyAlignment="1">
      <alignment horizontal="right"/>
    </xf>
    <xf numFmtId="3" fontId="21" fillId="0" borderId="18" xfId="0" applyNumberFormat="1" applyFont="1" applyBorder="1" applyAlignment="1">
      <alignment horizontal="right"/>
    </xf>
    <xf numFmtId="3" fontId="21" fillId="0" borderId="25" xfId="0" applyNumberFormat="1" applyFont="1" applyBorder="1" applyAlignment="1">
      <alignment horizontal="right"/>
    </xf>
    <xf numFmtId="3" fontId="32" fillId="11" borderId="32" xfId="0" applyNumberFormat="1" applyFont="1" applyFill="1" applyBorder="1" applyAlignment="1">
      <alignment horizontal="right"/>
    </xf>
    <xf numFmtId="0" fontId="23" fillId="8" borderId="0" xfId="0" applyFont="1" applyFill="1"/>
    <xf numFmtId="0" fontId="4" fillId="8" borderId="0" xfId="0" applyFont="1" applyFill="1"/>
    <xf numFmtId="0" fontId="1" fillId="13" borderId="25" xfId="0" applyFont="1" applyFill="1" applyBorder="1"/>
    <xf numFmtId="0" fontId="1" fillId="13" borderId="18" xfId="0" applyFont="1" applyFill="1" applyBorder="1" applyAlignment="1">
      <alignment horizontal="right"/>
    </xf>
    <xf numFmtId="0" fontId="1" fillId="13" borderId="32" xfId="0" applyFont="1" applyFill="1" applyBorder="1"/>
    <xf numFmtId="3" fontId="0" fillId="13" borderId="0" xfId="0" applyNumberFormat="1" applyFill="1" applyAlignment="1">
      <alignment horizontal="right"/>
    </xf>
    <xf numFmtId="4" fontId="0" fillId="13" borderId="0" xfId="0" applyNumberFormat="1" applyFill="1" applyAlignment="1">
      <alignment horizontal="right"/>
    </xf>
    <xf numFmtId="3" fontId="0" fillId="13" borderId="18" xfId="0" applyNumberFormat="1" applyFill="1" applyBorder="1" applyAlignment="1">
      <alignment horizontal="right"/>
    </xf>
    <xf numFmtId="4" fontId="0" fillId="13" borderId="18" xfId="0" applyNumberFormat="1" applyFill="1" applyBorder="1" applyAlignment="1">
      <alignment horizontal="right"/>
    </xf>
    <xf numFmtId="0" fontId="1" fillId="6" borderId="25" xfId="0" applyFont="1" applyFill="1" applyBorder="1"/>
    <xf numFmtId="0" fontId="1" fillId="6" borderId="18" xfId="0" applyFont="1" applyFill="1" applyBorder="1" applyAlignment="1">
      <alignment horizontal="right"/>
    </xf>
    <xf numFmtId="0" fontId="1" fillId="6" borderId="32" xfId="0" applyFont="1" applyFill="1" applyBorder="1"/>
    <xf numFmtId="3" fontId="0" fillId="6" borderId="0" xfId="0" applyNumberFormat="1" applyFill="1" applyAlignment="1">
      <alignment horizontal="right"/>
    </xf>
    <xf numFmtId="4" fontId="0" fillId="6" borderId="0" xfId="0" applyNumberFormat="1" applyFill="1" applyAlignment="1">
      <alignment horizontal="right"/>
    </xf>
    <xf numFmtId="3" fontId="0" fillId="6" borderId="18" xfId="0" applyNumberFormat="1" applyFill="1" applyBorder="1" applyAlignment="1">
      <alignment horizontal="right"/>
    </xf>
    <xf numFmtId="4" fontId="0" fillId="6" borderId="18" xfId="0" applyNumberFormat="1" applyFill="1" applyBorder="1" applyAlignment="1">
      <alignment horizontal="right"/>
    </xf>
    <xf numFmtId="0" fontId="1" fillId="22" borderId="25" xfId="0" applyFont="1" applyFill="1" applyBorder="1"/>
    <xf numFmtId="0" fontId="1" fillId="22" borderId="18" xfId="0" applyFont="1" applyFill="1" applyBorder="1" applyAlignment="1">
      <alignment horizontal="right"/>
    </xf>
    <xf numFmtId="0" fontId="1" fillId="22" borderId="32" xfId="0" applyFont="1" applyFill="1" applyBorder="1"/>
    <xf numFmtId="3" fontId="0" fillId="22" borderId="0" xfId="0" applyNumberFormat="1" applyFill="1" applyAlignment="1">
      <alignment horizontal="right"/>
    </xf>
    <xf numFmtId="4" fontId="0" fillId="22" borderId="0" xfId="0" applyNumberFormat="1" applyFill="1" applyAlignment="1">
      <alignment horizontal="right"/>
    </xf>
    <xf numFmtId="3" fontId="0" fillId="22" borderId="18" xfId="0" applyNumberFormat="1" applyFill="1" applyBorder="1" applyAlignment="1">
      <alignment horizontal="right"/>
    </xf>
    <xf numFmtId="4" fontId="0" fillId="22" borderId="18" xfId="0" applyNumberFormat="1" applyFill="1" applyBorder="1" applyAlignment="1">
      <alignment horizontal="right"/>
    </xf>
    <xf numFmtId="0" fontId="16" fillId="0" borderId="15" xfId="2" applyBorder="1" applyAlignment="1">
      <alignment wrapText="1"/>
    </xf>
    <xf numFmtId="0" fontId="0" fillId="0" borderId="22" xfId="0" applyBorder="1" applyAlignment="1">
      <alignment horizontal="right"/>
    </xf>
    <xf numFmtId="3" fontId="0" fillId="0" borderId="22" xfId="0" applyNumberFormat="1" applyBorder="1"/>
    <xf numFmtId="4" fontId="0" fillId="0" borderId="0" xfId="0" applyNumberFormat="1" applyFill="1" applyBorder="1"/>
    <xf numFmtId="0" fontId="0" fillId="0" borderId="0" xfId="0" applyBorder="1" applyAlignment="1">
      <alignment horizontal="right"/>
    </xf>
    <xf numFmtId="0" fontId="0" fillId="0" borderId="0" xfId="0" applyBorder="1"/>
    <xf numFmtId="10" fontId="0" fillId="0" borderId="0" xfId="0" applyNumberFormat="1" applyBorder="1"/>
    <xf numFmtId="10" fontId="0" fillId="0" borderId="18" xfId="0" applyNumberFormat="1" applyBorder="1"/>
    <xf numFmtId="0" fontId="0" fillId="0" borderId="21" xfId="0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 applyAlignment="1">
      <alignment horizontal="right"/>
    </xf>
    <xf numFmtId="4" fontId="0" fillId="0" borderId="18" xfId="0" applyNumberFormat="1" applyBorder="1"/>
    <xf numFmtId="4" fontId="0" fillId="0" borderId="25" xfId="0" applyNumberFormat="1" applyBorder="1"/>
    <xf numFmtId="0" fontId="24" fillId="0" borderId="22" xfId="0" applyFont="1" applyBorder="1"/>
    <xf numFmtId="0" fontId="35" fillId="0" borderId="0" xfId="2" applyFont="1"/>
    <xf numFmtId="0" fontId="1" fillId="0" borderId="0" xfId="0" applyFont="1" applyBorder="1" applyAlignment="1">
      <alignment horizontal="right"/>
    </xf>
    <xf numFmtId="3" fontId="0" fillId="0" borderId="0" xfId="0" applyNumberFormat="1" applyBorder="1"/>
    <xf numFmtId="4" fontId="0" fillId="0" borderId="0" xfId="0" applyNumberFormat="1" applyBorder="1"/>
    <xf numFmtId="4" fontId="15" fillId="0" borderId="0" xfId="0" applyNumberFormat="1" applyFont="1" applyBorder="1"/>
    <xf numFmtId="0" fontId="0" fillId="5" borderId="0" xfId="0" applyFill="1"/>
    <xf numFmtId="0" fontId="36" fillId="23" borderId="0" xfId="0" applyFont="1" applyFill="1" applyAlignment="1">
      <alignment horizontal="left" vertical="center" wrapText="1"/>
    </xf>
    <xf numFmtId="0" fontId="37" fillId="24" borderId="0" xfId="0" applyFont="1" applyFill="1" applyAlignment="1">
      <alignment horizontal="right" vertical="center"/>
    </xf>
    <xf numFmtId="3" fontId="37" fillId="0" borderId="0" xfId="0" applyNumberFormat="1" applyFont="1" applyAlignment="1">
      <alignment horizontal="right" vertical="center"/>
    </xf>
    <xf numFmtId="9" fontId="19" fillId="0" borderId="0" xfId="1" applyFont="1"/>
    <xf numFmtId="0" fontId="21" fillId="0" borderId="0" xfId="0" applyFont="1"/>
    <xf numFmtId="14" fontId="0" fillId="0" borderId="0" xfId="0" applyNumberFormat="1"/>
    <xf numFmtId="166" fontId="0" fillId="0" borderId="0" xfId="1" applyNumberFormat="1" applyFont="1"/>
    <xf numFmtId="0" fontId="1" fillId="10" borderId="0" xfId="0" applyFont="1" applyFill="1"/>
    <xf numFmtId="0" fontId="1" fillId="19" borderId="0" xfId="0" applyFont="1" applyFill="1"/>
    <xf numFmtId="2" fontId="0" fillId="19" borderId="0" xfId="0" applyNumberFormat="1" applyFill="1"/>
    <xf numFmtId="0" fontId="1" fillId="19" borderId="0" xfId="0" applyFont="1" applyFill="1" applyAlignment="1">
      <alignment horizontal="right"/>
    </xf>
    <xf numFmtId="166" fontId="19" fillId="0" borderId="0" xfId="1" applyNumberFormat="1" applyFont="1"/>
    <xf numFmtId="166" fontId="18" fillId="0" borderId="0" xfId="1" applyNumberFormat="1" applyFont="1"/>
    <xf numFmtId="0" fontId="38" fillId="25" borderId="0" xfId="0" applyFont="1" applyFill="1"/>
    <xf numFmtId="3" fontId="0" fillId="10" borderId="0" xfId="0" applyNumberFormat="1" applyFill="1"/>
    <xf numFmtId="0" fontId="4" fillId="8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3" fontId="0" fillId="19" borderId="0" xfId="0" applyNumberFormat="1" applyFont="1" applyFill="1"/>
    <xf numFmtId="0" fontId="20" fillId="0" borderId="22" xfId="0" applyFont="1" applyBorder="1"/>
    <xf numFmtId="4" fontId="19" fillId="0" borderId="18" xfId="0" applyNumberFormat="1" applyFont="1" applyBorder="1"/>
    <xf numFmtId="3" fontId="0" fillId="4" borderId="0" xfId="0" applyNumberFormat="1" applyFont="1" applyFill="1"/>
    <xf numFmtId="2" fontId="0" fillId="4" borderId="0" xfId="0" applyNumberFormat="1" applyFill="1"/>
    <xf numFmtId="0" fontId="39" fillId="0" borderId="0" xfId="0" applyFont="1" applyAlignment="1">
      <alignment horizontal="right"/>
    </xf>
    <xf numFmtId="0" fontId="6" fillId="0" borderId="0" xfId="0" applyFont="1"/>
    <xf numFmtId="0" fontId="6" fillId="0" borderId="21" xfId="0" applyFont="1" applyBorder="1"/>
    <xf numFmtId="0" fontId="39" fillId="0" borderId="22" xfId="0" applyFont="1" applyBorder="1"/>
    <xf numFmtId="0" fontId="39" fillId="0" borderId="23" xfId="0" applyFont="1" applyBorder="1"/>
    <xf numFmtId="0" fontId="39" fillId="0" borderId="24" xfId="0" applyFont="1" applyBorder="1" applyAlignment="1">
      <alignment horizontal="right"/>
    </xf>
    <xf numFmtId="3" fontId="6" fillId="0" borderId="18" xfId="0" applyNumberFormat="1" applyFont="1" applyBorder="1"/>
    <xf numFmtId="4" fontId="6" fillId="0" borderId="18" xfId="0" applyNumberFormat="1" applyFont="1" applyBorder="1"/>
    <xf numFmtId="4" fontId="6" fillId="0" borderId="25" xfId="0" applyNumberFormat="1" applyFont="1" applyBorder="1"/>
    <xf numFmtId="0" fontId="6" fillId="0" borderId="0" xfId="0" applyFont="1" applyAlignment="1">
      <alignment horizontal="right"/>
    </xf>
    <xf numFmtId="0" fontId="40" fillId="0" borderId="0" xfId="2" applyFont="1"/>
    <xf numFmtId="0" fontId="1" fillId="27" borderId="22" xfId="0" applyFont="1" applyFill="1" applyBorder="1"/>
    <xf numFmtId="4" fontId="0" fillId="27" borderId="18" xfId="0" applyNumberFormat="1" applyFill="1" applyBorder="1"/>
    <xf numFmtId="0" fontId="41" fillId="27" borderId="0" xfId="0" applyFont="1" applyFill="1"/>
    <xf numFmtId="0" fontId="1" fillId="0" borderId="22" xfId="0" applyFont="1" applyFill="1" applyBorder="1"/>
    <xf numFmtId="4" fontId="0" fillId="0" borderId="18" xfId="0" applyNumberFormat="1" applyFill="1" applyBorder="1"/>
    <xf numFmtId="3" fontId="19" fillId="0" borderId="0" xfId="0" applyNumberFormat="1" applyFont="1"/>
    <xf numFmtId="10" fontId="0" fillId="20" borderId="0" xfId="0" applyNumberFormat="1" applyFill="1"/>
    <xf numFmtId="10" fontId="18" fillId="26" borderId="0" xfId="1" applyNumberFormat="1" applyFont="1" applyFill="1"/>
    <xf numFmtId="0" fontId="0" fillId="26" borderId="0" xfId="1" applyNumberFormat="1" applyFont="1" applyFill="1"/>
    <xf numFmtId="0" fontId="42" fillId="0" borderId="0" xfId="0" applyFont="1" applyAlignment="1">
      <alignment horizontal="right"/>
    </xf>
    <xf numFmtId="9" fontId="42" fillId="0" borderId="0" xfId="1" applyFont="1"/>
    <xf numFmtId="0" fontId="1" fillId="3" borderId="0" xfId="0" applyFont="1" applyFill="1" applyAlignment="1">
      <alignment horizontal="right"/>
    </xf>
    <xf numFmtId="3" fontId="0" fillId="3" borderId="0" xfId="0" applyNumberFormat="1" applyFill="1"/>
    <xf numFmtId="0" fontId="1" fillId="3" borderId="18" xfId="0" applyFont="1" applyFill="1" applyBorder="1"/>
    <xf numFmtId="0" fontId="0" fillId="3" borderId="25" xfId="0" applyFill="1" applyBorder="1"/>
    <xf numFmtId="0" fontId="1" fillId="3" borderId="32" xfId="0" applyFont="1" applyFill="1" applyBorder="1" applyAlignment="1">
      <alignment horizontal="right"/>
    </xf>
    <xf numFmtId="16" fontId="1" fillId="3" borderId="32" xfId="0" quotePrefix="1" applyNumberFormat="1" applyFont="1" applyFill="1" applyBorder="1" applyAlignment="1">
      <alignment horizontal="right"/>
    </xf>
    <xf numFmtId="0" fontId="1" fillId="22" borderId="18" xfId="0" applyFont="1" applyFill="1" applyBorder="1"/>
    <xf numFmtId="3" fontId="0" fillId="22" borderId="0" xfId="0" applyNumberFormat="1" applyFill="1"/>
    <xf numFmtId="0" fontId="0" fillId="22" borderId="0" xfId="0" applyFill="1"/>
    <xf numFmtId="2" fontId="0" fillId="22" borderId="0" xfId="0" applyNumberFormat="1" applyFill="1"/>
    <xf numFmtId="4" fontId="0" fillId="22" borderId="0" xfId="0" applyNumberFormat="1" applyFill="1"/>
    <xf numFmtId="4" fontId="0" fillId="3" borderId="0" xfId="0" applyNumberFormat="1" applyFill="1"/>
    <xf numFmtId="2" fontId="7" fillId="15" borderId="0" xfId="0" applyNumberFormat="1" applyFont="1" applyFill="1"/>
    <xf numFmtId="2" fontId="0" fillId="15" borderId="0" xfId="0" applyNumberFormat="1" applyFill="1"/>
    <xf numFmtId="167" fontId="15" fillId="0" borderId="18" xfId="0" applyNumberFormat="1" applyFont="1" applyBorder="1"/>
    <xf numFmtId="0" fontId="44" fillId="11" borderId="0" xfId="0" applyFont="1" applyFill="1"/>
    <xf numFmtId="9" fontId="44" fillId="11" borderId="0" xfId="0" applyNumberFormat="1" applyFont="1" applyFill="1"/>
    <xf numFmtId="167" fontId="44" fillId="11" borderId="18" xfId="0" applyNumberFormat="1" applyFont="1" applyFill="1" applyBorder="1"/>
    <xf numFmtId="3" fontId="0" fillId="0" borderId="0" xfId="0" applyNumberFormat="1" applyFill="1"/>
    <xf numFmtId="0" fontId="0" fillId="0" borderId="0" xfId="0" applyFill="1" applyAlignment="1">
      <alignment horizontal="right"/>
    </xf>
    <xf numFmtId="1" fontId="0" fillId="0" borderId="0" xfId="0" applyNumberFormat="1"/>
    <xf numFmtId="168" fontId="19" fillId="0" borderId="18" xfId="0" applyNumberFormat="1" applyFont="1" applyBorder="1"/>
    <xf numFmtId="0" fontId="0" fillId="11" borderId="0" xfId="0" applyFill="1"/>
    <xf numFmtId="0" fontId="0" fillId="0" borderId="22" xfId="0" applyBorder="1"/>
    <xf numFmtId="0" fontId="0" fillId="0" borderId="3" xfId="0" applyBorder="1"/>
    <xf numFmtId="0" fontId="0" fillId="0" borderId="4" xfId="0" applyBorder="1"/>
    <xf numFmtId="0" fontId="0" fillId="0" borderId="40" xfId="0" applyBorder="1"/>
    <xf numFmtId="0" fontId="1" fillId="0" borderId="41" xfId="0" applyFont="1" applyBorder="1"/>
    <xf numFmtId="0" fontId="0" fillId="0" borderId="15" xfId="0" applyFill="1" applyBorder="1"/>
    <xf numFmtId="0" fontId="0" fillId="0" borderId="5" xfId="0" applyBorder="1"/>
    <xf numFmtId="0" fontId="0" fillId="15" borderId="42" xfId="0" applyFill="1" applyBorder="1"/>
    <xf numFmtId="0" fontId="0" fillId="15" borderId="17" xfId="0" applyFill="1" applyBorder="1"/>
    <xf numFmtId="0" fontId="0" fillId="0" borderId="43" xfId="0" applyBorder="1"/>
    <xf numFmtId="0" fontId="0" fillId="0" borderId="15" xfId="0" applyBorder="1"/>
    <xf numFmtId="0" fontId="0" fillId="0" borderId="6" xfId="0" applyBorder="1"/>
    <xf numFmtId="0" fontId="0" fillId="0" borderId="29" xfId="0" applyBorder="1"/>
    <xf numFmtId="0" fontId="1" fillId="0" borderId="36" xfId="0" applyFont="1" applyBorder="1"/>
    <xf numFmtId="0" fontId="1" fillId="0" borderId="24" xfId="0" applyFont="1" applyBorder="1"/>
    <xf numFmtId="0" fontId="0" fillId="28" borderId="0" xfId="0" applyNumberFormat="1" applyFill="1" applyBorder="1"/>
    <xf numFmtId="0" fontId="0" fillId="0" borderId="23" xfId="0" applyBorder="1"/>
    <xf numFmtId="0" fontId="0" fillId="0" borderId="36" xfId="0" applyBorder="1"/>
    <xf numFmtId="0" fontId="0" fillId="28" borderId="0" xfId="0" applyFill="1" applyBorder="1"/>
    <xf numFmtId="0" fontId="0" fillId="3" borderId="0" xfId="0" applyFill="1" applyBorder="1"/>
    <xf numFmtId="0" fontId="0" fillId="15" borderId="0" xfId="0" applyFill="1" applyBorder="1"/>
    <xf numFmtId="0" fontId="0" fillId="0" borderId="0" xfId="0" quotePrefix="1" applyBorder="1"/>
    <xf numFmtId="0" fontId="18" fillId="0" borderId="0" xfId="0" applyFont="1" applyBorder="1"/>
    <xf numFmtId="0" fontId="1" fillId="0" borderId="4" xfId="0" applyFont="1" applyBorder="1"/>
    <xf numFmtId="0" fontId="1" fillId="0" borderId="40" xfId="0" applyFont="1" applyBorder="1"/>
    <xf numFmtId="0" fontId="1" fillId="0" borderId="6" xfId="0" applyFont="1" applyBorder="1"/>
    <xf numFmtId="0" fontId="1" fillId="0" borderId="5" xfId="0" applyFont="1" applyBorder="1"/>
    <xf numFmtId="0" fontId="1" fillId="11" borderId="36" xfId="0" applyFont="1" applyFill="1" applyBorder="1"/>
    <xf numFmtId="0" fontId="1" fillId="0" borderId="0" xfId="0" applyFont="1" applyBorder="1"/>
    <xf numFmtId="0" fontId="1" fillId="11" borderId="5" xfId="0" applyFont="1" applyFill="1" applyBorder="1"/>
    <xf numFmtId="0" fontId="1" fillId="0" borderId="15" xfId="0" applyFont="1" applyBorder="1"/>
    <xf numFmtId="0" fontId="16" fillId="0" borderId="0" xfId="2" applyBorder="1"/>
    <xf numFmtId="0" fontId="0" fillId="15" borderId="21" xfId="0" applyFill="1" applyBorder="1"/>
    <xf numFmtId="0" fontId="0" fillId="15" borderId="22" xfId="0" applyFill="1" applyBorder="1"/>
    <xf numFmtId="0" fontId="0" fillId="15" borderId="36" xfId="0" applyFill="1" applyBorder="1"/>
    <xf numFmtId="169" fontId="0" fillId="0" borderId="0" xfId="1" applyNumberFormat="1" applyFont="1"/>
    <xf numFmtId="0" fontId="0" fillId="0" borderId="5" xfId="0" applyFill="1" applyBorder="1"/>
    <xf numFmtId="4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22" xfId="0" applyFont="1" applyBorder="1"/>
    <xf numFmtId="43" fontId="0" fillId="0" borderId="0" xfId="3" applyFont="1"/>
    <xf numFmtId="170" fontId="0" fillId="0" borderId="0" xfId="3" applyNumberFormat="1" applyFont="1"/>
    <xf numFmtId="170" fontId="0" fillId="29" borderId="0" xfId="3" applyNumberFormat="1" applyFont="1" applyFill="1"/>
    <xf numFmtId="0" fontId="0" fillId="29" borderId="0" xfId="0" applyFill="1"/>
    <xf numFmtId="43" fontId="0" fillId="29" borderId="0" xfId="3" applyFont="1" applyFill="1"/>
    <xf numFmtId="43" fontId="0" fillId="0" borderId="0" xfId="3" applyFont="1" applyFill="1"/>
    <xf numFmtId="0" fontId="1" fillId="0" borderId="0" xfId="0" applyNumberFormat="1" applyFont="1"/>
    <xf numFmtId="0" fontId="1" fillId="29" borderId="0" xfId="0" applyNumberFormat="1" applyFont="1" applyFill="1"/>
    <xf numFmtId="0" fontId="1" fillId="0" borderId="0" xfId="4" applyNumberFormat="1" applyFont="1"/>
    <xf numFmtId="0" fontId="1" fillId="0" borderId="0" xfId="3" applyNumberFormat="1" applyFont="1"/>
    <xf numFmtId="43" fontId="1" fillId="0" borderId="0" xfId="3" applyFont="1"/>
    <xf numFmtId="43" fontId="1" fillId="0" borderId="22" xfId="3" applyFont="1" applyBorder="1"/>
    <xf numFmtId="43" fontId="1" fillId="29" borderId="22" xfId="3" applyFont="1" applyFill="1" applyBorder="1"/>
    <xf numFmtId="0" fontId="0" fillId="0" borderId="0" xfId="0"/>
    <xf numFmtId="0" fontId="1" fillId="0" borderId="0" xfId="0" applyFont="1"/>
    <xf numFmtId="164" fontId="0" fillId="0" borderId="0" xfId="0" applyNumberFormat="1"/>
    <xf numFmtId="166" fontId="0" fillId="0" borderId="0" xfId="1" applyNumberFormat="1" applyFont="1"/>
    <xf numFmtId="43" fontId="0" fillId="0" borderId="0" xfId="3" applyFont="1"/>
    <xf numFmtId="0" fontId="1" fillId="0" borderId="0" xfId="0" applyNumberFormat="1" applyFont="1"/>
    <xf numFmtId="43" fontId="1" fillId="0" borderId="0" xfId="3" applyFont="1"/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22" xfId="0" applyFont="1" applyBorder="1"/>
    <xf numFmtId="43" fontId="0" fillId="0" borderId="0" xfId="3" applyFont="1"/>
    <xf numFmtId="170" fontId="0" fillId="0" borderId="0" xfId="3" applyNumberFormat="1" applyFont="1"/>
    <xf numFmtId="170" fontId="0" fillId="29" borderId="0" xfId="3" applyNumberFormat="1" applyFont="1" applyFill="1"/>
    <xf numFmtId="0" fontId="0" fillId="29" borderId="0" xfId="0" applyFill="1"/>
    <xf numFmtId="43" fontId="0" fillId="29" borderId="0" xfId="3" applyFont="1" applyFill="1"/>
    <xf numFmtId="43" fontId="0" fillId="0" borderId="0" xfId="3" applyFont="1" applyFill="1"/>
    <xf numFmtId="0" fontId="1" fillId="0" borderId="0" xfId="0" applyNumberFormat="1" applyFont="1"/>
    <xf numFmtId="0" fontId="1" fillId="29" borderId="0" xfId="0" applyNumberFormat="1" applyFont="1" applyFill="1"/>
    <xf numFmtId="0" fontId="1" fillId="0" borderId="0" xfId="4" applyNumberFormat="1" applyFont="1"/>
    <xf numFmtId="0" fontId="1" fillId="0" borderId="0" xfId="3" applyNumberFormat="1" applyFont="1"/>
    <xf numFmtId="43" fontId="1" fillId="0" borderId="0" xfId="3" applyFont="1"/>
    <xf numFmtId="43" fontId="1" fillId="0" borderId="22" xfId="3" applyFont="1" applyBorder="1"/>
    <xf numFmtId="43" fontId="1" fillId="29" borderId="22" xfId="3" applyFont="1" applyFill="1" applyBorder="1"/>
    <xf numFmtId="0" fontId="0" fillId="0" borderId="0" xfId="0" applyFont="1" applyBorder="1"/>
    <xf numFmtId="0" fontId="0" fillId="0" borderId="36" xfId="0" applyFill="1" applyBorder="1"/>
    <xf numFmtId="0" fontId="1" fillId="15" borderId="22" xfId="0" applyFont="1" applyFill="1" applyBorder="1"/>
    <xf numFmtId="170" fontId="0" fillId="0" borderId="0" xfId="3" applyNumberFormat="1" applyFont="1" applyFill="1"/>
    <xf numFmtId="43" fontId="1" fillId="0" borderId="0" xfId="3" applyFont="1" applyBorder="1"/>
    <xf numFmtId="0" fontId="1" fillId="0" borderId="27" xfId="0" applyFont="1" applyBorder="1"/>
    <xf numFmtId="166" fontId="0" fillId="0" borderId="27" xfId="1" applyNumberFormat="1" applyFont="1" applyBorder="1"/>
    <xf numFmtId="0" fontId="1" fillId="19" borderId="0" xfId="0" applyNumberFormat="1" applyFont="1" applyFill="1"/>
    <xf numFmtId="166" fontId="0" fillId="19" borderId="0" xfId="1" applyNumberFormat="1" applyFont="1" applyFill="1"/>
    <xf numFmtId="166" fontId="0" fillId="19" borderId="27" xfId="1" applyNumberFormat="1" applyFont="1" applyFill="1" applyBorder="1"/>
    <xf numFmtId="0" fontId="0" fillId="0" borderId="27" xfId="0" applyBorder="1"/>
    <xf numFmtId="0" fontId="45" fillId="29" borderId="0" xfId="0" applyFont="1" applyFill="1"/>
    <xf numFmtId="2" fontId="0" fillId="0" borderId="27" xfId="0" applyNumberFormat="1" applyBorder="1"/>
    <xf numFmtId="170" fontId="0" fillId="0" borderId="0" xfId="0" applyNumberFormat="1"/>
    <xf numFmtId="170" fontId="0" fillId="0" borderId="27" xfId="0" applyNumberFormat="1" applyBorder="1"/>
    <xf numFmtId="43" fontId="0" fillId="0" borderId="0" xfId="3" applyNumberFormat="1" applyFont="1"/>
    <xf numFmtId="43" fontId="0" fillId="29" borderId="0" xfId="3" applyNumberFormat="1" applyFont="1" applyFill="1"/>
    <xf numFmtId="10" fontId="0" fillId="0" borderId="0" xfId="1" applyNumberFormat="1" applyFont="1"/>
    <xf numFmtId="171" fontId="0" fillId="0" borderId="0" xfId="0" applyNumberFormat="1"/>
    <xf numFmtId="0" fontId="1" fillId="0" borderId="0" xfId="0" applyFont="1" applyFill="1" applyBorder="1"/>
    <xf numFmtId="0" fontId="0" fillId="0" borderId="24" xfId="0" applyBorder="1"/>
    <xf numFmtId="0" fontId="1" fillId="0" borderId="21" xfId="0" applyFont="1" applyBorder="1"/>
    <xf numFmtId="0" fontId="46" fillId="0" borderId="0" xfId="0" applyFont="1" applyAlignment="1">
      <alignment vertical="center"/>
    </xf>
    <xf numFmtId="0" fontId="0" fillId="0" borderId="3" xfId="0" applyFill="1" applyBorder="1"/>
    <xf numFmtId="0" fontId="0" fillId="0" borderId="70" xfId="0" applyBorder="1"/>
    <xf numFmtId="0" fontId="0" fillId="0" borderId="71" xfId="0" applyBorder="1"/>
    <xf numFmtId="0" fontId="0" fillId="11" borderId="0" xfId="0" applyFill="1" applyBorder="1"/>
    <xf numFmtId="0" fontId="0" fillId="0" borderId="72" xfId="0" applyBorder="1"/>
    <xf numFmtId="0" fontId="0" fillId="0" borderId="0" xfId="0" applyAlignment="1">
      <alignment horizontal="center"/>
    </xf>
    <xf numFmtId="0" fontId="0" fillId="7" borderId="26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7" fillId="6" borderId="21" xfId="0" applyFont="1" applyFill="1" applyBorder="1" applyAlignment="1">
      <alignment horizontal="center"/>
    </xf>
    <xf numFmtId="0" fontId="7" fillId="6" borderId="22" xfId="0" applyFont="1" applyFill="1" applyBorder="1" applyAlignment="1">
      <alignment horizontal="center"/>
    </xf>
    <xf numFmtId="0" fontId="7" fillId="6" borderId="23" xfId="0" applyFont="1" applyFill="1" applyBorder="1" applyAlignment="1">
      <alignment horizontal="center"/>
    </xf>
    <xf numFmtId="0" fontId="0" fillId="0" borderId="5" xfId="0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1" fillId="0" borderId="22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0" fontId="34" fillId="0" borderId="23" xfId="0" applyFont="1" applyBorder="1" applyAlignment="1">
      <alignment horizontal="center" vertical="center" wrapText="1"/>
    </xf>
    <xf numFmtId="0" fontId="34" fillId="0" borderId="0" xfId="0" applyFont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0" fontId="34" fillId="0" borderId="25" xfId="0" applyFont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wrapText="1"/>
    </xf>
    <xf numFmtId="0" fontId="34" fillId="22" borderId="37" xfId="0" applyFont="1" applyFill="1" applyBorder="1" applyAlignment="1">
      <alignment horizontal="center" vertical="center" wrapText="1"/>
    </xf>
    <xf numFmtId="0" fontId="34" fillId="22" borderId="38" xfId="0" applyFont="1" applyFill="1" applyBorder="1" applyAlignment="1">
      <alignment horizontal="center" vertical="center" wrapText="1"/>
    </xf>
    <xf numFmtId="0" fontId="34" fillId="22" borderId="39" xfId="0" applyFont="1" applyFill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  <xf numFmtId="0" fontId="33" fillId="0" borderId="18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9" fillId="0" borderId="37" xfId="0" applyFont="1" applyBorder="1" applyAlignment="1">
      <alignment horizontal="center" vertical="center" wrapText="1"/>
    </xf>
    <xf numFmtId="0" fontId="29" fillId="0" borderId="38" xfId="0" applyFont="1" applyBorder="1" applyAlignment="1">
      <alignment horizontal="center" vertical="center" wrapText="1"/>
    </xf>
    <xf numFmtId="0" fontId="29" fillId="0" borderId="39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39" xfId="0" applyFont="1" applyBorder="1" applyAlignment="1">
      <alignment horizontal="center" vertical="center" wrapText="1"/>
    </xf>
    <xf numFmtId="0" fontId="0" fillId="13" borderId="0" xfId="0" applyFont="1" applyFill="1" applyAlignment="1">
      <alignment horizontal="left" vertical="top" wrapText="1"/>
    </xf>
    <xf numFmtId="9" fontId="0" fillId="0" borderId="0" xfId="0" applyNumberFormat="1" applyAlignment="1">
      <alignment horizontal="center" vertical="center" wrapText="1"/>
    </xf>
    <xf numFmtId="0" fontId="0" fillId="0" borderId="32" xfId="0" applyBorder="1" applyAlignment="1">
      <alignment horizontal="center" wrapText="1"/>
    </xf>
    <xf numFmtId="0" fontId="1" fillId="15" borderId="44" xfId="0" applyFont="1" applyFill="1" applyBorder="1" applyAlignment="1">
      <alignment horizontal="center"/>
    </xf>
    <xf numFmtId="0" fontId="1" fillId="15" borderId="18" xfId="0" applyFont="1" applyFill="1" applyBorder="1" applyAlignment="1">
      <alignment horizontal="center"/>
    </xf>
    <xf numFmtId="0" fontId="1" fillId="15" borderId="45" xfId="0" applyFont="1" applyFill="1" applyBorder="1" applyAlignment="1">
      <alignment horizontal="center"/>
    </xf>
    <xf numFmtId="0" fontId="1" fillId="15" borderId="33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29" borderId="19" xfId="0" applyFill="1" applyBorder="1" applyAlignment="1">
      <alignment horizontal="center"/>
    </xf>
    <xf numFmtId="0" fontId="0" fillId="29" borderId="46" xfId="0" applyFill="1" applyBorder="1" applyAlignment="1">
      <alignment horizontal="center"/>
    </xf>
    <xf numFmtId="0" fontId="0" fillId="29" borderId="6" xfId="0" applyFill="1" applyBorder="1" applyAlignment="1">
      <alignment horizontal="center"/>
    </xf>
    <xf numFmtId="0" fontId="0" fillId="29" borderId="7" xfId="0" applyFill="1" applyBorder="1" applyAlignment="1">
      <alignment horizontal="center"/>
    </xf>
    <xf numFmtId="0" fontId="0" fillId="15" borderId="73" xfId="0" applyFill="1" applyBorder="1" applyAlignment="1">
      <alignment horizontal="center"/>
    </xf>
    <xf numFmtId="0" fontId="0" fillId="15" borderId="71" xfId="0" applyFill="1" applyBorder="1" applyAlignment="1">
      <alignment horizontal="center"/>
    </xf>
  </cellXfs>
  <cellStyles count="897">
    <cellStyle name="???????????" xfId="43"/>
    <cellStyle name="???????_2++" xfId="44"/>
    <cellStyle name="20 % - Akzent1 2" xfId="378"/>
    <cellStyle name="20 % - Akzent1 3" xfId="247"/>
    <cellStyle name="20 % - Akzent1 4" xfId="55" hidden="1"/>
    <cellStyle name="20 % - Akzent2 2" xfId="379"/>
    <cellStyle name="20 % - Akzent2 3" xfId="248"/>
    <cellStyle name="20 % - Akzent2 4" xfId="58" hidden="1"/>
    <cellStyle name="20 % - Akzent3 2" xfId="380"/>
    <cellStyle name="20 % - Akzent3 3" xfId="249"/>
    <cellStyle name="20 % - Akzent3 4" xfId="61" hidden="1"/>
    <cellStyle name="20 % - Akzent4 2" xfId="381"/>
    <cellStyle name="20 % - Akzent4 3" xfId="250"/>
    <cellStyle name="20 % - Akzent4 4" xfId="64" hidden="1"/>
    <cellStyle name="20 % - Akzent5 2" xfId="382"/>
    <cellStyle name="20 % - Akzent5 3" xfId="251"/>
    <cellStyle name="20 % - Akzent5 4" xfId="67" hidden="1"/>
    <cellStyle name="20 % - Akzent6 2" xfId="383"/>
    <cellStyle name="20 % - Akzent6 3" xfId="252"/>
    <cellStyle name="20 % - Akzent6 4" xfId="70" hidden="1"/>
    <cellStyle name="20% - Accent1 2" xfId="84"/>
    <cellStyle name="20% - Accent1 3" xfId="204"/>
    <cellStyle name="20% - Accent2 2" xfId="85"/>
    <cellStyle name="20% - Accent2 3" xfId="205"/>
    <cellStyle name="20% - Accent3 2" xfId="86"/>
    <cellStyle name="20% - Accent3 3" xfId="206"/>
    <cellStyle name="20% - Accent4 2" xfId="87"/>
    <cellStyle name="20% - Accent4 3" xfId="207"/>
    <cellStyle name="20% - Accent5 2" xfId="88"/>
    <cellStyle name="20% - Accent5 3" xfId="208"/>
    <cellStyle name="20% - Accent6 2" xfId="89"/>
    <cellStyle name="20% - Accent6 3" xfId="209"/>
    <cellStyle name="2x indented GHG Textfiels" xfId="13"/>
    <cellStyle name="2x indented GHG Textfiels 2" xfId="90"/>
    <cellStyle name="2x indented GHG Textfiels 2 2" xfId="91"/>
    <cellStyle name="2x indented GHG Textfiels 3" xfId="92"/>
    <cellStyle name="2x indented GHG Textfiels 3 2" xfId="405"/>
    <cellStyle name="2x indented GHG Textfiels 3 2 2" xfId="535"/>
    <cellStyle name="2x indented GHG Textfiels 3 2 2 2" xfId="750"/>
    <cellStyle name="2x indented GHG Textfiels 3 2 3" xfId="713"/>
    <cellStyle name="2x indented GHG Textfiels 3 3" xfId="353"/>
    <cellStyle name="2x indented GHG Textfiels 3 3 2" xfId="640"/>
    <cellStyle name="2x indented GHG Textfiels 3 3 2 2" xfId="855"/>
    <cellStyle name="2x indented GHG Textfiels 3 3 3" xfId="642"/>
    <cellStyle name="2x indented GHG Textfiels 3 3 3 2" xfId="857"/>
    <cellStyle name="2x indented GHG Textfiels 3 3 4" xfId="538"/>
    <cellStyle name="2x indented GHG Textfiels 3 3 4 2" xfId="753"/>
    <cellStyle name="40 % - Akzent1 2" xfId="384"/>
    <cellStyle name="40 % - Akzent1 3" xfId="253"/>
    <cellStyle name="40 % - Akzent1 4" xfId="56" hidden="1"/>
    <cellStyle name="40 % - Akzent2 2" xfId="385"/>
    <cellStyle name="40 % - Akzent2 3" xfId="254"/>
    <cellStyle name="40 % - Akzent2 4" xfId="59" hidden="1"/>
    <cellStyle name="40 % - Akzent3 2" xfId="386"/>
    <cellStyle name="40 % - Akzent3 3" xfId="255"/>
    <cellStyle name="40 % - Akzent3 4" xfId="62" hidden="1"/>
    <cellStyle name="40 % - Akzent4 2" xfId="387"/>
    <cellStyle name="40 % - Akzent4 3" xfId="256"/>
    <cellStyle name="40 % - Akzent4 4" xfId="65" hidden="1"/>
    <cellStyle name="40 % - Akzent5 2" xfId="388"/>
    <cellStyle name="40 % - Akzent5 3" xfId="257"/>
    <cellStyle name="40 % - Akzent5 4" xfId="68" hidden="1"/>
    <cellStyle name="40 % - Akzent6 2" xfId="389"/>
    <cellStyle name="40 % - Akzent6 3" xfId="258"/>
    <cellStyle name="40 % - Akzent6 4" xfId="71" hidden="1"/>
    <cellStyle name="40% - Accent1 2" xfId="93"/>
    <cellStyle name="40% - Accent1 3" xfId="210"/>
    <cellStyle name="40% - Accent2 2" xfId="94"/>
    <cellStyle name="40% - Accent2 3" xfId="211"/>
    <cellStyle name="40% - Accent3 2" xfId="95"/>
    <cellStyle name="40% - Accent3 3" xfId="212"/>
    <cellStyle name="40% - Accent4 2" xfId="96"/>
    <cellStyle name="40% - Accent4 3" xfId="213"/>
    <cellStyle name="40% - Accent5 2" xfId="97"/>
    <cellStyle name="40% - Accent5 3" xfId="214"/>
    <cellStyle name="40% - Accent6 2" xfId="98"/>
    <cellStyle name="40% - Accent6 3" xfId="215"/>
    <cellStyle name="5x indented GHG Textfiels" xfId="17"/>
    <cellStyle name="5x indented GHG Textfiels 2" xfId="99"/>
    <cellStyle name="5x indented GHG Textfiels 2 2" xfId="100"/>
    <cellStyle name="5x indented GHG Textfiels 3" xfId="101"/>
    <cellStyle name="5x indented GHG Textfiels 3 2" xfId="406"/>
    <cellStyle name="5x indented GHG Textfiels 3 3" xfId="354"/>
    <cellStyle name="5x indented GHG Textfiels 3 3 2" xfId="641"/>
    <cellStyle name="5x indented GHG Textfiels 3 3 2 2" xfId="856"/>
    <cellStyle name="5x indented GHG Textfiels 3 3 3" xfId="588"/>
    <cellStyle name="5x indented GHG Textfiels 3 3 3 2" xfId="803"/>
    <cellStyle name="5x indented GHG Textfiels 3 3 4" xfId="672"/>
    <cellStyle name="5x indented GHG Textfiels 3 3 4 2" xfId="887"/>
    <cellStyle name="5x indented GHG Textfiels 3 3 5" xfId="709"/>
    <cellStyle name="5x indented GHG Textfiels_Table 4(II)" xfId="196"/>
    <cellStyle name="60 % - Akzent1 2" xfId="390"/>
    <cellStyle name="60 % - Akzent1 3" xfId="259"/>
    <cellStyle name="60 % - Akzent1 4" xfId="57" hidden="1"/>
    <cellStyle name="60 % - Akzent2 2" xfId="391"/>
    <cellStyle name="60 % - Akzent2 3" xfId="260"/>
    <cellStyle name="60 % - Akzent2 4" xfId="60" hidden="1"/>
    <cellStyle name="60 % - Akzent3 2" xfId="392"/>
    <cellStyle name="60 % - Akzent3 3" xfId="261"/>
    <cellStyle name="60 % - Akzent3 4" xfId="63" hidden="1"/>
    <cellStyle name="60 % - Akzent4 2" xfId="393"/>
    <cellStyle name="60 % - Akzent4 3" xfId="262"/>
    <cellStyle name="60 % - Akzent4 4" xfId="66" hidden="1"/>
    <cellStyle name="60 % - Akzent5 2" xfId="394"/>
    <cellStyle name="60 % - Akzent5 3" xfId="263"/>
    <cellStyle name="60 % - Akzent5 4" xfId="69" hidden="1"/>
    <cellStyle name="60 % - Akzent6 2" xfId="395"/>
    <cellStyle name="60 % - Akzent6 3" xfId="264"/>
    <cellStyle name="60 % - Akzent6 4" xfId="72" hidden="1"/>
    <cellStyle name="60% - Accent1 2" xfId="102"/>
    <cellStyle name="60% - Accent1 3" xfId="216"/>
    <cellStyle name="60% - Accent2 2" xfId="103"/>
    <cellStyle name="60% - Accent2 3" xfId="217"/>
    <cellStyle name="60% - Accent3 2" xfId="104"/>
    <cellStyle name="60% - Accent3 3" xfId="218"/>
    <cellStyle name="60% - Accent4 2" xfId="105"/>
    <cellStyle name="60% - Accent4 3" xfId="219"/>
    <cellStyle name="60% - Accent5 2" xfId="106"/>
    <cellStyle name="60% - Accent5 3" xfId="220"/>
    <cellStyle name="60% - Accent6 2" xfId="107"/>
    <cellStyle name="60% - Accent6 3" xfId="221"/>
    <cellStyle name="Accent1 2" xfId="108"/>
    <cellStyle name="Accent1 3" xfId="222"/>
    <cellStyle name="Accent1 4" xfId="355"/>
    <cellStyle name="Accent2 2" xfId="109"/>
    <cellStyle name="Accent2 3" xfId="223"/>
    <cellStyle name="Accent2 4" xfId="356"/>
    <cellStyle name="Accent3 2" xfId="110"/>
    <cellStyle name="Accent3 3" xfId="224"/>
    <cellStyle name="Accent3 4" xfId="357"/>
    <cellStyle name="Accent4 2" xfId="111"/>
    <cellStyle name="Accent4 3" xfId="225"/>
    <cellStyle name="Accent4 4" xfId="358"/>
    <cellStyle name="Accent5 2" xfId="112"/>
    <cellStyle name="Accent5 3" xfId="226"/>
    <cellStyle name="Accent5 4" xfId="359"/>
    <cellStyle name="Accent6 2" xfId="113"/>
    <cellStyle name="Accent6 3" xfId="227"/>
    <cellStyle name="Accent6 4" xfId="360"/>
    <cellStyle name="AggblueBoldCels" xfId="114"/>
    <cellStyle name="AggblueBoldCels 2" xfId="115"/>
    <cellStyle name="AggblueCels" xfId="38"/>
    <cellStyle name="AggblueCels 2" xfId="116"/>
    <cellStyle name="AggblueCels_1x" xfId="37"/>
    <cellStyle name="AggBoldCells" xfId="11"/>
    <cellStyle name="AggBoldCells 2" xfId="117"/>
    <cellStyle name="AggBoldCells 3" xfId="197"/>
    <cellStyle name="AggBoldCells 4" xfId="349"/>
    <cellStyle name="AggCels" xfId="14"/>
    <cellStyle name="AggCels 2" xfId="118"/>
    <cellStyle name="AggCels 3" xfId="198"/>
    <cellStyle name="AggCels 4" xfId="350"/>
    <cellStyle name="AggCels_T(2)" xfId="12"/>
    <cellStyle name="AggGreen" xfId="28"/>
    <cellStyle name="AggGreen 2" xfId="119"/>
    <cellStyle name="AggGreen 2 2" xfId="408"/>
    <cellStyle name="AggGreen 2 2 2" xfId="585"/>
    <cellStyle name="AggGreen 2 2 2 2" xfId="800"/>
    <cellStyle name="AggGreen 2 2 3" xfId="715"/>
    <cellStyle name="AggGreen 2 3" xfId="266"/>
    <cellStyle name="AggGreen 2 3 2" xfId="605"/>
    <cellStyle name="AggGreen 2 3 2 2" xfId="820"/>
    <cellStyle name="AggGreen 2 3 3" xfId="674"/>
    <cellStyle name="AggGreen 2 3 3 2" xfId="889"/>
    <cellStyle name="AggGreen 2 3 4" xfId="670"/>
    <cellStyle name="AggGreen 2 3 4 2" xfId="885"/>
    <cellStyle name="AggGreen 3" xfId="407"/>
    <cellStyle name="AggGreen 3 2" xfId="534"/>
    <cellStyle name="AggGreen 3 2 2" xfId="749"/>
    <cellStyle name="AggGreen 3 3" xfId="714"/>
    <cellStyle name="AggGreen 4" xfId="265"/>
    <cellStyle name="AggGreen 4 2" xfId="604"/>
    <cellStyle name="AggGreen 4 2 2" xfId="819"/>
    <cellStyle name="AggGreen 4 3" xfId="519"/>
    <cellStyle name="AggGreen 4 3 2" xfId="734"/>
    <cellStyle name="AggGreen 4 4" xfId="637"/>
    <cellStyle name="AggGreen 4 4 2" xfId="852"/>
    <cellStyle name="AggGreen 5" xfId="81"/>
    <cellStyle name="AggGreen_Bbdr" xfId="29"/>
    <cellStyle name="AggGreen12" xfId="26"/>
    <cellStyle name="AggGreen12 2" xfId="120"/>
    <cellStyle name="AggGreen12 2 2" xfId="410"/>
    <cellStyle name="AggGreen12 2 2 2" xfId="603"/>
    <cellStyle name="AggGreen12 2 2 2 2" xfId="818"/>
    <cellStyle name="AggGreen12 2 2 3" xfId="717"/>
    <cellStyle name="AggGreen12 2 3" xfId="268"/>
    <cellStyle name="AggGreen12 2 3 2" xfId="607"/>
    <cellStyle name="AggGreen12 2 3 2 2" xfId="822"/>
    <cellStyle name="AggGreen12 2 3 3" xfId="556"/>
    <cellStyle name="AggGreen12 2 3 3 2" xfId="771"/>
    <cellStyle name="AggGreen12 2 3 4" xfId="636"/>
    <cellStyle name="AggGreen12 2 3 4 2" xfId="851"/>
    <cellStyle name="AggGreen12 3" xfId="409"/>
    <cellStyle name="AggGreen12 3 2" xfId="533"/>
    <cellStyle name="AggGreen12 3 2 2" xfId="748"/>
    <cellStyle name="AggGreen12 3 3" xfId="716"/>
    <cellStyle name="AggGreen12 4" xfId="267"/>
    <cellStyle name="AggGreen12 4 2" xfId="606"/>
    <cellStyle name="AggGreen12 4 2 2" xfId="821"/>
    <cellStyle name="AggGreen12 4 3" xfId="658"/>
    <cellStyle name="AggGreen12 4 3 2" xfId="873"/>
    <cellStyle name="AggGreen12 4 4" xfId="669"/>
    <cellStyle name="AggGreen12 4 4 2" xfId="884"/>
    <cellStyle name="AggGreen12 5" xfId="79"/>
    <cellStyle name="AggOrange" xfId="21"/>
    <cellStyle name="AggOrange 2" xfId="121"/>
    <cellStyle name="AggOrange 2 2" xfId="412"/>
    <cellStyle name="AggOrange 2 2 2" xfId="532"/>
    <cellStyle name="AggOrange 2 2 2 2" xfId="747"/>
    <cellStyle name="AggOrange 2 2 3" xfId="719"/>
    <cellStyle name="AggOrange 2 3" xfId="270"/>
    <cellStyle name="AggOrange 2 3 2" xfId="609"/>
    <cellStyle name="AggOrange 2 3 2 2" xfId="824"/>
    <cellStyle name="AggOrange 2 3 3" xfId="516"/>
    <cellStyle name="AggOrange 2 3 3 2" xfId="731"/>
    <cellStyle name="AggOrange 2 3 4" xfId="531"/>
    <cellStyle name="AggOrange 2 3 4 2" xfId="746"/>
    <cellStyle name="AggOrange 3" xfId="411"/>
    <cellStyle name="AggOrange 3 2" xfId="651"/>
    <cellStyle name="AggOrange 3 2 2" xfId="866"/>
    <cellStyle name="AggOrange 3 3" xfId="718"/>
    <cellStyle name="AggOrange 4" xfId="269"/>
    <cellStyle name="AggOrange 4 2" xfId="608"/>
    <cellStyle name="AggOrange 4 2 2" xfId="823"/>
    <cellStyle name="AggOrange 4 3" xfId="597"/>
    <cellStyle name="AggOrange 4 3 2" xfId="812"/>
    <cellStyle name="AggOrange 4 4" xfId="571"/>
    <cellStyle name="AggOrange 4 4 2" xfId="786"/>
    <cellStyle name="AggOrange 5" xfId="75"/>
    <cellStyle name="AggOrange_B_border" xfId="33"/>
    <cellStyle name="AggOrange9" xfId="20"/>
    <cellStyle name="AggOrange9 2" xfId="122"/>
    <cellStyle name="AggOrange9 2 2" xfId="414"/>
    <cellStyle name="AggOrange9 2 2 2" xfId="650"/>
    <cellStyle name="AggOrange9 2 2 2 2" xfId="865"/>
    <cellStyle name="AggOrange9 2 2 3" xfId="721"/>
    <cellStyle name="AggOrange9 2 3" xfId="272"/>
    <cellStyle name="AggOrange9 2 3 2" xfId="611"/>
    <cellStyle name="AggOrange9 2 3 2 2" xfId="826"/>
    <cellStyle name="AggOrange9 2 3 3" xfId="657"/>
    <cellStyle name="AggOrange9 2 3 3 2" xfId="872"/>
    <cellStyle name="AggOrange9 2 3 4" xfId="671"/>
    <cellStyle name="AggOrange9 2 3 4 2" xfId="886"/>
    <cellStyle name="AggOrange9 3" xfId="413"/>
    <cellStyle name="AggOrange9 3 2" xfId="602"/>
    <cellStyle name="AggOrange9 3 2 2" xfId="817"/>
    <cellStyle name="AggOrange9 3 3" xfId="720"/>
    <cellStyle name="AggOrange9 4" xfId="271"/>
    <cellStyle name="AggOrange9 4 2" xfId="610"/>
    <cellStyle name="AggOrange9 4 2 2" xfId="825"/>
    <cellStyle name="AggOrange9 4 3" xfId="555"/>
    <cellStyle name="AggOrange9 4 3 2" xfId="770"/>
    <cellStyle name="AggOrange9 4 4" xfId="601"/>
    <cellStyle name="AggOrange9 4 4 2" xfId="816"/>
    <cellStyle name="AggOrange9 5" xfId="74"/>
    <cellStyle name="AggOrangeLB_2x" xfId="32"/>
    <cellStyle name="AggOrangeLBorder" xfId="34"/>
    <cellStyle name="AggOrangeLBorder 2" xfId="123"/>
    <cellStyle name="AggOrangeLBorder 2 2" xfId="416"/>
    <cellStyle name="AggOrangeLBorder 2 3" xfId="274"/>
    <cellStyle name="AggOrangeLBorder 2 3 2" xfId="613"/>
    <cellStyle name="AggOrangeLBorder 2 3 2 2" xfId="828"/>
    <cellStyle name="AggOrangeLBorder 2 3 3" xfId="553"/>
    <cellStyle name="AggOrangeLBorder 2 3 3 2" xfId="768"/>
    <cellStyle name="AggOrangeLBorder 2 3 4" xfId="579"/>
    <cellStyle name="AggOrangeLBorder 2 3 4 2" xfId="794"/>
    <cellStyle name="AggOrangeLBorder 2 3 5" xfId="699"/>
    <cellStyle name="AggOrangeLBorder 3" xfId="415"/>
    <cellStyle name="AggOrangeLBorder 4" xfId="273"/>
    <cellStyle name="AggOrangeLBorder 4 2" xfId="612"/>
    <cellStyle name="AggOrangeLBorder 4 2 2" xfId="827"/>
    <cellStyle name="AggOrangeLBorder 4 3" xfId="554"/>
    <cellStyle name="AggOrangeLBorder 4 3 2" xfId="769"/>
    <cellStyle name="AggOrangeLBorder 4 4" xfId="575"/>
    <cellStyle name="AggOrangeLBorder 4 4 2" xfId="790"/>
    <cellStyle name="AggOrangeLBorder 4 5" xfId="698"/>
    <cellStyle name="AggOrangeLBorder 5" xfId="82"/>
    <cellStyle name="AggOrangeRBorder" xfId="23"/>
    <cellStyle name="AggOrangeRBorder 2" xfId="124"/>
    <cellStyle name="AggOrangeRBorder 2 2" xfId="418"/>
    <cellStyle name="AggOrangeRBorder 2 2 2" xfId="530"/>
    <cellStyle name="AggOrangeRBorder 2 2 2 2" xfId="745"/>
    <cellStyle name="AggOrangeRBorder 2 3" xfId="276"/>
    <cellStyle name="AggOrangeRBorder 2 3 2" xfId="615"/>
    <cellStyle name="AggOrangeRBorder 2 3 2 2" xfId="830"/>
    <cellStyle name="AggOrangeRBorder 2 3 3" xfId="591"/>
    <cellStyle name="AggOrangeRBorder 2 3 3 2" xfId="806"/>
    <cellStyle name="AggOrangeRBorder 2 3 4" xfId="573"/>
    <cellStyle name="AggOrangeRBorder 2 3 4 2" xfId="788"/>
    <cellStyle name="AggOrangeRBorder 2 3 5" xfId="701"/>
    <cellStyle name="AggOrangeRBorder 3" xfId="417"/>
    <cellStyle name="AggOrangeRBorder 3 2" xfId="49"/>
    <cellStyle name="AggOrangeRBorder 3 2 2" xfId="649"/>
    <cellStyle name="AggOrangeRBorder 3 2 3" xfId="864"/>
    <cellStyle name="AggOrangeRBorder 4" xfId="275"/>
    <cellStyle name="AggOrangeRBorder 4 2" xfId="614"/>
    <cellStyle name="AggOrangeRBorder 4 2 2" xfId="829"/>
    <cellStyle name="AggOrangeRBorder 4 3" xfId="647"/>
    <cellStyle name="AggOrangeRBorder 4 3 2" xfId="862"/>
    <cellStyle name="AggOrangeRBorder 4 4" xfId="668"/>
    <cellStyle name="AggOrangeRBorder 4 4 2" xfId="883"/>
    <cellStyle name="AggOrangeRBorder 4 5" xfId="700"/>
    <cellStyle name="AggOrangeRBorder 5" xfId="77"/>
    <cellStyle name="AggOrangeRBorder_CRFReport-template" xfId="35"/>
    <cellStyle name="Akzent1 2" xfId="125"/>
    <cellStyle name="Akzent2 2" xfId="126"/>
    <cellStyle name="Akzent3 2" xfId="127"/>
    <cellStyle name="Akzent4 2" xfId="128"/>
    <cellStyle name="Akzent5 2" xfId="129"/>
    <cellStyle name="Akzent6 2" xfId="130"/>
    <cellStyle name="Ausgabe 2" xfId="396"/>
    <cellStyle name="Ausgabe 2 2" xfId="652"/>
    <cellStyle name="Ausgabe 2 2 2" xfId="867"/>
    <cellStyle name="Ausgabe 2 3" xfId="537"/>
    <cellStyle name="Ausgabe 2 3 2" xfId="752"/>
    <cellStyle name="Ausgabe 2 4" xfId="710"/>
    <cellStyle name="Ausgabe 3" xfId="287"/>
    <cellStyle name="Ausgabe 3 2" xfId="624"/>
    <cellStyle name="Ausgabe 3 2 2" xfId="839"/>
    <cellStyle name="Ausgabe 3 3" xfId="543"/>
    <cellStyle name="Ausgabe 3 3 2" xfId="758"/>
    <cellStyle name="Ausgabe 3 4" xfId="707"/>
    <cellStyle name="Ausgabe 4" xfId="548"/>
    <cellStyle name="Ausgabe 4 2" xfId="763"/>
    <cellStyle name="Ausgabe 5" xfId="667"/>
    <cellStyle name="Ausgabe 5 2" xfId="882"/>
    <cellStyle name="Ausgabe 6" xfId="683"/>
    <cellStyle name="Ausgabe 7" xfId="50" hidden="1"/>
    <cellStyle name="Bad 2" xfId="131"/>
    <cellStyle name="Bad 3" xfId="228"/>
    <cellStyle name="Bad 4" xfId="368"/>
    <cellStyle name="Berechnung 2" xfId="397"/>
    <cellStyle name="Berechnung 2 2" xfId="653"/>
    <cellStyle name="Berechnung 2 2 2" xfId="868"/>
    <cellStyle name="Berechnung 2 3" xfId="518"/>
    <cellStyle name="Berechnung 2 3 2" xfId="733"/>
    <cellStyle name="Berechnung 2 4" xfId="574"/>
    <cellStyle name="Berechnung 2 4 2" xfId="789"/>
    <cellStyle name="Berechnung 2 5" xfId="711"/>
    <cellStyle name="Berechnung 3" xfId="277"/>
    <cellStyle name="Berechnung 3 2" xfId="616"/>
    <cellStyle name="Berechnung 3 2 2" xfId="831"/>
    <cellStyle name="Berechnung 3 3" xfId="552"/>
    <cellStyle name="Berechnung 3 3 2" xfId="767"/>
    <cellStyle name="Berechnung 3 4" xfId="564"/>
    <cellStyle name="Berechnung 3 4 2" xfId="779"/>
    <cellStyle name="Berechnung 3 5" xfId="702"/>
    <cellStyle name="Berechnung 4" xfId="549"/>
    <cellStyle name="Berechnung 4 2" xfId="764"/>
    <cellStyle name="Berechnung 5" xfId="666"/>
    <cellStyle name="Berechnung 5 2" xfId="881"/>
    <cellStyle name="Berechnung 6" xfId="678"/>
    <cellStyle name="Berechnung 6 2" xfId="892"/>
    <cellStyle name="Berechnung 7" xfId="684"/>
    <cellStyle name="Berechnung 8" xfId="51" hidden="1"/>
    <cellStyle name="Bold GHG Numbers (0.00)" xfId="132"/>
    <cellStyle name="Calculation 2" xfId="133"/>
    <cellStyle name="Calculation 2 2" xfId="551"/>
    <cellStyle name="Calculation 2 2 2" xfId="766"/>
    <cellStyle name="Calculation 2 3" xfId="635"/>
    <cellStyle name="Calculation 2 3 2" xfId="850"/>
    <cellStyle name="Calculation 2 4" xfId="541"/>
    <cellStyle name="Calculation 2 4 2" xfId="756"/>
    <cellStyle name="Calculation 2 5" xfId="685"/>
    <cellStyle name="Calculation 3" xfId="229"/>
    <cellStyle name="Calculation 3 2" xfId="590"/>
    <cellStyle name="Calculation 3 2 2" xfId="805"/>
    <cellStyle name="Calculation 3 3" xfId="576"/>
    <cellStyle name="Calculation 3 3 2" xfId="791"/>
    <cellStyle name="Calculation 3 4" xfId="660"/>
    <cellStyle name="Calculation 3 4 2" xfId="875"/>
    <cellStyle name="Calculation 3 5" xfId="693"/>
    <cellStyle name="Check Cell 2" xfId="134"/>
    <cellStyle name="Check Cell 3" xfId="230"/>
    <cellStyle name="Check Cell 4" xfId="374"/>
    <cellStyle name="Comma 2" xfId="135"/>
    <cellStyle name="Comma 2 2" xfId="136"/>
    <cellStyle name="Comma 2 2 2" xfId="419"/>
    <cellStyle name="Comma 3" xfId="137"/>
    <cellStyle name="Constants" xfId="9"/>
    <cellStyle name="ContentsHyperlink" xfId="246"/>
    <cellStyle name="CustomCellsOrange" xfId="138"/>
    <cellStyle name="CustomCellsOrange 2" xfId="420"/>
    <cellStyle name="CustomCellsOrange 2 2" xfId="443"/>
    <cellStyle name="CustomCellsOrange 2 2 2" xfId="513"/>
    <cellStyle name="CustomCellsOrange 2 2 2 2" xfId="679"/>
    <cellStyle name="CustomCellsOrange 2 2 2 2 2" xfId="893"/>
    <cellStyle name="CustomCellsOrange 2 2 3" xfId="662"/>
    <cellStyle name="CustomCellsOrange 2 2 3 2" xfId="877"/>
    <cellStyle name="CustomCellsOrange 2 2 4" xfId="580"/>
    <cellStyle name="CustomCellsOrange 2 2 4 2" xfId="795"/>
    <cellStyle name="CustomCellsOrange 2 2 5" xfId="681"/>
    <cellStyle name="CustomCellsOrange 2 2 5 2" xfId="895"/>
    <cellStyle name="CustomCellsOrange 3" xfId="278"/>
    <cellStyle name="CustomCellsOrange 3 2" xfId="617"/>
    <cellStyle name="CustomCellsOrange 3 2 2" xfId="832"/>
    <cellStyle name="CustomCellsOrange 3 3" xfId="550"/>
    <cellStyle name="CustomCellsOrange 3 3 2" xfId="765"/>
    <cellStyle name="CustomCellsOrange 3 4" xfId="563"/>
    <cellStyle name="CustomCellsOrange 3 4 2" xfId="778"/>
    <cellStyle name="CustomCellsOrange 3 5" xfId="703"/>
    <cellStyle name="CustomizationCells" xfId="22"/>
    <cellStyle name="CustomizationCells 2" xfId="421"/>
    <cellStyle name="CustomizationCells 2 2" xfId="444"/>
    <cellStyle name="CustomizationCells 2 2 2" xfId="514"/>
    <cellStyle name="CustomizationCells 2 2 2 2" xfId="680"/>
    <cellStyle name="CustomizationCells 2 2 2 2 2" xfId="894"/>
    <cellStyle name="CustomizationCells 2 2 3" xfId="663"/>
    <cellStyle name="CustomizationCells 2 2 3 2" xfId="878"/>
    <cellStyle name="CustomizationCells 2 2 4" xfId="526"/>
    <cellStyle name="CustomizationCells 2 2 4 2" xfId="741"/>
    <cellStyle name="CustomizationCells 2 2 5" xfId="682"/>
    <cellStyle name="CustomizationCells 2 2 5 2" xfId="896"/>
    <cellStyle name="CustomizationCells 3" xfId="279"/>
    <cellStyle name="CustomizationCells 3 2" xfId="618"/>
    <cellStyle name="CustomizationCells 3 2 2" xfId="833"/>
    <cellStyle name="CustomizationCells 3 3" xfId="645"/>
    <cellStyle name="CustomizationCells 3 3 2" xfId="860"/>
    <cellStyle name="CustomizationCells 3 4" xfId="565"/>
    <cellStyle name="CustomizationCells 3 4 2" xfId="780"/>
    <cellStyle name="CustomizationCells 3 5" xfId="704"/>
    <cellStyle name="CustomizationCells 4" xfId="76"/>
    <cellStyle name="CustomizationGreenCells" xfId="139"/>
    <cellStyle name="CustomizationGreenCells 2" xfId="422"/>
    <cellStyle name="CustomizationGreenCells 3" xfId="280"/>
    <cellStyle name="CustomizationGreenCells 3 2" xfId="619"/>
    <cellStyle name="CustomizationGreenCells 3 2 2" xfId="834"/>
    <cellStyle name="CustomizationGreenCells 3 3" xfId="589"/>
    <cellStyle name="CustomizationGreenCells 3 3 2" xfId="804"/>
    <cellStyle name="CustomizationGreenCells 3 4" xfId="522"/>
    <cellStyle name="CustomizationGreenCells 3 4 2" xfId="737"/>
    <cellStyle name="CustomizationGreenCells 3 5" xfId="705"/>
    <cellStyle name="DocBox_EmptyRow" xfId="19"/>
    <cellStyle name="Eingabe 2" xfId="377"/>
    <cellStyle name="Eingabe 3" xfId="423"/>
    <cellStyle name="Eingabe 3 2" xfId="659"/>
    <cellStyle name="Eingabe 3 2 2" xfId="874"/>
    <cellStyle name="Eingabe 3 3" xfId="648"/>
    <cellStyle name="Eingabe 3 3 2" xfId="863"/>
    <cellStyle name="Eingabe 3 4" xfId="539"/>
    <cellStyle name="Eingabe 3 4 2" xfId="754"/>
    <cellStyle name="Eingabe 3 5" xfId="722"/>
    <cellStyle name="Eingabe 4" xfId="282"/>
    <cellStyle name="Eingabe 4 2" xfId="620"/>
    <cellStyle name="Eingabe 4 2 2" xfId="835"/>
    <cellStyle name="Eingabe 4 3" xfId="547"/>
    <cellStyle name="Eingabe 4 3 2" xfId="762"/>
    <cellStyle name="Eingabe 4 4" xfId="523"/>
    <cellStyle name="Eingabe 4 4 2" xfId="738"/>
    <cellStyle name="Eingabe 4 5" xfId="706"/>
    <cellStyle name="Eingabe 5" xfId="557"/>
    <cellStyle name="Eingabe 5 2" xfId="772"/>
    <cellStyle name="Eingabe 6" xfId="634"/>
    <cellStyle name="Eingabe 6 2" xfId="849"/>
    <cellStyle name="Eingabe 7" xfId="677"/>
    <cellStyle name="Eingabe 7 2" xfId="891"/>
    <cellStyle name="Eingabe 8" xfId="686"/>
    <cellStyle name="Eingabe 9" xfId="7"/>
    <cellStyle name="Empty_B_border" xfId="25"/>
    <cellStyle name="Ergebnis 2" xfId="398"/>
    <cellStyle name="Ergebnis 2 2" xfId="654"/>
    <cellStyle name="Ergebnis 2 2 2" xfId="869"/>
    <cellStyle name="Ergebnis 2 3" xfId="586"/>
    <cellStyle name="Ergebnis 2 3 2" xfId="801"/>
    <cellStyle name="Ergebnis 2 4" xfId="577"/>
    <cellStyle name="Ergebnis 2 4 2" xfId="792"/>
    <cellStyle name="Ergebnis 2 5" xfId="712"/>
    <cellStyle name="Ergebnis 3" xfId="291"/>
    <cellStyle name="Ergebnis 3 2" xfId="628"/>
    <cellStyle name="Ergebnis 3 2 2" xfId="843"/>
    <cellStyle name="Ergebnis 3 3" xfId="542"/>
    <cellStyle name="Ergebnis 3 3 2" xfId="757"/>
    <cellStyle name="Ergebnis 3 4" xfId="569"/>
    <cellStyle name="Ergebnis 3 4 2" xfId="784"/>
    <cellStyle name="Ergebnis 3 5" xfId="708"/>
    <cellStyle name="Ergebnis 4" xfId="558"/>
    <cellStyle name="Ergebnis 4 2" xfId="773"/>
    <cellStyle name="Ergebnis 5" xfId="632"/>
    <cellStyle name="Ergebnis 5 2" xfId="847"/>
    <cellStyle name="Ergebnis 6" xfId="639"/>
    <cellStyle name="Ergebnis 6 2" xfId="854"/>
    <cellStyle name="Ergebnis 7" xfId="687"/>
    <cellStyle name="Ergebnis 8" xfId="54" hidden="1"/>
    <cellStyle name="Erklärender Text 2" xfId="399"/>
    <cellStyle name="Erklärender Text 3" xfId="281"/>
    <cellStyle name="Erklärender Text 4" xfId="53" hidden="1"/>
    <cellStyle name="Explanatory Text 2" xfId="140"/>
    <cellStyle name="Explanatory Text 3" xfId="231"/>
    <cellStyle name="Good 2" xfId="141"/>
    <cellStyle name="Good 3" xfId="232"/>
    <cellStyle name="Good 4" xfId="361"/>
    <cellStyle name="Gut 2" xfId="142"/>
    <cellStyle name="Heading 1 2" xfId="143"/>
    <cellStyle name="Heading 1 3" xfId="233"/>
    <cellStyle name="Heading 1 4" xfId="369"/>
    <cellStyle name="Heading 2 2" xfId="144"/>
    <cellStyle name="Heading 2 3" xfId="234"/>
    <cellStyle name="Heading 2 4" xfId="370"/>
    <cellStyle name="Heading 3 2" xfId="145"/>
    <cellStyle name="Heading 3 3" xfId="235"/>
    <cellStyle name="Heading 3 4" xfId="371"/>
    <cellStyle name="Heading 4 2" xfId="146"/>
    <cellStyle name="Heading 4 3" xfId="236"/>
    <cellStyle name="Heading 4 4" xfId="372"/>
    <cellStyle name="Headline" xfId="8"/>
    <cellStyle name="Hyperlink" xfId="2" builtinId="8"/>
    <cellStyle name="Input 2" xfId="147"/>
    <cellStyle name="Input 2 2" xfId="561"/>
    <cellStyle name="Input 2 2 2" xfId="776"/>
    <cellStyle name="Input 2 3" xfId="665"/>
    <cellStyle name="Input 2 3 2" xfId="880"/>
    <cellStyle name="Input 2 4" xfId="676"/>
    <cellStyle name="Input 2 4 2" xfId="890"/>
    <cellStyle name="Input 2 5" xfId="688"/>
    <cellStyle name="Input 3" xfId="237"/>
    <cellStyle name="Input 3 2" xfId="593"/>
    <cellStyle name="Input 3 2 2" xfId="808"/>
    <cellStyle name="Input 3 3" xfId="592"/>
    <cellStyle name="Input 3 3 2" xfId="807"/>
    <cellStyle name="Input 3 4" xfId="536"/>
    <cellStyle name="Input 3 4 2" xfId="751"/>
    <cellStyle name="Input 3 5" xfId="694"/>
    <cellStyle name="Input 4" xfId="348"/>
    <cellStyle name="InputCells" xfId="15"/>
    <cellStyle name="InputCells 2" xfId="148"/>
    <cellStyle name="InputCells 3" xfId="199"/>
    <cellStyle name="InputCells 4" xfId="351"/>
    <cellStyle name="InputCells_Bborder_1" xfId="149"/>
    <cellStyle name="InputCells12" xfId="24"/>
    <cellStyle name="InputCells12 2" xfId="150"/>
    <cellStyle name="InputCells12 2 2" xfId="425"/>
    <cellStyle name="InputCells12 2 2 2" xfId="599"/>
    <cellStyle name="InputCells12 2 2 2 2" xfId="814"/>
    <cellStyle name="InputCells12 2 2 3" xfId="724"/>
    <cellStyle name="InputCells12 2 3" xfId="284"/>
    <cellStyle name="InputCells12 2 3 2" xfId="622"/>
    <cellStyle name="InputCells12 2 3 2 2" xfId="837"/>
    <cellStyle name="InputCells12 2 3 3" xfId="545"/>
    <cellStyle name="InputCells12 2 3 3 2" xfId="760"/>
    <cellStyle name="InputCells12 2 3 4" xfId="661"/>
    <cellStyle name="InputCells12 2 3 4 2" xfId="876"/>
    <cellStyle name="InputCells12 3" xfId="424"/>
    <cellStyle name="InputCells12 3 2" xfId="529"/>
    <cellStyle name="InputCells12 3 2 2" xfId="744"/>
    <cellStyle name="InputCells12 3 3" xfId="723"/>
    <cellStyle name="InputCells12 4" xfId="283"/>
    <cellStyle name="InputCells12 4 2" xfId="621"/>
    <cellStyle name="InputCells12 4 2 2" xfId="836"/>
    <cellStyle name="InputCells12 4 3" xfId="546"/>
    <cellStyle name="InputCells12 4 3 2" xfId="761"/>
    <cellStyle name="InputCells12 4 4" xfId="520"/>
    <cellStyle name="InputCells12 4 4 2" xfId="735"/>
    <cellStyle name="InputCells12 5" xfId="78"/>
    <cellStyle name="InputCells12_BBorder" xfId="30"/>
    <cellStyle name="IntCells" xfId="151"/>
    <cellStyle name="Komma 2" xfId="3"/>
    <cellStyle name="KP_thin_border_dark_grey" xfId="40"/>
    <cellStyle name="Linked Cell 2" xfId="152"/>
    <cellStyle name="Linked Cell 3" xfId="238"/>
    <cellStyle name="Linked Cell 4" xfId="373"/>
    <cellStyle name="Neutral 2" xfId="153"/>
    <cellStyle name="Neutral 3" xfId="239"/>
    <cellStyle name="Normaali 2" xfId="154"/>
    <cellStyle name="Normaali 2 2" xfId="155"/>
    <cellStyle name="Normal" xfId="0" builtinId="0"/>
    <cellStyle name="Normal 10" xfId="376"/>
    <cellStyle name="Normal 10 2" xfId="445"/>
    <cellStyle name="Normal 11" xfId="404"/>
    <cellStyle name="Normal 11 2" xfId="446"/>
    <cellStyle name="Normal 12" xfId="515"/>
    <cellStyle name="Normal 12 2" xfId="675"/>
    <cellStyle name="Normal 2" xfId="10"/>
    <cellStyle name="Normal 2 2" xfId="156"/>
    <cellStyle name="Normal 2 2 2" xfId="157"/>
    <cellStyle name="Normal 2 3" xfId="158"/>
    <cellStyle name="Normal 2 3 2" xfId="426"/>
    <cellStyle name="Normal 2 4" xfId="45"/>
    <cellStyle name="Normal 3" xfId="41"/>
    <cellStyle name="Normal 3 2" xfId="159"/>
    <cellStyle name="Normal 3 2 2" xfId="46"/>
    <cellStyle name="Normal 3 3" xfId="200"/>
    <cellStyle name="Normal 3 4" xfId="362"/>
    <cellStyle name="Normal 4" xfId="160"/>
    <cellStyle name="Normal 4 2" xfId="161"/>
    <cellStyle name="Normal 4 2 2" xfId="162"/>
    <cellStyle name="Normal 4 2 3" xfId="427"/>
    <cellStyle name="Normal 4 3" xfId="201"/>
    <cellStyle name="Normal 4 3 2" xfId="428"/>
    <cellStyle name="Normal 5" xfId="163"/>
    <cellStyle name="Normal 5 2" xfId="294"/>
    <cellStyle name="Normal 5 2 2" xfId="301"/>
    <cellStyle name="Normal 5 2 2 2" xfId="307"/>
    <cellStyle name="Normal 5 2 2 2 2" xfId="322"/>
    <cellStyle name="Normal 5 2 2 2 2 2" xfId="451"/>
    <cellStyle name="Normal 5 2 2 2 3" xfId="450"/>
    <cellStyle name="Normal 5 2 2 3" xfId="321"/>
    <cellStyle name="Normal 5 2 2 3 2" xfId="452"/>
    <cellStyle name="Normal 5 2 2 4" xfId="449"/>
    <cellStyle name="Normal 5 2 3" xfId="306"/>
    <cellStyle name="Normal 5 2 3 2" xfId="323"/>
    <cellStyle name="Normal 5 2 3 2 2" xfId="454"/>
    <cellStyle name="Normal 5 2 3 3" xfId="453"/>
    <cellStyle name="Normal 5 2 4" xfId="320"/>
    <cellStyle name="Normal 5 2 4 2" xfId="455"/>
    <cellStyle name="Normal 5 2 5" xfId="429"/>
    <cellStyle name="Normal 5 2 5 2" xfId="456"/>
    <cellStyle name="Normal 5 2 6" xfId="448"/>
    <cellStyle name="Normal 5 3" xfId="298"/>
    <cellStyle name="Normal 5 3 2" xfId="308"/>
    <cellStyle name="Normal 5 3 2 2" xfId="325"/>
    <cellStyle name="Normal 5 3 2 2 2" xfId="459"/>
    <cellStyle name="Normal 5 3 2 3" xfId="458"/>
    <cellStyle name="Normal 5 3 3" xfId="324"/>
    <cellStyle name="Normal 5 3 3 2" xfId="460"/>
    <cellStyle name="Normal 5 3 4" xfId="457"/>
    <cellStyle name="Normal 5 4" xfId="305"/>
    <cellStyle name="Normal 5 4 2" xfId="326"/>
    <cellStyle name="Normal 5 4 2 2" xfId="462"/>
    <cellStyle name="Normal 5 4 3" xfId="461"/>
    <cellStyle name="Normal 5 5" xfId="319"/>
    <cellStyle name="Normal 5 5 2" xfId="463"/>
    <cellStyle name="Normal 5 6" xfId="363"/>
    <cellStyle name="Normal 5 7" xfId="447"/>
    <cellStyle name="Normal 5 8" xfId="285"/>
    <cellStyle name="Normal 6" xfId="164"/>
    <cellStyle name="Normal 6 10" xfId="430"/>
    <cellStyle name="Normal 6 10 2" xfId="465"/>
    <cellStyle name="Normal 6 11" xfId="464"/>
    <cellStyle name="Normal 6 2" xfId="295"/>
    <cellStyle name="Normal 6 2 2" xfId="302"/>
    <cellStyle name="Normal 6 2 2 2" xfId="311"/>
    <cellStyle name="Normal 6 2 2 2 2" xfId="330"/>
    <cellStyle name="Normal 6 2 2 2 2 2" xfId="469"/>
    <cellStyle name="Normal 6 2 2 2 3" xfId="468"/>
    <cellStyle name="Normal 6 2 2 3" xfId="329"/>
    <cellStyle name="Normal 6 2 2 3 2" xfId="470"/>
    <cellStyle name="Normal 6 2 2 4" xfId="467"/>
    <cellStyle name="Normal 6 2 3" xfId="310"/>
    <cellStyle name="Normal 6 2 3 2" xfId="331"/>
    <cellStyle name="Normal 6 2 3 2 2" xfId="472"/>
    <cellStyle name="Normal 6 2 3 3" xfId="471"/>
    <cellStyle name="Normal 6 2 4" xfId="328"/>
    <cellStyle name="Normal 6 2 4 2" xfId="473"/>
    <cellStyle name="Normal 6 2 5" xfId="431"/>
    <cellStyle name="Normal 6 2 5 2" xfId="474"/>
    <cellStyle name="Normal 6 2 6" xfId="466"/>
    <cellStyle name="Normal 6 3" xfId="297"/>
    <cellStyle name="Normal 6 3 2" xfId="304"/>
    <cellStyle name="Normal 6 3 2 2" xfId="313"/>
    <cellStyle name="Normal 6 3 2 2 2" xfId="334"/>
    <cellStyle name="Normal 6 3 2 2 2 2" xfId="478"/>
    <cellStyle name="Normal 6 3 2 2 3" xfId="477"/>
    <cellStyle name="Normal 6 3 2 3" xfId="333"/>
    <cellStyle name="Normal 6 3 2 3 2" xfId="479"/>
    <cellStyle name="Normal 6 3 2 4" xfId="476"/>
    <cellStyle name="Normal 6 3 3" xfId="312"/>
    <cellStyle name="Normal 6 3 3 2" xfId="335"/>
    <cellStyle name="Normal 6 3 3 2 2" xfId="481"/>
    <cellStyle name="Normal 6 3 3 3" xfId="480"/>
    <cellStyle name="Normal 6 3 4" xfId="332"/>
    <cellStyle name="Normal 6 3 4 2" xfId="482"/>
    <cellStyle name="Normal 6 3 5" xfId="475"/>
    <cellStyle name="Normal 6 4" xfId="299"/>
    <cellStyle name="Normal 6 4 2" xfId="314"/>
    <cellStyle name="Normal 6 4 2 2" xfId="337"/>
    <cellStyle name="Normal 6 4 2 2 2" xfId="485"/>
    <cellStyle name="Normal 6 4 2 3" xfId="484"/>
    <cellStyle name="Normal 6 4 3" xfId="336"/>
    <cellStyle name="Normal 6 4 3 2" xfId="486"/>
    <cellStyle name="Normal 6 4 4" xfId="483"/>
    <cellStyle name="Normal 6 5" xfId="309"/>
    <cellStyle name="Normal 6 5 2" xfId="338"/>
    <cellStyle name="Normal 6 5 2 2" xfId="488"/>
    <cellStyle name="Normal 6 5 3" xfId="487"/>
    <cellStyle name="Normal 6 6" xfId="327"/>
    <cellStyle name="Normal 6 6 2" xfId="489"/>
    <cellStyle name="Normal 6 7" xfId="364"/>
    <cellStyle name="Normal 6 7 2" xfId="490"/>
    <cellStyle name="Normal 6 8" xfId="400"/>
    <cellStyle name="Normal 6 8 2" xfId="491"/>
    <cellStyle name="Normal 6 9" xfId="403"/>
    <cellStyle name="Normal 6 9 2" xfId="492"/>
    <cellStyle name="Normal 7" xfId="39"/>
    <cellStyle name="Normal 7 2" xfId="296"/>
    <cellStyle name="Normal 7 2 2" xfId="303"/>
    <cellStyle name="Normal 7 2 2 2" xfId="317"/>
    <cellStyle name="Normal 7 2 2 2 2" xfId="342"/>
    <cellStyle name="Normal 7 2 2 2 2 2" xfId="497"/>
    <cellStyle name="Normal 7 2 2 2 3" xfId="496"/>
    <cellStyle name="Normal 7 2 2 3" xfId="341"/>
    <cellStyle name="Normal 7 2 2 3 2" xfId="498"/>
    <cellStyle name="Normal 7 2 2 4" xfId="495"/>
    <cellStyle name="Normal 7 2 3" xfId="316"/>
    <cellStyle name="Normal 7 2 3 2" xfId="343"/>
    <cellStyle name="Normal 7 2 3 2 2" xfId="500"/>
    <cellStyle name="Normal 7 2 3 3" xfId="499"/>
    <cellStyle name="Normal 7 2 4" xfId="340"/>
    <cellStyle name="Normal 7 2 4 2" xfId="501"/>
    <cellStyle name="Normal 7 2 5" xfId="432"/>
    <cellStyle name="Normal 7 2 5 2" xfId="502"/>
    <cellStyle name="Normal 7 2 6" xfId="494"/>
    <cellStyle name="Normal 7 3" xfId="300"/>
    <cellStyle name="Normal 7 3 2" xfId="318"/>
    <cellStyle name="Normal 7 3 2 2" xfId="345"/>
    <cellStyle name="Normal 7 3 2 2 2" xfId="505"/>
    <cellStyle name="Normal 7 3 2 3" xfId="504"/>
    <cellStyle name="Normal 7 3 3" xfId="344"/>
    <cellStyle name="Normal 7 3 3 2" xfId="506"/>
    <cellStyle name="Normal 7 3 4" xfId="503"/>
    <cellStyle name="Normal 7 4" xfId="315"/>
    <cellStyle name="Normal 7 4 2" xfId="346"/>
    <cellStyle name="Normal 7 4 2 2" xfId="508"/>
    <cellStyle name="Normal 7 4 3" xfId="507"/>
    <cellStyle name="Normal 7 5" xfId="339"/>
    <cellStyle name="Normal 7 5 2" xfId="509"/>
    <cellStyle name="Normal 7 6" xfId="352"/>
    <cellStyle name="Normal 7 7" xfId="493"/>
    <cellStyle name="Normal 7 8" xfId="293"/>
    <cellStyle name="Normal 8" xfId="240"/>
    <cellStyle name="Normal 8 2" xfId="434"/>
    <cellStyle name="Normal 8 3" xfId="433"/>
    <cellStyle name="Normal 9" xfId="5"/>
    <cellStyle name="Normal 9 2" xfId="510"/>
    <cellStyle name="Normal 9 3" xfId="347"/>
    <cellStyle name="Normal GHG Numbers (0.00)" xfId="165"/>
    <cellStyle name="Normal GHG Numbers (0.00) 2" xfId="166"/>
    <cellStyle name="Normal GHG Numbers (0.00) 3" xfId="42"/>
    <cellStyle name="Normal GHG Numbers (0.00) 3 2" xfId="435"/>
    <cellStyle name="Normal GHG Numbers (0.00) 3 2 2" xfId="584"/>
    <cellStyle name="Normal GHG Numbers (0.00) 3 2 2 2" xfId="799"/>
    <cellStyle name="Normal GHG Numbers (0.00) 3 2 3" xfId="725"/>
    <cellStyle name="Normal GHG Numbers (0.00) 3 3" xfId="365"/>
    <cellStyle name="Normal GHG Numbers (0.00) 3 3 2" xfId="643"/>
    <cellStyle name="Normal GHG Numbers (0.00) 3 3 2 2" xfId="858"/>
    <cellStyle name="Normal GHG Numbers (0.00) 3 3 3" xfId="540"/>
    <cellStyle name="Normal GHG Numbers (0.00) 3 3 3 2" xfId="755"/>
    <cellStyle name="Normal GHG Numbers (0.00) 3 3 4" xfId="673"/>
    <cellStyle name="Normal GHG Numbers (0.00) 3 3 4 2" xfId="888"/>
    <cellStyle name="Normal GHG Numbers (0.00) 3 4" xfId="167"/>
    <cellStyle name="Normal GHG Textfiels Bold" xfId="6"/>
    <cellStyle name="Normal GHG Textfiels Bold 2" xfId="168"/>
    <cellStyle name="Normal GHG Textfiels Bold 3" xfId="169"/>
    <cellStyle name="Normal GHG Textfiels Bold 3 2" xfId="436"/>
    <cellStyle name="Normal GHG Textfiels Bold 3 2 2" xfId="528"/>
    <cellStyle name="Normal GHG Textfiels Bold 3 2 2 2" xfId="743"/>
    <cellStyle name="Normal GHG Textfiels Bold 3 2 3" xfId="726"/>
    <cellStyle name="Normal GHG Textfiels Bold 3 3" xfId="366"/>
    <cellStyle name="Normal GHG Textfiels Bold 3 3 2" xfId="644"/>
    <cellStyle name="Normal GHG Textfiels Bold 3 3 2 2" xfId="859"/>
    <cellStyle name="Normal GHG Textfiels Bold 3 3 3" xfId="587"/>
    <cellStyle name="Normal GHG Textfiels Bold 3 3 3 2" xfId="802"/>
    <cellStyle name="Normal GHG Textfiels Bold 3 3 4" xfId="562"/>
    <cellStyle name="Normal GHG Textfiels Bold 3 3 4 2" xfId="777"/>
    <cellStyle name="Normal GHG whole table" xfId="18"/>
    <cellStyle name="Normal GHG whole table 2" xfId="437"/>
    <cellStyle name="Normal GHG whole table 2 2" xfId="583"/>
    <cellStyle name="Normal GHG whole table 2 2 2" xfId="798"/>
    <cellStyle name="Normal GHG whole table 2 3" xfId="727"/>
    <cellStyle name="Normal GHG whole table 3" xfId="286"/>
    <cellStyle name="Normal GHG whole table 3 2" xfId="623"/>
    <cellStyle name="Normal GHG whole table 3 2 2" xfId="838"/>
    <cellStyle name="Normal GHG whole table 3 3" xfId="544"/>
    <cellStyle name="Normal GHG whole table 3 3 2" xfId="759"/>
    <cellStyle name="Normal GHG whole table 3 4" xfId="631"/>
    <cellStyle name="Normal GHG whole table 3 4 2" xfId="846"/>
    <cellStyle name="Normal GHG whole table 4" xfId="73"/>
    <cellStyle name="Normal GHG-Shade" xfId="16"/>
    <cellStyle name="Normal GHG-Shade 2" xfId="170"/>
    <cellStyle name="Normal GHG-Shade 2 2" xfId="171"/>
    <cellStyle name="Normal GHG-Shade 2 3" xfId="172"/>
    <cellStyle name="Normal GHG-Shade 2 4" xfId="202"/>
    <cellStyle name="Normal GHG-Shade 2 5" xfId="367"/>
    <cellStyle name="Normal GHG-Shade 3" xfId="173"/>
    <cellStyle name="Normal GHG-Shade 3 2" xfId="174"/>
    <cellStyle name="Normal GHG-Shade 4" xfId="175"/>
    <cellStyle name="Normal GHG-Shade 4 2" xfId="438"/>
    <cellStyle name="Normál_Munka1" xfId="31"/>
    <cellStyle name="Note 2" xfId="176"/>
    <cellStyle name="Note 2 2" xfId="566"/>
    <cellStyle name="Note 2 2 2" xfId="781"/>
    <cellStyle name="Note 2 3" xfId="630"/>
    <cellStyle name="Note 2 3 2" xfId="845"/>
    <cellStyle name="Note 2 4" xfId="525"/>
    <cellStyle name="Note 2 4 2" xfId="740"/>
    <cellStyle name="Note 2 5" xfId="689"/>
    <cellStyle name="Note 3" xfId="241"/>
    <cellStyle name="Note 3 2" xfId="594"/>
    <cellStyle name="Note 3 2 2" xfId="809"/>
    <cellStyle name="Note 3 3" xfId="560"/>
    <cellStyle name="Note 3 3 2" xfId="775"/>
    <cellStyle name="Note 3 4" xfId="578"/>
    <cellStyle name="Note 3 4 2" xfId="793"/>
    <cellStyle name="Note 3 5" xfId="695"/>
    <cellStyle name="Notiz 2" xfId="567"/>
    <cellStyle name="Notiz 2 2" xfId="782"/>
    <cellStyle name="Notiz 3" xfId="629"/>
    <cellStyle name="Notiz 3 2" xfId="844"/>
    <cellStyle name="Notiz 4" xfId="598"/>
    <cellStyle name="Notiz 4 2" xfId="813"/>
    <cellStyle name="Notiz 5" xfId="690"/>
    <cellStyle name="Notiz 6" xfId="177"/>
    <cellStyle name="Output 2" xfId="178"/>
    <cellStyle name="Output 2 2" xfId="568"/>
    <cellStyle name="Output 2 2 2" xfId="783"/>
    <cellStyle name="Output 2 3" xfId="664"/>
    <cellStyle name="Output 2 3 2" xfId="879"/>
    <cellStyle name="Output 2 4" xfId="691"/>
    <cellStyle name="Output 3" xfId="242"/>
    <cellStyle name="Output 3 2" xfId="595"/>
    <cellStyle name="Output 3 2 2" xfId="810"/>
    <cellStyle name="Output 3 3" xfId="646"/>
    <cellStyle name="Output 3 3 2" xfId="861"/>
    <cellStyle name="Output 3 4" xfId="696"/>
    <cellStyle name="Pattern" xfId="179"/>
    <cellStyle name="Pattern 2" xfId="439"/>
    <cellStyle name="Pattern 2 2" xfId="582"/>
    <cellStyle name="Pattern 2 2 2" xfId="797"/>
    <cellStyle name="Pattern 2 3" xfId="728"/>
    <cellStyle name="Pattern 3" xfId="288"/>
    <cellStyle name="Pattern 3 2" xfId="625"/>
    <cellStyle name="Pattern 3 2 2" xfId="840"/>
    <cellStyle name="Pattern 3 3" xfId="524"/>
    <cellStyle name="Pattern 3 3 2" xfId="739"/>
    <cellStyle name="Pattern 3 4" xfId="638"/>
    <cellStyle name="Pattern 3 4 2" xfId="853"/>
    <cellStyle name="Percent" xfId="1" builtinId="5"/>
    <cellStyle name="Percent 2" xfId="180"/>
    <cellStyle name="Percent 2 2" xfId="440"/>
    <cellStyle name="RowLevel_1 2" xfId="83"/>
    <cellStyle name="Schlecht 2" xfId="181"/>
    <cellStyle name="Shade" xfId="27"/>
    <cellStyle name="Shade 2" xfId="182"/>
    <cellStyle name="Shade 2 2" xfId="442"/>
    <cellStyle name="Shade 2 2 2" xfId="527"/>
    <cellStyle name="Shade 2 2 2 2" xfId="742"/>
    <cellStyle name="Shade 2 2 3" xfId="730"/>
    <cellStyle name="Shade 2 3" xfId="290"/>
    <cellStyle name="Shade 2 3 2" xfId="627"/>
    <cellStyle name="Shade 2 3 2 2" xfId="842"/>
    <cellStyle name="Shade 2 3 3" xfId="656"/>
    <cellStyle name="Shade 2 3 3 2" xfId="871"/>
    <cellStyle name="Shade 2 3 4" xfId="570"/>
    <cellStyle name="Shade 2 3 4 2" xfId="785"/>
    <cellStyle name="Shade 3" xfId="441"/>
    <cellStyle name="Shade 3 2" xfId="581"/>
    <cellStyle name="Shade 3 2 2" xfId="796"/>
    <cellStyle name="Shade 3 3" xfId="729"/>
    <cellStyle name="Shade 4" xfId="289"/>
    <cellStyle name="Shade 4 2" xfId="48"/>
    <cellStyle name="Shade 4 2 2" xfId="626"/>
    <cellStyle name="Shade 4 2 3" xfId="841"/>
    <cellStyle name="Shade 4 3" xfId="655"/>
    <cellStyle name="Shade 4 3 2" xfId="870"/>
    <cellStyle name="Shade 4 4" xfId="517"/>
    <cellStyle name="Shade 4 4 2" xfId="732"/>
    <cellStyle name="Shade 5" xfId="80"/>
    <cellStyle name="Shade_B_border2" xfId="183"/>
    <cellStyle name="Standard 2" xfId="47"/>
    <cellStyle name="Standard 2 2" xfId="402"/>
    <cellStyle name="Standard 2 2 2" xfId="512"/>
    <cellStyle name="Standard 2 3" xfId="511"/>
    <cellStyle name="Title 2" xfId="184"/>
    <cellStyle name="Title 3" xfId="243"/>
    <cellStyle name="Total 2" xfId="185"/>
    <cellStyle name="Total 2 2" xfId="572"/>
    <cellStyle name="Total 2 2 2" xfId="787"/>
    <cellStyle name="Total 2 3" xfId="633"/>
    <cellStyle name="Total 2 3 2" xfId="848"/>
    <cellStyle name="Total 2 4" xfId="521"/>
    <cellStyle name="Total 2 4 2" xfId="736"/>
    <cellStyle name="Total 2 5" xfId="692"/>
    <cellStyle name="Total 3" xfId="244"/>
    <cellStyle name="Total 3 2" xfId="596"/>
    <cellStyle name="Total 3 2 2" xfId="811"/>
    <cellStyle name="Total 3 3" xfId="559"/>
    <cellStyle name="Total 3 3 2" xfId="774"/>
    <cellStyle name="Total 3 4" xfId="600"/>
    <cellStyle name="Total 3 4 2" xfId="815"/>
    <cellStyle name="Total 3 5" xfId="697"/>
    <cellStyle name="Überschrift 1 2" xfId="187"/>
    <cellStyle name="Überschrift 2 2" xfId="188"/>
    <cellStyle name="Überschrift 3 2" xfId="189"/>
    <cellStyle name="Überschrift 4 2" xfId="190"/>
    <cellStyle name="Überschrift 5" xfId="186"/>
    <cellStyle name="Verknüpfte Zelle 2" xfId="191"/>
    <cellStyle name="Währung 2" xfId="4"/>
    <cellStyle name="Warnender Text 2" xfId="401"/>
    <cellStyle name="Warnender Text 3" xfId="292"/>
    <cellStyle name="Warnender Text 4" xfId="52" hidden="1"/>
    <cellStyle name="Warning Text 2" xfId="192"/>
    <cellStyle name="Warning Text 3" xfId="245"/>
    <cellStyle name="Zelle überprüfen 2" xfId="193"/>
    <cellStyle name="Гиперссылка" xfId="194"/>
    <cellStyle name="Гиперссылка 2" xfId="195"/>
    <cellStyle name="Гиперссылка 3" xfId="203"/>
    <cellStyle name="Гиперссылка 4" xfId="375"/>
    <cellStyle name="Обычный_2++" xfId="36"/>
  </cellStyles>
  <dxfs count="4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numFmt numFmtId="1" formatCode="0"/>
    </dxf>
    <dxf>
      <font>
        <color rgb="FFFF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numFmt numFmtId="1" formatCode="0"/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numFmt numFmtId="1" formatCode="0"/>
    </dxf>
    <dxf>
      <font>
        <color rgb="FFC00000"/>
      </font>
      <numFmt numFmtId="1" formatCode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externalLink" Target="externalLinks/externalLink4.xml"/><Relationship Id="rId39" Type="http://schemas.openxmlformats.org/officeDocument/2006/relationships/calcChain" Target="calcChain.xml"/><Relationship Id="rId21" Type="http://schemas.openxmlformats.org/officeDocument/2006/relationships/worksheet" Target="worksheets/sheet20.xml"/><Relationship Id="rId34" Type="http://schemas.openxmlformats.org/officeDocument/2006/relationships/externalLink" Target="externalLinks/externalLink1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externalLink" Target="externalLinks/externalLink3.xml"/><Relationship Id="rId33" Type="http://schemas.openxmlformats.org/officeDocument/2006/relationships/externalLink" Target="externalLinks/externalLink11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externalLink" Target="externalLinks/externalLink7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externalLink" Target="externalLinks/externalLink2.xml"/><Relationship Id="rId32" Type="http://schemas.openxmlformats.org/officeDocument/2006/relationships/externalLink" Target="externalLinks/externalLink10.xml"/><Relationship Id="rId37" Type="http://schemas.openxmlformats.org/officeDocument/2006/relationships/styles" Target="style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externalLink" Target="externalLinks/externalLink1.xml"/><Relationship Id="rId28" Type="http://schemas.openxmlformats.org/officeDocument/2006/relationships/externalLink" Target="externalLinks/externalLink6.xml"/><Relationship Id="rId36" Type="http://schemas.openxmlformats.org/officeDocument/2006/relationships/theme" Target="theme/theme1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externalLink" Target="externalLinks/externalLink9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externalLink" Target="externalLinks/externalLink5.xml"/><Relationship Id="rId30" Type="http://schemas.openxmlformats.org/officeDocument/2006/relationships/externalLink" Target="externalLinks/externalLink8.xml"/><Relationship Id="rId35" Type="http://schemas.openxmlformats.org/officeDocument/2006/relationships/pivotCacheDefinition" Target="pivotCache/pivotCacheDefinition1.xml"/><Relationship Id="rId8" Type="http://schemas.openxmlformats.org/officeDocument/2006/relationships/worksheet" Target="worksheets/sheet7.xml"/><Relationship Id="rId3" Type="http://schemas.openxmlformats.org/officeDocument/2006/relationships/worksheet" Target="worksheets/sheet2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[160330_co2pfad.xlsx]Pivot!PivotTable10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2005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Pivot!$B$5:$B$43</c:f>
              <c:numCache>
                <c:formatCode>#,##0</c:formatCode>
                <c:ptCount val="31"/>
                <c:pt idx="0">
                  <c:v>33373.154999999999</c:v>
                </c:pt>
                <c:pt idx="1">
                  <c:v>242513.42600000001</c:v>
                </c:pt>
                <c:pt idx="2">
                  <c:v>80351.292000000001</c:v>
                </c:pt>
                <c:pt idx="3">
                  <c:v>55363.232000000004</c:v>
                </c:pt>
                <c:pt idx="4">
                  <c:v>33099.660000000003</c:v>
                </c:pt>
                <c:pt idx="5">
                  <c:v>26475.718000000001</c:v>
                </c:pt>
                <c:pt idx="6">
                  <c:v>19381.682000000001</c:v>
                </c:pt>
                <c:pt idx="7">
                  <c:v>22441.006000000001</c:v>
                </c:pt>
                <c:pt idx="8">
                  <c:v>12621.824000000001</c:v>
                </c:pt>
                <c:pt idx="9">
                  <c:v>6603.8689999999997</c:v>
                </c:pt>
                <c:pt idx="10">
                  <c:v>2854.4920000000002</c:v>
                </c:pt>
                <c:pt idx="11">
                  <c:v>2603.3490000000002</c:v>
                </c:pt>
                <c:pt idx="12">
                  <c:v>203149.576</c:v>
                </c:pt>
                <c:pt idx="13">
                  <c:v>82454.635999999999</c:v>
                </c:pt>
                <c:pt idx="16">
                  <c:v>26161.642</c:v>
                </c:pt>
                <c:pt idx="17">
                  <c:v>25231.769</c:v>
                </c:pt>
                <c:pt idx="18">
                  <c:v>225989.45499999999</c:v>
                </c:pt>
                <c:pt idx="19">
                  <c:v>183627.21599999999</c:v>
                </c:pt>
                <c:pt idx="20">
                  <c:v>71267.751999999993</c:v>
                </c:pt>
                <c:pt idx="21">
                  <c:v>36425.932999999997</c:v>
                </c:pt>
                <c:pt idx="22">
                  <c:v>8720.5499999999993</c:v>
                </c:pt>
                <c:pt idx="23">
                  <c:v>5078.8770000000004</c:v>
                </c:pt>
                <c:pt idx="24">
                  <c:v>1971.258</c:v>
                </c:pt>
                <c:pt idx="26">
                  <c:v>131263.79399999999</c:v>
                </c:pt>
                <c:pt idx="27">
                  <c:v>475051.53499999997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9B-469B-B43D-BD7A60456429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2006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Pivot!$C$5:$C$43</c:f>
              <c:numCache>
                <c:formatCode>#,##0</c:formatCode>
                <c:ptCount val="31"/>
                <c:pt idx="0">
                  <c:v>32384.371999999999</c:v>
                </c:pt>
                <c:pt idx="1">
                  <c:v>251160.16099999999</c:v>
                </c:pt>
                <c:pt idx="2">
                  <c:v>76702.137000000002</c:v>
                </c:pt>
                <c:pt idx="3">
                  <c:v>54775.326000000001</c:v>
                </c:pt>
                <c:pt idx="4">
                  <c:v>44621.453000000001</c:v>
                </c:pt>
                <c:pt idx="5">
                  <c:v>34199.588000000003</c:v>
                </c:pt>
                <c:pt idx="6">
                  <c:v>20002.496999999999</c:v>
                </c:pt>
                <c:pt idx="7">
                  <c:v>21705.330999999998</c:v>
                </c:pt>
                <c:pt idx="8">
                  <c:v>12104.433000000001</c:v>
                </c:pt>
                <c:pt idx="9">
                  <c:v>6516.9110000000001</c:v>
                </c:pt>
                <c:pt idx="10">
                  <c:v>2940.6849999999999</c:v>
                </c:pt>
                <c:pt idx="11">
                  <c:v>2712.9720000000002</c:v>
                </c:pt>
                <c:pt idx="12">
                  <c:v>209616.29</c:v>
                </c:pt>
                <c:pt idx="13">
                  <c:v>83624.960000000006</c:v>
                </c:pt>
                <c:pt idx="16">
                  <c:v>25845.907999999999</c:v>
                </c:pt>
                <c:pt idx="17">
                  <c:v>25543.242999999999</c:v>
                </c:pt>
                <c:pt idx="18">
                  <c:v>227439.46900000001</c:v>
                </c:pt>
                <c:pt idx="19">
                  <c:v>179724.889</c:v>
                </c:pt>
                <c:pt idx="20">
                  <c:v>69965.150999999998</c:v>
                </c:pt>
                <c:pt idx="21">
                  <c:v>33061.968999999997</c:v>
                </c:pt>
                <c:pt idx="22">
                  <c:v>8842.1820000000007</c:v>
                </c:pt>
                <c:pt idx="23">
                  <c:v>5259.2730000000001</c:v>
                </c:pt>
                <c:pt idx="24">
                  <c:v>1985.7650000000001</c:v>
                </c:pt>
                <c:pt idx="26">
                  <c:v>126979.057</c:v>
                </c:pt>
                <c:pt idx="27">
                  <c:v>478074.86800000002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9B-469B-B43D-BD7A60456429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2007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Pivot!$D$5:$D$43</c:f>
              <c:numCache>
                <c:formatCode>#,##0</c:formatCode>
                <c:ptCount val="31"/>
                <c:pt idx="0">
                  <c:v>31751.26</c:v>
                </c:pt>
                <c:pt idx="1">
                  <c:v>256583.09599999999</c:v>
                </c:pt>
                <c:pt idx="2">
                  <c:v>79872.395000000004</c:v>
                </c:pt>
                <c:pt idx="3">
                  <c:v>52795.332999999999</c:v>
                </c:pt>
                <c:pt idx="4">
                  <c:v>42541.353000000003</c:v>
                </c:pt>
                <c:pt idx="5">
                  <c:v>29407.401000000002</c:v>
                </c:pt>
                <c:pt idx="6">
                  <c:v>19040.731</c:v>
                </c:pt>
                <c:pt idx="7">
                  <c:v>21246.12</c:v>
                </c:pt>
                <c:pt idx="8">
                  <c:v>15329.933999999999</c:v>
                </c:pt>
                <c:pt idx="9">
                  <c:v>5998.7439999999997</c:v>
                </c:pt>
                <c:pt idx="10">
                  <c:v>2849.21</c:v>
                </c:pt>
                <c:pt idx="11">
                  <c:v>2567.2310000000002</c:v>
                </c:pt>
                <c:pt idx="12">
                  <c:v>209618.35699999999</c:v>
                </c:pt>
                <c:pt idx="13">
                  <c:v>87834.763999999996</c:v>
                </c:pt>
                <c:pt idx="14">
                  <c:v>69611.798999999999</c:v>
                </c:pt>
                <c:pt idx="15">
                  <c:v>39181.983999999997</c:v>
                </c:pt>
                <c:pt idx="16">
                  <c:v>26836.758000000002</c:v>
                </c:pt>
                <c:pt idx="17">
                  <c:v>24516.833999999999</c:v>
                </c:pt>
                <c:pt idx="18">
                  <c:v>226405.99</c:v>
                </c:pt>
                <c:pt idx="19">
                  <c:v>186573.44899999999</c:v>
                </c:pt>
                <c:pt idx="20">
                  <c:v>72717.010999999999</c:v>
                </c:pt>
                <c:pt idx="21">
                  <c:v>31197.277999999998</c:v>
                </c:pt>
                <c:pt idx="22">
                  <c:v>9048.634</c:v>
                </c:pt>
                <c:pt idx="23">
                  <c:v>5396.1639999999998</c:v>
                </c:pt>
                <c:pt idx="24">
                  <c:v>2027.364</c:v>
                </c:pt>
                <c:pt idx="26">
                  <c:v>126634.815</c:v>
                </c:pt>
                <c:pt idx="27">
                  <c:v>487148.43199999997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CE9B-469B-B43D-BD7A60456429}"/>
            </c:ext>
          </c:extLst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2008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Pivot!$E$5:$E$43</c:f>
              <c:numCache>
                <c:formatCode>#,##0</c:formatCode>
                <c:ptCount val="31"/>
                <c:pt idx="0">
                  <c:v>32078.973999999998</c:v>
                </c:pt>
                <c:pt idx="1">
                  <c:v>265059.08299999998</c:v>
                </c:pt>
                <c:pt idx="2">
                  <c:v>83510.581999999995</c:v>
                </c:pt>
                <c:pt idx="3">
                  <c:v>55462.027000000002</c:v>
                </c:pt>
                <c:pt idx="4">
                  <c:v>36163.675000000003</c:v>
                </c:pt>
                <c:pt idx="5">
                  <c:v>26548.562999999998</c:v>
                </c:pt>
                <c:pt idx="6">
                  <c:v>20080.518</c:v>
                </c:pt>
                <c:pt idx="7">
                  <c:v>20381.722000000002</c:v>
                </c:pt>
                <c:pt idx="8">
                  <c:v>13540.891</c:v>
                </c:pt>
                <c:pt idx="9">
                  <c:v>6103.72</c:v>
                </c:pt>
                <c:pt idx="10">
                  <c:v>2742.9180000000001</c:v>
                </c:pt>
                <c:pt idx="11">
                  <c:v>2098.895</c:v>
                </c:pt>
                <c:pt idx="12">
                  <c:v>204107.41899999999</c:v>
                </c:pt>
                <c:pt idx="13">
                  <c:v>80399.099000000002</c:v>
                </c:pt>
                <c:pt idx="14">
                  <c:v>63816.826000000001</c:v>
                </c:pt>
                <c:pt idx="15">
                  <c:v>38303.052000000003</c:v>
                </c:pt>
                <c:pt idx="16">
                  <c:v>27236.61</c:v>
                </c:pt>
                <c:pt idx="17">
                  <c:v>25336.705999999998</c:v>
                </c:pt>
                <c:pt idx="18">
                  <c:v>220676.32500000001</c:v>
                </c:pt>
                <c:pt idx="19">
                  <c:v>163462.31200000001</c:v>
                </c:pt>
                <c:pt idx="20">
                  <c:v>69853.892999999996</c:v>
                </c:pt>
                <c:pt idx="21">
                  <c:v>29911.64</c:v>
                </c:pt>
                <c:pt idx="22">
                  <c:v>8860.1049999999996</c:v>
                </c:pt>
                <c:pt idx="23">
                  <c:v>5576.6459999999997</c:v>
                </c:pt>
                <c:pt idx="24">
                  <c:v>2018.585</c:v>
                </c:pt>
                <c:pt idx="26">
                  <c:v>124129.806</c:v>
                </c:pt>
                <c:pt idx="27">
                  <c:v>472853.53399999999</c:v>
                </c:pt>
                <c:pt idx="28">
                  <c:v>19342.442999999999</c:v>
                </c:pt>
                <c:pt idx="30">
                  <c:v>19.882999999999999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CE9B-469B-B43D-BD7A60456429}"/>
            </c:ext>
          </c:extLst>
        </c:ser>
        <c:ser>
          <c:idx val="4"/>
          <c:order val="4"/>
          <c:tx>
            <c:strRef>
              <c:f>Pivot!$F$3:$F$4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Pivot!$F$5:$F$43</c:f>
              <c:numCache>
                <c:formatCode>#,##0</c:formatCode>
                <c:ptCount val="31"/>
                <c:pt idx="0">
                  <c:v>27359.832999999999</c:v>
                </c:pt>
                <c:pt idx="1">
                  <c:v>231939.60200000001</c:v>
                </c:pt>
                <c:pt idx="2">
                  <c:v>81030.7</c:v>
                </c:pt>
                <c:pt idx="3">
                  <c:v>46206.938000000002</c:v>
                </c:pt>
                <c:pt idx="4">
                  <c:v>34354.480000000003</c:v>
                </c:pt>
                <c:pt idx="5">
                  <c:v>25461.124</c:v>
                </c:pt>
                <c:pt idx="6">
                  <c:v>17491.866999999998</c:v>
                </c:pt>
                <c:pt idx="7">
                  <c:v>17215.223000000002</c:v>
                </c:pt>
                <c:pt idx="8">
                  <c:v>10378.346</c:v>
                </c:pt>
                <c:pt idx="9">
                  <c:v>5786.7420000000002</c:v>
                </c:pt>
                <c:pt idx="10">
                  <c:v>2489.8049999999998</c:v>
                </c:pt>
                <c:pt idx="11">
                  <c:v>2181.694</c:v>
                </c:pt>
                <c:pt idx="12">
                  <c:v>191174.24900000001</c:v>
                </c:pt>
                <c:pt idx="13">
                  <c:v>73784.83</c:v>
                </c:pt>
                <c:pt idx="14">
                  <c:v>49061.703999999998</c:v>
                </c:pt>
                <c:pt idx="15">
                  <c:v>32014.544999999998</c:v>
                </c:pt>
                <c:pt idx="16">
                  <c:v>22401.258999999998</c:v>
                </c:pt>
                <c:pt idx="17">
                  <c:v>21595.208999999999</c:v>
                </c:pt>
                <c:pt idx="18">
                  <c:v>184881.60200000001</c:v>
                </c:pt>
                <c:pt idx="19">
                  <c:v>136935.766</c:v>
                </c:pt>
                <c:pt idx="20">
                  <c:v>63661.572</c:v>
                </c:pt>
                <c:pt idx="21">
                  <c:v>28261.96</c:v>
                </c:pt>
                <c:pt idx="22">
                  <c:v>8067.0230000000001</c:v>
                </c:pt>
                <c:pt idx="23">
                  <c:v>5361.6329999999998</c:v>
                </c:pt>
                <c:pt idx="24">
                  <c:v>1897.1130000000001</c:v>
                </c:pt>
                <c:pt idx="26">
                  <c:v>111092.554</c:v>
                </c:pt>
                <c:pt idx="27">
                  <c:v>428294.50199999998</c:v>
                </c:pt>
                <c:pt idx="28">
                  <c:v>19215.689999999999</c:v>
                </c:pt>
                <c:pt idx="30">
                  <c:v>13.379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CE9B-469B-B43D-BD7A60456429}"/>
            </c:ext>
          </c:extLst>
        </c:ser>
        <c:ser>
          <c:idx val="5"/>
          <c:order val="5"/>
          <c:tx>
            <c:strRef>
              <c:f>Pivot!$G$3:$G$4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Pivot!$G$5:$G$43</c:f>
              <c:numCache>
                <c:formatCode>#,##0</c:formatCode>
                <c:ptCount val="31"/>
                <c:pt idx="0">
                  <c:v>30919.710999999999</c:v>
                </c:pt>
                <c:pt idx="1">
                  <c:v>237337.29699999999</c:v>
                </c:pt>
                <c:pt idx="2">
                  <c:v>84735.599000000002</c:v>
                </c:pt>
                <c:pt idx="3">
                  <c:v>50103.978999999999</c:v>
                </c:pt>
                <c:pt idx="4">
                  <c:v>41297.987999999998</c:v>
                </c:pt>
                <c:pt idx="5">
                  <c:v>25266.362000000001</c:v>
                </c:pt>
                <c:pt idx="6">
                  <c:v>22661.192999999999</c:v>
                </c:pt>
                <c:pt idx="7">
                  <c:v>17373.012999999999</c:v>
                </c:pt>
                <c:pt idx="8">
                  <c:v>14514.39</c:v>
                </c:pt>
                <c:pt idx="9">
                  <c:v>6393.9520000000002</c:v>
                </c:pt>
                <c:pt idx="10">
                  <c:v>3240.172</c:v>
                </c:pt>
                <c:pt idx="11">
                  <c:v>2252.6619999999998</c:v>
                </c:pt>
                <c:pt idx="12">
                  <c:v>199726.90700000001</c:v>
                </c:pt>
                <c:pt idx="13">
                  <c:v>75584.351999999999</c:v>
                </c:pt>
                <c:pt idx="14">
                  <c:v>47344.118999999999</c:v>
                </c:pt>
                <c:pt idx="15">
                  <c:v>33525.095999999998</c:v>
                </c:pt>
                <c:pt idx="16">
                  <c:v>22991.710999999999</c:v>
                </c:pt>
                <c:pt idx="17">
                  <c:v>21698.625</c:v>
                </c:pt>
                <c:pt idx="18">
                  <c:v>191489.53899999999</c:v>
                </c:pt>
                <c:pt idx="19">
                  <c:v>121483.473</c:v>
                </c:pt>
                <c:pt idx="20">
                  <c:v>59939.995999999999</c:v>
                </c:pt>
                <c:pt idx="21">
                  <c:v>24167.19</c:v>
                </c:pt>
                <c:pt idx="22">
                  <c:v>8129.8630000000003</c:v>
                </c:pt>
                <c:pt idx="23">
                  <c:v>5056.22</c:v>
                </c:pt>
                <c:pt idx="24">
                  <c:v>1878.307</c:v>
                </c:pt>
                <c:pt idx="26">
                  <c:v>115570.78</c:v>
                </c:pt>
                <c:pt idx="27">
                  <c:v>454864.59899999999</c:v>
                </c:pt>
                <c:pt idx="28">
                  <c:v>19335.303</c:v>
                </c:pt>
                <c:pt idx="30">
                  <c:v>1.796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CE9B-469B-B43D-BD7A60456429}"/>
            </c:ext>
          </c:extLst>
        </c:ser>
        <c:ser>
          <c:idx val="6"/>
          <c:order val="6"/>
          <c:tx>
            <c:strRef>
              <c:f>Pivot!$H$3:$H$4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Pivot!$H$5:$H$43</c:f>
              <c:numCache>
                <c:formatCode>#,##0</c:formatCode>
                <c:ptCount val="31"/>
                <c:pt idx="0">
                  <c:v>30599.418000000001</c:v>
                </c:pt>
                <c:pt idx="1">
                  <c:v>220868.772</c:v>
                </c:pt>
                <c:pt idx="2">
                  <c:v>79966.837</c:v>
                </c:pt>
                <c:pt idx="3">
                  <c:v>46203.055</c:v>
                </c:pt>
                <c:pt idx="4">
                  <c:v>35083.373</c:v>
                </c:pt>
                <c:pt idx="5">
                  <c:v>21465.657999999999</c:v>
                </c:pt>
                <c:pt idx="6">
                  <c:v>19853.884999999998</c:v>
                </c:pt>
                <c:pt idx="7">
                  <c:v>15769.62</c:v>
                </c:pt>
                <c:pt idx="8">
                  <c:v>14809.460999999999</c:v>
                </c:pt>
                <c:pt idx="9">
                  <c:v>5606.4250000000002</c:v>
                </c:pt>
                <c:pt idx="10">
                  <c:v>2923.4549999999999</c:v>
                </c:pt>
                <c:pt idx="11">
                  <c:v>2052.2109999999998</c:v>
                </c:pt>
                <c:pt idx="12">
                  <c:v>203026.52499999999</c:v>
                </c:pt>
                <c:pt idx="13">
                  <c:v>74187.035999999993</c:v>
                </c:pt>
                <c:pt idx="14">
                  <c:v>51238.934999999998</c:v>
                </c:pt>
                <c:pt idx="15">
                  <c:v>39997.538</c:v>
                </c:pt>
                <c:pt idx="16">
                  <c:v>22469.974999999999</c:v>
                </c:pt>
                <c:pt idx="17">
                  <c:v>22222.534</c:v>
                </c:pt>
                <c:pt idx="18">
                  <c:v>189961.95600000001</c:v>
                </c:pt>
                <c:pt idx="19">
                  <c:v>132687.96599999999</c:v>
                </c:pt>
                <c:pt idx="20">
                  <c:v>58838.180999999997</c:v>
                </c:pt>
                <c:pt idx="21">
                  <c:v>25010.518</c:v>
                </c:pt>
                <c:pt idx="22">
                  <c:v>7994.5519999999997</c:v>
                </c:pt>
                <c:pt idx="23">
                  <c:v>4599.3810000000003</c:v>
                </c:pt>
                <c:pt idx="24">
                  <c:v>1931.566</c:v>
                </c:pt>
                <c:pt idx="26">
                  <c:v>105582.769</c:v>
                </c:pt>
                <c:pt idx="27">
                  <c:v>450333.239</c:v>
                </c:pt>
                <c:pt idx="28">
                  <c:v>19231.024000000001</c:v>
                </c:pt>
                <c:pt idx="30">
                  <c:v>1.546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CE9B-469B-B43D-BD7A60456429}"/>
            </c:ext>
          </c:extLst>
        </c:ser>
        <c:ser>
          <c:idx val="7"/>
          <c:order val="7"/>
          <c:tx>
            <c:strRef>
              <c:f>Pivot!$I$3:$I$4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Pivot!$I$5:$I$43</c:f>
              <c:numCache>
                <c:formatCode>#,##0</c:formatCode>
                <c:ptCount val="31"/>
                <c:pt idx="0">
                  <c:v>28387.06</c:v>
                </c:pt>
                <c:pt idx="1">
                  <c:v>231256.573</c:v>
                </c:pt>
                <c:pt idx="2">
                  <c:v>76425.922000000006</c:v>
                </c:pt>
                <c:pt idx="3">
                  <c:v>43006.98</c:v>
                </c:pt>
                <c:pt idx="4">
                  <c:v>29497.919999999998</c:v>
                </c:pt>
                <c:pt idx="5">
                  <c:v>18185.55</c:v>
                </c:pt>
                <c:pt idx="6">
                  <c:v>18172.023000000001</c:v>
                </c:pt>
                <c:pt idx="7">
                  <c:v>16895.989000000001</c:v>
                </c:pt>
                <c:pt idx="8">
                  <c:v>13543.879000000001</c:v>
                </c:pt>
                <c:pt idx="9">
                  <c:v>5718.0370000000003</c:v>
                </c:pt>
                <c:pt idx="10">
                  <c:v>2740.0129999999999</c:v>
                </c:pt>
                <c:pt idx="11">
                  <c:v>1989.537</c:v>
                </c:pt>
                <c:pt idx="12">
                  <c:v>196636.28</c:v>
                </c:pt>
                <c:pt idx="13">
                  <c:v>69316.47</c:v>
                </c:pt>
                <c:pt idx="14">
                  <c:v>47857.377</c:v>
                </c:pt>
                <c:pt idx="15">
                  <c:v>35049.983999999997</c:v>
                </c:pt>
                <c:pt idx="16">
                  <c:v>21262.963</c:v>
                </c:pt>
                <c:pt idx="17">
                  <c:v>20932.902999999998</c:v>
                </c:pt>
                <c:pt idx="18">
                  <c:v>179075.109</c:v>
                </c:pt>
                <c:pt idx="19">
                  <c:v>135634.59099999999</c:v>
                </c:pt>
                <c:pt idx="20">
                  <c:v>61440.385000000002</c:v>
                </c:pt>
                <c:pt idx="21">
                  <c:v>25249.697</c:v>
                </c:pt>
                <c:pt idx="22">
                  <c:v>7610.5919999999996</c:v>
                </c:pt>
                <c:pt idx="23">
                  <c:v>4383.8980000000001</c:v>
                </c:pt>
                <c:pt idx="24">
                  <c:v>2052.4299999999998</c:v>
                </c:pt>
                <c:pt idx="26">
                  <c:v>103660.84</c:v>
                </c:pt>
                <c:pt idx="27">
                  <c:v>452585.88</c:v>
                </c:pt>
                <c:pt idx="28">
                  <c:v>18588.71</c:v>
                </c:pt>
                <c:pt idx="30">
                  <c:v>1.0960000000000001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CE9B-469B-B43D-BD7A60456429}"/>
            </c:ext>
          </c:extLst>
        </c:ser>
        <c:ser>
          <c:idx val="8"/>
          <c:order val="8"/>
          <c:tx>
            <c:strRef>
              <c:f>Pivot!$J$3:$J$4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Pivot!$J$5:$J$43</c:f>
              <c:numCache>
                <c:formatCode>#,##0</c:formatCode>
                <c:ptCount val="31"/>
                <c:pt idx="0">
                  <c:v>29850.723999999998</c:v>
                </c:pt>
                <c:pt idx="1">
                  <c:v>225519.07399999999</c:v>
                </c:pt>
                <c:pt idx="2">
                  <c:v>86796.33</c:v>
                </c:pt>
                <c:pt idx="3">
                  <c:v>45231.175000000003</c:v>
                </c:pt>
                <c:pt idx="4">
                  <c:v>31496.742999999999</c:v>
                </c:pt>
                <c:pt idx="5">
                  <c:v>21601.954000000002</c:v>
                </c:pt>
                <c:pt idx="6">
                  <c:v>20114.064999999999</c:v>
                </c:pt>
                <c:pt idx="7">
                  <c:v>15685.380999999999</c:v>
                </c:pt>
                <c:pt idx="8">
                  <c:v>15922.531000000001</c:v>
                </c:pt>
                <c:pt idx="9">
                  <c:v>7464.1549999999997</c:v>
                </c:pt>
                <c:pt idx="10">
                  <c:v>2649.8139999999999</c:v>
                </c:pt>
                <c:pt idx="11">
                  <c:v>1847.117</c:v>
                </c:pt>
                <c:pt idx="12">
                  <c:v>205734.342</c:v>
                </c:pt>
                <c:pt idx="13">
                  <c:v>67713.644</c:v>
                </c:pt>
                <c:pt idx="14">
                  <c:v>42414.701000000001</c:v>
                </c:pt>
                <c:pt idx="15">
                  <c:v>32695.534</c:v>
                </c:pt>
                <c:pt idx="16">
                  <c:v>19124.911</c:v>
                </c:pt>
                <c:pt idx="17">
                  <c:v>21829.437999999998</c:v>
                </c:pt>
                <c:pt idx="18">
                  <c:v>164399.18400000001</c:v>
                </c:pt>
                <c:pt idx="19">
                  <c:v>122793.357</c:v>
                </c:pt>
                <c:pt idx="20">
                  <c:v>58632.976000000002</c:v>
                </c:pt>
                <c:pt idx="21">
                  <c:v>24641.817999999999</c:v>
                </c:pt>
                <c:pt idx="22">
                  <c:v>7386.3090000000002</c:v>
                </c:pt>
                <c:pt idx="23">
                  <c:v>4024.8739999999998</c:v>
                </c:pt>
                <c:pt idx="24">
                  <c:v>1697.3040000000001</c:v>
                </c:pt>
                <c:pt idx="25">
                  <c:v>8511.9879999999994</c:v>
                </c:pt>
                <c:pt idx="26">
                  <c:v>102651.61900000001</c:v>
                </c:pt>
                <c:pt idx="27">
                  <c:v>480936.56</c:v>
                </c:pt>
                <c:pt idx="28">
                  <c:v>24695.755000000001</c:v>
                </c:pt>
                <c:pt idx="29">
                  <c:v>1779.8810000000001</c:v>
                </c:pt>
                <c:pt idx="30">
                  <c:v>0.94299999999999995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CE9B-469B-B43D-BD7A60456429}"/>
            </c:ext>
          </c:extLst>
        </c:ser>
        <c:ser>
          <c:idx val="9"/>
          <c:order val="9"/>
          <c:tx>
            <c:strRef>
              <c:f>Pivot!$K$3:$K$4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Pivot!$K$5:$K$43</c:f>
              <c:numCache>
                <c:formatCode>#,##0</c:formatCode>
                <c:ptCount val="3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CE9B-469B-B43D-BD7A60456429}"/>
            </c:ext>
          </c:extLst>
        </c:ser>
        <c:ser>
          <c:idx val="10"/>
          <c:order val="10"/>
          <c:tx>
            <c:strRef>
              <c:f>Pivot!$L$3:$L$4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Pivot!$L$5:$L$43</c:f>
              <c:numCache>
                <c:formatCode>#,##0</c:formatCode>
                <c:ptCount val="3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CE9B-469B-B43D-BD7A60456429}"/>
            </c:ext>
          </c:extLst>
        </c:ser>
        <c:ser>
          <c:idx val="11"/>
          <c:order val="11"/>
          <c:tx>
            <c:strRef>
              <c:f>Pivot!$M$3:$M$4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Pivot!$M$5:$M$43</c:f>
              <c:numCache>
                <c:formatCode>#,##0</c:formatCode>
                <c:ptCount val="3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CE9B-469B-B43D-BD7A60456429}"/>
            </c:ext>
          </c:extLst>
        </c:ser>
        <c:ser>
          <c:idx val="12"/>
          <c:order val="12"/>
          <c:tx>
            <c:strRef>
              <c:f>Pivot!$N$3:$N$4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Pivot!$N$5:$N$43</c:f>
              <c:numCache>
                <c:formatCode>#,##0</c:formatCode>
                <c:ptCount val="3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CE9B-469B-B43D-BD7A60456429}"/>
            </c:ext>
          </c:extLst>
        </c:ser>
        <c:ser>
          <c:idx val="13"/>
          <c:order val="13"/>
          <c:tx>
            <c:strRef>
              <c:f>Pivot!$O$3:$O$4</c:f>
              <c:strCache>
                <c:ptCount val="1"/>
                <c:pt idx="0">
                  <c:v>2018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Pivot!$O$5:$O$43</c:f>
              <c:numCache>
                <c:formatCode>#,##0</c:formatCode>
                <c:ptCount val="3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CE9B-469B-B43D-BD7A60456429}"/>
            </c:ext>
          </c:extLst>
        </c:ser>
        <c:ser>
          <c:idx val="14"/>
          <c:order val="14"/>
          <c:tx>
            <c:strRef>
              <c:f>Pivot!$P$3:$P$4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Pivot!$P$5:$P$43</c:f>
              <c:numCache>
                <c:formatCode>#,##0</c:formatCode>
                <c:ptCount val="3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CE9B-469B-B43D-BD7A60456429}"/>
            </c:ext>
          </c:extLst>
        </c:ser>
        <c:ser>
          <c:idx val="15"/>
          <c:order val="15"/>
          <c:tx>
            <c:strRef>
              <c:f>Pivot!$Q$3:$Q$4</c:f>
              <c:strCache>
                <c:ptCount val="1"/>
                <c:pt idx="0">
                  <c:v>2020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Pivot!$Q$5:$Q$43</c:f>
              <c:numCache>
                <c:formatCode>#,##0</c:formatCode>
                <c:ptCount val="3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F-CE9B-469B-B43D-BD7A60456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1803408"/>
        <c:axId val="361803968"/>
      </c:barChart>
      <c:catAx>
        <c:axId val="3618034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361803968"/>
        <c:crosses val="autoZero"/>
        <c:auto val="1"/>
        <c:lblAlgn val="ctr"/>
        <c:lblOffset val="100"/>
        <c:noMultiLvlLbl val="0"/>
      </c:catAx>
      <c:valAx>
        <c:axId val="36180396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36180340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[160330_co2pfad.xlsx]Pivot!PivotTable10</c:name>
    <c:fmtId val="3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2005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Pivot!$B$5:$B$43</c:f>
              <c:numCache>
                <c:formatCode>#,##0</c:formatCode>
                <c:ptCount val="31"/>
                <c:pt idx="0">
                  <c:v>33373.154999999999</c:v>
                </c:pt>
                <c:pt idx="1">
                  <c:v>242513.42600000001</c:v>
                </c:pt>
                <c:pt idx="2">
                  <c:v>80351.292000000001</c:v>
                </c:pt>
                <c:pt idx="3">
                  <c:v>55363.232000000004</c:v>
                </c:pt>
                <c:pt idx="4">
                  <c:v>33099.660000000003</c:v>
                </c:pt>
                <c:pt idx="5">
                  <c:v>26475.718000000001</c:v>
                </c:pt>
                <c:pt idx="6">
                  <c:v>19381.682000000001</c:v>
                </c:pt>
                <c:pt idx="7">
                  <c:v>22441.006000000001</c:v>
                </c:pt>
                <c:pt idx="8">
                  <c:v>12621.824000000001</c:v>
                </c:pt>
                <c:pt idx="9">
                  <c:v>6603.8689999999997</c:v>
                </c:pt>
                <c:pt idx="10">
                  <c:v>2854.4920000000002</c:v>
                </c:pt>
                <c:pt idx="11">
                  <c:v>2603.3490000000002</c:v>
                </c:pt>
                <c:pt idx="12">
                  <c:v>203149.576</c:v>
                </c:pt>
                <c:pt idx="13">
                  <c:v>82454.635999999999</c:v>
                </c:pt>
                <c:pt idx="16">
                  <c:v>26161.642</c:v>
                </c:pt>
                <c:pt idx="17">
                  <c:v>25231.769</c:v>
                </c:pt>
                <c:pt idx="18">
                  <c:v>225989.45499999999</c:v>
                </c:pt>
                <c:pt idx="19">
                  <c:v>183627.21599999999</c:v>
                </c:pt>
                <c:pt idx="20">
                  <c:v>71267.751999999993</c:v>
                </c:pt>
                <c:pt idx="21">
                  <c:v>36425.932999999997</c:v>
                </c:pt>
                <c:pt idx="22">
                  <c:v>8720.5499999999993</c:v>
                </c:pt>
                <c:pt idx="23">
                  <c:v>5078.8770000000004</c:v>
                </c:pt>
                <c:pt idx="24">
                  <c:v>1971.258</c:v>
                </c:pt>
                <c:pt idx="26">
                  <c:v>131263.79399999999</c:v>
                </c:pt>
                <c:pt idx="27">
                  <c:v>475051.53499999997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033-4192-AD70-6E5B7C357C1F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2006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Pivot!$C$5:$C$43</c:f>
              <c:numCache>
                <c:formatCode>#,##0</c:formatCode>
                <c:ptCount val="31"/>
                <c:pt idx="0">
                  <c:v>32384.371999999999</c:v>
                </c:pt>
                <c:pt idx="1">
                  <c:v>251160.16099999999</c:v>
                </c:pt>
                <c:pt idx="2">
                  <c:v>76702.137000000002</c:v>
                </c:pt>
                <c:pt idx="3">
                  <c:v>54775.326000000001</c:v>
                </c:pt>
                <c:pt idx="4">
                  <c:v>44621.453000000001</c:v>
                </c:pt>
                <c:pt idx="5">
                  <c:v>34199.588000000003</c:v>
                </c:pt>
                <c:pt idx="6">
                  <c:v>20002.496999999999</c:v>
                </c:pt>
                <c:pt idx="7">
                  <c:v>21705.330999999998</c:v>
                </c:pt>
                <c:pt idx="8">
                  <c:v>12104.433000000001</c:v>
                </c:pt>
                <c:pt idx="9">
                  <c:v>6516.9110000000001</c:v>
                </c:pt>
                <c:pt idx="10">
                  <c:v>2940.6849999999999</c:v>
                </c:pt>
                <c:pt idx="11">
                  <c:v>2712.9720000000002</c:v>
                </c:pt>
                <c:pt idx="12">
                  <c:v>209616.29</c:v>
                </c:pt>
                <c:pt idx="13">
                  <c:v>83624.960000000006</c:v>
                </c:pt>
                <c:pt idx="16">
                  <c:v>25845.907999999999</c:v>
                </c:pt>
                <c:pt idx="17">
                  <c:v>25543.242999999999</c:v>
                </c:pt>
                <c:pt idx="18">
                  <c:v>227439.46900000001</c:v>
                </c:pt>
                <c:pt idx="19">
                  <c:v>179724.889</c:v>
                </c:pt>
                <c:pt idx="20">
                  <c:v>69965.150999999998</c:v>
                </c:pt>
                <c:pt idx="21">
                  <c:v>33061.968999999997</c:v>
                </c:pt>
                <c:pt idx="22">
                  <c:v>8842.1820000000007</c:v>
                </c:pt>
                <c:pt idx="23">
                  <c:v>5259.2730000000001</c:v>
                </c:pt>
                <c:pt idx="24">
                  <c:v>1985.7650000000001</c:v>
                </c:pt>
                <c:pt idx="26">
                  <c:v>126979.057</c:v>
                </c:pt>
                <c:pt idx="27">
                  <c:v>478074.86800000002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033-4192-AD70-6E5B7C357C1F}"/>
            </c:ext>
          </c:extLst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2007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Pivot!$D$5:$D$43</c:f>
              <c:numCache>
                <c:formatCode>#,##0</c:formatCode>
                <c:ptCount val="31"/>
                <c:pt idx="0">
                  <c:v>31751.26</c:v>
                </c:pt>
                <c:pt idx="1">
                  <c:v>256583.09599999999</c:v>
                </c:pt>
                <c:pt idx="2">
                  <c:v>79872.395000000004</c:v>
                </c:pt>
                <c:pt idx="3">
                  <c:v>52795.332999999999</c:v>
                </c:pt>
                <c:pt idx="4">
                  <c:v>42541.353000000003</c:v>
                </c:pt>
                <c:pt idx="5">
                  <c:v>29407.401000000002</c:v>
                </c:pt>
                <c:pt idx="6">
                  <c:v>19040.731</c:v>
                </c:pt>
                <c:pt idx="7">
                  <c:v>21246.12</c:v>
                </c:pt>
                <c:pt idx="8">
                  <c:v>15329.933999999999</c:v>
                </c:pt>
                <c:pt idx="9">
                  <c:v>5998.7439999999997</c:v>
                </c:pt>
                <c:pt idx="10">
                  <c:v>2849.21</c:v>
                </c:pt>
                <c:pt idx="11">
                  <c:v>2567.2310000000002</c:v>
                </c:pt>
                <c:pt idx="12">
                  <c:v>209618.35699999999</c:v>
                </c:pt>
                <c:pt idx="13">
                  <c:v>87834.763999999996</c:v>
                </c:pt>
                <c:pt idx="14">
                  <c:v>69611.798999999999</c:v>
                </c:pt>
                <c:pt idx="15">
                  <c:v>39181.983999999997</c:v>
                </c:pt>
                <c:pt idx="16">
                  <c:v>26836.758000000002</c:v>
                </c:pt>
                <c:pt idx="17">
                  <c:v>24516.833999999999</c:v>
                </c:pt>
                <c:pt idx="18">
                  <c:v>226405.99</c:v>
                </c:pt>
                <c:pt idx="19">
                  <c:v>186573.44899999999</c:v>
                </c:pt>
                <c:pt idx="20">
                  <c:v>72717.010999999999</c:v>
                </c:pt>
                <c:pt idx="21">
                  <c:v>31197.277999999998</c:v>
                </c:pt>
                <c:pt idx="22">
                  <c:v>9048.634</c:v>
                </c:pt>
                <c:pt idx="23">
                  <c:v>5396.1639999999998</c:v>
                </c:pt>
                <c:pt idx="24">
                  <c:v>2027.364</c:v>
                </c:pt>
                <c:pt idx="26">
                  <c:v>126634.815</c:v>
                </c:pt>
                <c:pt idx="27">
                  <c:v>487148.43199999997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F033-4192-AD70-6E5B7C357C1F}"/>
            </c:ext>
          </c:extLst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2008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Pivot!$E$5:$E$43</c:f>
              <c:numCache>
                <c:formatCode>#,##0</c:formatCode>
                <c:ptCount val="31"/>
                <c:pt idx="0">
                  <c:v>32078.973999999998</c:v>
                </c:pt>
                <c:pt idx="1">
                  <c:v>265059.08299999998</c:v>
                </c:pt>
                <c:pt idx="2">
                  <c:v>83510.581999999995</c:v>
                </c:pt>
                <c:pt idx="3">
                  <c:v>55462.027000000002</c:v>
                </c:pt>
                <c:pt idx="4">
                  <c:v>36163.675000000003</c:v>
                </c:pt>
                <c:pt idx="5">
                  <c:v>26548.562999999998</c:v>
                </c:pt>
                <c:pt idx="6">
                  <c:v>20080.518</c:v>
                </c:pt>
                <c:pt idx="7">
                  <c:v>20381.722000000002</c:v>
                </c:pt>
                <c:pt idx="8">
                  <c:v>13540.891</c:v>
                </c:pt>
                <c:pt idx="9">
                  <c:v>6103.72</c:v>
                </c:pt>
                <c:pt idx="10">
                  <c:v>2742.9180000000001</c:v>
                </c:pt>
                <c:pt idx="11">
                  <c:v>2098.895</c:v>
                </c:pt>
                <c:pt idx="12">
                  <c:v>204107.41899999999</c:v>
                </c:pt>
                <c:pt idx="13">
                  <c:v>80399.099000000002</c:v>
                </c:pt>
                <c:pt idx="14">
                  <c:v>63816.826000000001</c:v>
                </c:pt>
                <c:pt idx="15">
                  <c:v>38303.052000000003</c:v>
                </c:pt>
                <c:pt idx="16">
                  <c:v>27236.61</c:v>
                </c:pt>
                <c:pt idx="17">
                  <c:v>25336.705999999998</c:v>
                </c:pt>
                <c:pt idx="18">
                  <c:v>220676.32500000001</c:v>
                </c:pt>
                <c:pt idx="19">
                  <c:v>163462.31200000001</c:v>
                </c:pt>
                <c:pt idx="20">
                  <c:v>69853.892999999996</c:v>
                </c:pt>
                <c:pt idx="21">
                  <c:v>29911.64</c:v>
                </c:pt>
                <c:pt idx="22">
                  <c:v>8860.1049999999996</c:v>
                </c:pt>
                <c:pt idx="23">
                  <c:v>5576.6459999999997</c:v>
                </c:pt>
                <c:pt idx="24">
                  <c:v>2018.585</c:v>
                </c:pt>
                <c:pt idx="26">
                  <c:v>124129.806</c:v>
                </c:pt>
                <c:pt idx="27">
                  <c:v>472853.53399999999</c:v>
                </c:pt>
                <c:pt idx="28">
                  <c:v>19342.442999999999</c:v>
                </c:pt>
                <c:pt idx="30">
                  <c:v>19.882999999999999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F033-4192-AD70-6E5B7C357C1F}"/>
            </c:ext>
          </c:extLst>
        </c:ser>
        <c:ser>
          <c:idx val="4"/>
          <c:order val="4"/>
          <c:tx>
            <c:strRef>
              <c:f>Pivot!$F$3:$F$4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Pivot!$F$5:$F$43</c:f>
              <c:numCache>
                <c:formatCode>#,##0</c:formatCode>
                <c:ptCount val="31"/>
                <c:pt idx="0">
                  <c:v>27359.832999999999</c:v>
                </c:pt>
                <c:pt idx="1">
                  <c:v>231939.60200000001</c:v>
                </c:pt>
                <c:pt idx="2">
                  <c:v>81030.7</c:v>
                </c:pt>
                <c:pt idx="3">
                  <c:v>46206.938000000002</c:v>
                </c:pt>
                <c:pt idx="4">
                  <c:v>34354.480000000003</c:v>
                </c:pt>
                <c:pt idx="5">
                  <c:v>25461.124</c:v>
                </c:pt>
                <c:pt idx="6">
                  <c:v>17491.866999999998</c:v>
                </c:pt>
                <c:pt idx="7">
                  <c:v>17215.223000000002</c:v>
                </c:pt>
                <c:pt idx="8">
                  <c:v>10378.346</c:v>
                </c:pt>
                <c:pt idx="9">
                  <c:v>5786.7420000000002</c:v>
                </c:pt>
                <c:pt idx="10">
                  <c:v>2489.8049999999998</c:v>
                </c:pt>
                <c:pt idx="11">
                  <c:v>2181.694</c:v>
                </c:pt>
                <c:pt idx="12">
                  <c:v>191174.24900000001</c:v>
                </c:pt>
                <c:pt idx="13">
                  <c:v>73784.83</c:v>
                </c:pt>
                <c:pt idx="14">
                  <c:v>49061.703999999998</c:v>
                </c:pt>
                <c:pt idx="15">
                  <c:v>32014.544999999998</c:v>
                </c:pt>
                <c:pt idx="16">
                  <c:v>22401.258999999998</c:v>
                </c:pt>
                <c:pt idx="17">
                  <c:v>21595.208999999999</c:v>
                </c:pt>
                <c:pt idx="18">
                  <c:v>184881.60200000001</c:v>
                </c:pt>
                <c:pt idx="19">
                  <c:v>136935.766</c:v>
                </c:pt>
                <c:pt idx="20">
                  <c:v>63661.572</c:v>
                </c:pt>
                <c:pt idx="21">
                  <c:v>28261.96</c:v>
                </c:pt>
                <c:pt idx="22">
                  <c:v>8067.0230000000001</c:v>
                </c:pt>
                <c:pt idx="23">
                  <c:v>5361.6329999999998</c:v>
                </c:pt>
                <c:pt idx="24">
                  <c:v>1897.1130000000001</c:v>
                </c:pt>
                <c:pt idx="26">
                  <c:v>111092.554</c:v>
                </c:pt>
                <c:pt idx="27">
                  <c:v>428294.50199999998</c:v>
                </c:pt>
                <c:pt idx="28">
                  <c:v>19215.689999999999</c:v>
                </c:pt>
                <c:pt idx="30">
                  <c:v>13.379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F033-4192-AD70-6E5B7C357C1F}"/>
            </c:ext>
          </c:extLst>
        </c:ser>
        <c:ser>
          <c:idx val="5"/>
          <c:order val="5"/>
          <c:tx>
            <c:strRef>
              <c:f>Pivot!$G$3:$G$4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Pivot!$G$5:$G$43</c:f>
              <c:numCache>
                <c:formatCode>#,##0</c:formatCode>
                <c:ptCount val="31"/>
                <c:pt idx="0">
                  <c:v>30919.710999999999</c:v>
                </c:pt>
                <c:pt idx="1">
                  <c:v>237337.29699999999</c:v>
                </c:pt>
                <c:pt idx="2">
                  <c:v>84735.599000000002</c:v>
                </c:pt>
                <c:pt idx="3">
                  <c:v>50103.978999999999</c:v>
                </c:pt>
                <c:pt idx="4">
                  <c:v>41297.987999999998</c:v>
                </c:pt>
                <c:pt idx="5">
                  <c:v>25266.362000000001</c:v>
                </c:pt>
                <c:pt idx="6">
                  <c:v>22661.192999999999</c:v>
                </c:pt>
                <c:pt idx="7">
                  <c:v>17373.012999999999</c:v>
                </c:pt>
                <c:pt idx="8">
                  <c:v>14514.39</c:v>
                </c:pt>
                <c:pt idx="9">
                  <c:v>6393.9520000000002</c:v>
                </c:pt>
                <c:pt idx="10">
                  <c:v>3240.172</c:v>
                </c:pt>
                <c:pt idx="11">
                  <c:v>2252.6619999999998</c:v>
                </c:pt>
                <c:pt idx="12">
                  <c:v>199726.90700000001</c:v>
                </c:pt>
                <c:pt idx="13">
                  <c:v>75584.351999999999</c:v>
                </c:pt>
                <c:pt idx="14">
                  <c:v>47344.118999999999</c:v>
                </c:pt>
                <c:pt idx="15">
                  <c:v>33525.095999999998</c:v>
                </c:pt>
                <c:pt idx="16">
                  <c:v>22991.710999999999</c:v>
                </c:pt>
                <c:pt idx="17">
                  <c:v>21698.625</c:v>
                </c:pt>
                <c:pt idx="18">
                  <c:v>191489.53899999999</c:v>
                </c:pt>
                <c:pt idx="19">
                  <c:v>121483.473</c:v>
                </c:pt>
                <c:pt idx="20">
                  <c:v>59939.995999999999</c:v>
                </c:pt>
                <c:pt idx="21">
                  <c:v>24167.19</c:v>
                </c:pt>
                <c:pt idx="22">
                  <c:v>8129.8630000000003</c:v>
                </c:pt>
                <c:pt idx="23">
                  <c:v>5056.22</c:v>
                </c:pt>
                <c:pt idx="24">
                  <c:v>1878.307</c:v>
                </c:pt>
                <c:pt idx="26">
                  <c:v>115570.78</c:v>
                </c:pt>
                <c:pt idx="27">
                  <c:v>454864.59899999999</c:v>
                </c:pt>
                <c:pt idx="28">
                  <c:v>19335.303</c:v>
                </c:pt>
                <c:pt idx="30">
                  <c:v>1.796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F033-4192-AD70-6E5B7C357C1F}"/>
            </c:ext>
          </c:extLst>
        </c:ser>
        <c:ser>
          <c:idx val="6"/>
          <c:order val="6"/>
          <c:tx>
            <c:strRef>
              <c:f>Pivot!$H$3:$H$4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Pivot!$H$5:$H$43</c:f>
              <c:numCache>
                <c:formatCode>#,##0</c:formatCode>
                <c:ptCount val="31"/>
                <c:pt idx="0">
                  <c:v>30599.418000000001</c:v>
                </c:pt>
                <c:pt idx="1">
                  <c:v>220868.772</c:v>
                </c:pt>
                <c:pt idx="2">
                  <c:v>79966.837</c:v>
                </c:pt>
                <c:pt idx="3">
                  <c:v>46203.055</c:v>
                </c:pt>
                <c:pt idx="4">
                  <c:v>35083.373</c:v>
                </c:pt>
                <c:pt idx="5">
                  <c:v>21465.657999999999</c:v>
                </c:pt>
                <c:pt idx="6">
                  <c:v>19853.884999999998</c:v>
                </c:pt>
                <c:pt idx="7">
                  <c:v>15769.62</c:v>
                </c:pt>
                <c:pt idx="8">
                  <c:v>14809.460999999999</c:v>
                </c:pt>
                <c:pt idx="9">
                  <c:v>5606.4250000000002</c:v>
                </c:pt>
                <c:pt idx="10">
                  <c:v>2923.4549999999999</c:v>
                </c:pt>
                <c:pt idx="11">
                  <c:v>2052.2109999999998</c:v>
                </c:pt>
                <c:pt idx="12">
                  <c:v>203026.52499999999</c:v>
                </c:pt>
                <c:pt idx="13">
                  <c:v>74187.035999999993</c:v>
                </c:pt>
                <c:pt idx="14">
                  <c:v>51238.934999999998</c:v>
                </c:pt>
                <c:pt idx="15">
                  <c:v>39997.538</c:v>
                </c:pt>
                <c:pt idx="16">
                  <c:v>22469.974999999999</c:v>
                </c:pt>
                <c:pt idx="17">
                  <c:v>22222.534</c:v>
                </c:pt>
                <c:pt idx="18">
                  <c:v>189961.95600000001</c:v>
                </c:pt>
                <c:pt idx="19">
                  <c:v>132687.96599999999</c:v>
                </c:pt>
                <c:pt idx="20">
                  <c:v>58838.180999999997</c:v>
                </c:pt>
                <c:pt idx="21">
                  <c:v>25010.518</c:v>
                </c:pt>
                <c:pt idx="22">
                  <c:v>7994.5519999999997</c:v>
                </c:pt>
                <c:pt idx="23">
                  <c:v>4599.3810000000003</c:v>
                </c:pt>
                <c:pt idx="24">
                  <c:v>1931.566</c:v>
                </c:pt>
                <c:pt idx="26">
                  <c:v>105582.769</c:v>
                </c:pt>
                <c:pt idx="27">
                  <c:v>450333.239</c:v>
                </c:pt>
                <c:pt idx="28">
                  <c:v>19231.024000000001</c:v>
                </c:pt>
                <c:pt idx="30">
                  <c:v>1.546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F033-4192-AD70-6E5B7C357C1F}"/>
            </c:ext>
          </c:extLst>
        </c:ser>
        <c:ser>
          <c:idx val="7"/>
          <c:order val="7"/>
          <c:tx>
            <c:strRef>
              <c:f>Pivot!$I$3:$I$4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Pivot!$I$5:$I$43</c:f>
              <c:numCache>
                <c:formatCode>#,##0</c:formatCode>
                <c:ptCount val="31"/>
                <c:pt idx="0">
                  <c:v>28387.06</c:v>
                </c:pt>
                <c:pt idx="1">
                  <c:v>231256.573</c:v>
                </c:pt>
                <c:pt idx="2">
                  <c:v>76425.922000000006</c:v>
                </c:pt>
                <c:pt idx="3">
                  <c:v>43006.98</c:v>
                </c:pt>
                <c:pt idx="4">
                  <c:v>29497.919999999998</c:v>
                </c:pt>
                <c:pt idx="5">
                  <c:v>18185.55</c:v>
                </c:pt>
                <c:pt idx="6">
                  <c:v>18172.023000000001</c:v>
                </c:pt>
                <c:pt idx="7">
                  <c:v>16895.989000000001</c:v>
                </c:pt>
                <c:pt idx="8">
                  <c:v>13543.879000000001</c:v>
                </c:pt>
                <c:pt idx="9">
                  <c:v>5718.0370000000003</c:v>
                </c:pt>
                <c:pt idx="10">
                  <c:v>2740.0129999999999</c:v>
                </c:pt>
                <c:pt idx="11">
                  <c:v>1989.537</c:v>
                </c:pt>
                <c:pt idx="12">
                  <c:v>196636.28</c:v>
                </c:pt>
                <c:pt idx="13">
                  <c:v>69316.47</c:v>
                </c:pt>
                <c:pt idx="14">
                  <c:v>47857.377</c:v>
                </c:pt>
                <c:pt idx="15">
                  <c:v>35049.983999999997</c:v>
                </c:pt>
                <c:pt idx="16">
                  <c:v>21262.963</c:v>
                </c:pt>
                <c:pt idx="17">
                  <c:v>20932.902999999998</c:v>
                </c:pt>
                <c:pt idx="18">
                  <c:v>179075.109</c:v>
                </c:pt>
                <c:pt idx="19">
                  <c:v>135634.59099999999</c:v>
                </c:pt>
                <c:pt idx="20">
                  <c:v>61440.385000000002</c:v>
                </c:pt>
                <c:pt idx="21">
                  <c:v>25249.697</c:v>
                </c:pt>
                <c:pt idx="22">
                  <c:v>7610.5919999999996</c:v>
                </c:pt>
                <c:pt idx="23">
                  <c:v>4383.8980000000001</c:v>
                </c:pt>
                <c:pt idx="24">
                  <c:v>2052.4299999999998</c:v>
                </c:pt>
                <c:pt idx="26">
                  <c:v>103660.84</c:v>
                </c:pt>
                <c:pt idx="27">
                  <c:v>452585.88</c:v>
                </c:pt>
                <c:pt idx="28">
                  <c:v>18588.71</c:v>
                </c:pt>
                <c:pt idx="30">
                  <c:v>1.0960000000000001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F033-4192-AD70-6E5B7C357C1F}"/>
            </c:ext>
          </c:extLst>
        </c:ser>
        <c:ser>
          <c:idx val="8"/>
          <c:order val="8"/>
          <c:tx>
            <c:strRef>
              <c:f>Pivot!$J$3:$J$4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Pivot!$J$5:$J$43</c:f>
              <c:numCache>
                <c:formatCode>#,##0</c:formatCode>
                <c:ptCount val="31"/>
                <c:pt idx="0">
                  <c:v>29850.723999999998</c:v>
                </c:pt>
                <c:pt idx="1">
                  <c:v>225519.07399999999</c:v>
                </c:pt>
                <c:pt idx="2">
                  <c:v>86796.33</c:v>
                </c:pt>
                <c:pt idx="3">
                  <c:v>45231.175000000003</c:v>
                </c:pt>
                <c:pt idx="4">
                  <c:v>31496.742999999999</c:v>
                </c:pt>
                <c:pt idx="5">
                  <c:v>21601.954000000002</c:v>
                </c:pt>
                <c:pt idx="6">
                  <c:v>20114.064999999999</c:v>
                </c:pt>
                <c:pt idx="7">
                  <c:v>15685.380999999999</c:v>
                </c:pt>
                <c:pt idx="8">
                  <c:v>15922.531000000001</c:v>
                </c:pt>
                <c:pt idx="9">
                  <c:v>7464.1549999999997</c:v>
                </c:pt>
                <c:pt idx="10">
                  <c:v>2649.8139999999999</c:v>
                </c:pt>
                <c:pt idx="11">
                  <c:v>1847.117</c:v>
                </c:pt>
                <c:pt idx="12">
                  <c:v>205734.342</c:v>
                </c:pt>
                <c:pt idx="13">
                  <c:v>67713.644</c:v>
                </c:pt>
                <c:pt idx="14">
                  <c:v>42414.701000000001</c:v>
                </c:pt>
                <c:pt idx="15">
                  <c:v>32695.534</c:v>
                </c:pt>
                <c:pt idx="16">
                  <c:v>19124.911</c:v>
                </c:pt>
                <c:pt idx="17">
                  <c:v>21829.437999999998</c:v>
                </c:pt>
                <c:pt idx="18">
                  <c:v>164399.18400000001</c:v>
                </c:pt>
                <c:pt idx="19">
                  <c:v>122793.357</c:v>
                </c:pt>
                <c:pt idx="20">
                  <c:v>58632.976000000002</c:v>
                </c:pt>
                <c:pt idx="21">
                  <c:v>24641.817999999999</c:v>
                </c:pt>
                <c:pt idx="22">
                  <c:v>7386.3090000000002</c:v>
                </c:pt>
                <c:pt idx="23">
                  <c:v>4024.8739999999998</c:v>
                </c:pt>
                <c:pt idx="24">
                  <c:v>1697.3040000000001</c:v>
                </c:pt>
                <c:pt idx="25">
                  <c:v>8511.9879999999994</c:v>
                </c:pt>
                <c:pt idx="26">
                  <c:v>102651.61900000001</c:v>
                </c:pt>
                <c:pt idx="27">
                  <c:v>480936.56</c:v>
                </c:pt>
                <c:pt idx="28">
                  <c:v>24695.755000000001</c:v>
                </c:pt>
                <c:pt idx="29">
                  <c:v>1779.8810000000001</c:v>
                </c:pt>
                <c:pt idx="30">
                  <c:v>0.94299999999999995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F033-4192-AD70-6E5B7C357C1F}"/>
            </c:ext>
          </c:extLst>
        </c:ser>
        <c:ser>
          <c:idx val="9"/>
          <c:order val="9"/>
          <c:tx>
            <c:strRef>
              <c:f>Pivot!$K$3:$K$4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Pivot!$K$5:$K$43</c:f>
              <c:numCache>
                <c:formatCode>#,##0</c:formatCode>
                <c:ptCount val="3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F033-4192-AD70-6E5B7C357C1F}"/>
            </c:ext>
          </c:extLst>
        </c:ser>
        <c:ser>
          <c:idx val="10"/>
          <c:order val="10"/>
          <c:tx>
            <c:strRef>
              <c:f>Pivot!$L$3:$L$4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Pivot!$L$5:$L$43</c:f>
              <c:numCache>
                <c:formatCode>#,##0</c:formatCode>
                <c:ptCount val="3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F033-4192-AD70-6E5B7C357C1F}"/>
            </c:ext>
          </c:extLst>
        </c:ser>
        <c:ser>
          <c:idx val="11"/>
          <c:order val="11"/>
          <c:tx>
            <c:strRef>
              <c:f>Pivot!$M$3:$M$4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Pivot!$M$5:$M$43</c:f>
              <c:numCache>
                <c:formatCode>#,##0</c:formatCode>
                <c:ptCount val="3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F033-4192-AD70-6E5B7C357C1F}"/>
            </c:ext>
          </c:extLst>
        </c:ser>
        <c:ser>
          <c:idx val="12"/>
          <c:order val="12"/>
          <c:tx>
            <c:strRef>
              <c:f>Pivot!$N$3:$N$4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Pivot!$N$5:$N$43</c:f>
              <c:numCache>
                <c:formatCode>#,##0</c:formatCode>
                <c:ptCount val="3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F033-4192-AD70-6E5B7C357C1F}"/>
            </c:ext>
          </c:extLst>
        </c:ser>
        <c:ser>
          <c:idx val="13"/>
          <c:order val="13"/>
          <c:tx>
            <c:strRef>
              <c:f>Pivot!$O$3:$O$4</c:f>
              <c:strCache>
                <c:ptCount val="1"/>
                <c:pt idx="0">
                  <c:v>2018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Pivot!$O$5:$O$43</c:f>
              <c:numCache>
                <c:formatCode>#,##0</c:formatCode>
                <c:ptCount val="3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F033-4192-AD70-6E5B7C357C1F}"/>
            </c:ext>
          </c:extLst>
        </c:ser>
        <c:ser>
          <c:idx val="14"/>
          <c:order val="14"/>
          <c:tx>
            <c:strRef>
              <c:f>Pivot!$P$3:$P$4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Pivot!$P$5:$P$43</c:f>
              <c:numCache>
                <c:formatCode>#,##0</c:formatCode>
                <c:ptCount val="3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F033-4192-AD70-6E5B7C357C1F}"/>
            </c:ext>
          </c:extLst>
        </c:ser>
        <c:ser>
          <c:idx val="15"/>
          <c:order val="15"/>
          <c:tx>
            <c:strRef>
              <c:f>Pivot!$Q$3:$Q$4</c:f>
              <c:strCache>
                <c:ptCount val="1"/>
                <c:pt idx="0">
                  <c:v>2020</c:v>
                </c:pt>
              </c:strCache>
            </c:strRef>
          </c:tx>
          <c:invertIfNegative val="0"/>
          <c:cat>
            <c:multiLvlStrRef>
              <c:f>Pivot!$A$5:$A$43</c:f>
              <c:multiLvlStrCache>
                <c:ptCount val="31"/>
                <c:lvl>
                  <c:pt idx="0">
                    <c:v>Austria</c:v>
                  </c:pt>
                  <c:pt idx="1">
                    <c:v>United Kingdom</c:v>
                  </c:pt>
                  <c:pt idx="2">
                    <c:v>Netherlands</c:v>
                  </c:pt>
                  <c:pt idx="3">
                    <c:v>Belgium</c:v>
                  </c:pt>
                  <c:pt idx="4">
                    <c:v>Finland</c:v>
                  </c:pt>
                  <c:pt idx="5">
                    <c:v>Denmark</c:v>
                  </c:pt>
                  <c:pt idx="6">
                    <c:v>Sweden</c:v>
                  </c:pt>
                  <c:pt idx="7">
                    <c:v>Ireland</c:v>
                  </c:pt>
                  <c:pt idx="8">
                    <c:v>Estonia</c:v>
                  </c:pt>
                  <c:pt idx="9">
                    <c:v>Lithuania</c:v>
                  </c:pt>
                  <c:pt idx="10">
                    <c:v>Latvia</c:v>
                  </c:pt>
                  <c:pt idx="11">
                    <c:v>Luxembourg</c:v>
                  </c:pt>
                  <c:pt idx="12">
                    <c:v>Poland</c:v>
                  </c:pt>
                  <c:pt idx="13">
                    <c:v>Czech Republic</c:v>
                  </c:pt>
                  <c:pt idx="14">
                    <c:v>Romania</c:v>
                  </c:pt>
                  <c:pt idx="15">
                    <c:v>Bulgaria</c:v>
                  </c:pt>
                  <c:pt idx="16">
                    <c:v>Hungary</c:v>
                  </c:pt>
                  <c:pt idx="17">
                    <c:v>Slovakia</c:v>
                  </c:pt>
                  <c:pt idx="18">
                    <c:v>Italy</c:v>
                  </c:pt>
                  <c:pt idx="19">
                    <c:v>Spain</c:v>
                  </c:pt>
                  <c:pt idx="20">
                    <c:v>Greece</c:v>
                  </c:pt>
                  <c:pt idx="21">
                    <c:v>Portugal</c:v>
                  </c:pt>
                  <c:pt idx="22">
                    <c:v>Slovenia</c:v>
                  </c:pt>
                  <c:pt idx="23">
                    <c:v>Cyprus</c:v>
                  </c:pt>
                  <c:pt idx="24">
                    <c:v>Malta</c:v>
                  </c:pt>
                  <c:pt idx="25">
                    <c:v>Croatia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Norway</c:v>
                  </c:pt>
                  <c:pt idx="29">
                    <c:v>Iceland</c:v>
                  </c:pt>
                  <c:pt idx="30">
                    <c:v>Liechtenstein</c:v>
                  </c:pt>
                </c:lvl>
                <c:lvl>
                  <c:pt idx="0">
                    <c:v>Austria</c:v>
                  </c:pt>
                  <c:pt idx="1">
                    <c:v>Gruppe1</c:v>
                  </c:pt>
                  <c:pt idx="12">
                    <c:v>Gruppe2</c:v>
                  </c:pt>
                  <c:pt idx="18">
                    <c:v>Gruppe3</c:v>
                  </c:pt>
                  <c:pt idx="26">
                    <c:v>France</c:v>
                  </c:pt>
                  <c:pt idx="27">
                    <c:v>Germany</c:v>
                  </c:pt>
                  <c:pt idx="28">
                    <c:v>Gruppe4</c:v>
                  </c:pt>
                </c:lvl>
              </c:multiLvlStrCache>
            </c:multiLvlStrRef>
          </c:cat>
          <c:val>
            <c:numRef>
              <c:f>Pivot!$Q$5:$Q$43</c:f>
              <c:numCache>
                <c:formatCode>#,##0</c:formatCode>
                <c:ptCount val="3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F-F033-4192-AD70-6E5B7C357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2132944"/>
        <c:axId val="362133504"/>
      </c:barChart>
      <c:catAx>
        <c:axId val="362132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362133504"/>
        <c:crosses val="autoZero"/>
        <c:auto val="1"/>
        <c:lblAlgn val="ctr"/>
        <c:lblOffset val="100"/>
        <c:noMultiLvlLbl val="0"/>
      </c:catAx>
      <c:valAx>
        <c:axId val="36213350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36213294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[160330_co2pfad.xlsx]18x18x4_ETS75!PivotTable10</c:name>
    <c:fmtId val="7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'18x18x4_ETS75'!$B$3:$B$4</c:f>
              <c:strCache>
                <c:ptCount val="1"/>
                <c:pt idx="0">
                  <c:v>EUN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'18x18x4_ETS75'!$B$5:$B$14</c:f>
              <c:numCache>
                <c:formatCode>#,##0</c:formatCode>
                <c:ptCount val="9"/>
                <c:pt idx="0">
                  <c:v>504309.55000000005</c:v>
                </c:pt>
                <c:pt idx="1">
                  <c:v>527441.49399999995</c:v>
                </c:pt>
                <c:pt idx="2">
                  <c:v>528231.54800000007</c:v>
                </c:pt>
                <c:pt idx="3">
                  <c:v>531692.59400000004</c:v>
                </c:pt>
                <c:pt idx="4">
                  <c:v>474536.52100000012</c:v>
                </c:pt>
                <c:pt idx="5">
                  <c:v>505176.60700000002</c:v>
                </c:pt>
                <c:pt idx="6">
                  <c:v>464602.75200000004</c:v>
                </c:pt>
                <c:pt idx="7">
                  <c:v>457432.42300000001</c:v>
                </c:pt>
                <c:pt idx="8">
                  <c:v>474328.33900000015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773-4D02-9FF8-A155A1746269}"/>
            </c:ext>
          </c:extLst>
        </c:ser>
        <c:ser>
          <c:idx val="1"/>
          <c:order val="1"/>
          <c:tx>
            <c:strRef>
              <c:f>'18x18x4_ETS75'!$C$3:$C$4</c:f>
              <c:strCache>
                <c:ptCount val="1"/>
                <c:pt idx="0">
                  <c:v>DEU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'18x18x4_ETS75'!$C$5:$C$14</c:f>
              <c:numCache>
                <c:formatCode>#,##0</c:formatCode>
                <c:ptCount val="9"/>
                <c:pt idx="0">
                  <c:v>475051.53499999997</c:v>
                </c:pt>
                <c:pt idx="1">
                  <c:v>478074.86800000002</c:v>
                </c:pt>
                <c:pt idx="2">
                  <c:v>487148.43199999997</c:v>
                </c:pt>
                <c:pt idx="3">
                  <c:v>472853.53399999999</c:v>
                </c:pt>
                <c:pt idx="4">
                  <c:v>428294.50199999998</c:v>
                </c:pt>
                <c:pt idx="5">
                  <c:v>454864.59899999999</c:v>
                </c:pt>
                <c:pt idx="6">
                  <c:v>450333.239</c:v>
                </c:pt>
                <c:pt idx="7">
                  <c:v>452585.88</c:v>
                </c:pt>
                <c:pt idx="8">
                  <c:v>480936.56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773-4D02-9FF8-A155A1746269}"/>
            </c:ext>
          </c:extLst>
        </c:ser>
        <c:ser>
          <c:idx val="2"/>
          <c:order val="2"/>
          <c:tx>
            <c:strRef>
              <c:f>'18x18x4_ETS75'!$D$3:$D$4</c:f>
              <c:strCache>
                <c:ptCount val="1"/>
                <c:pt idx="0">
                  <c:v>EUS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'18x18x4_ETS75'!$D$5:$D$14</c:f>
              <c:numCache>
                <c:formatCode>#,##0</c:formatCode>
                <c:ptCount val="9"/>
                <c:pt idx="0">
                  <c:v>533081.04099999985</c:v>
                </c:pt>
                <c:pt idx="1">
                  <c:v>526278.69800000009</c:v>
                </c:pt>
                <c:pt idx="2">
                  <c:v>533365.89</c:v>
                </c:pt>
                <c:pt idx="3">
                  <c:v>500359.50599999999</c:v>
                </c:pt>
                <c:pt idx="4">
                  <c:v>429066.66900000005</c:v>
                </c:pt>
                <c:pt idx="5">
                  <c:v>412144.58799999999</c:v>
                </c:pt>
                <c:pt idx="6">
                  <c:v>421024.12</c:v>
                </c:pt>
                <c:pt idx="7">
                  <c:v>415446.70199999999</c:v>
                </c:pt>
                <c:pt idx="8">
                  <c:v>392087.81000000006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D773-4D02-9FF8-A155A1746269}"/>
            </c:ext>
          </c:extLst>
        </c:ser>
        <c:ser>
          <c:idx val="3"/>
          <c:order val="3"/>
          <c:tx>
            <c:strRef>
              <c:f>'18x18x4_ETS75'!$E$3:$E$4</c:f>
              <c:strCache>
                <c:ptCount val="1"/>
                <c:pt idx="0">
                  <c:v>EUE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'18x18x4_ETS75'!$E$5:$E$14</c:f>
              <c:numCache>
                <c:formatCode>#,##0</c:formatCode>
                <c:ptCount val="9"/>
                <c:pt idx="0">
                  <c:v>336997.62300000002</c:v>
                </c:pt>
                <c:pt idx="1">
                  <c:v>344630.40100000001</c:v>
                </c:pt>
                <c:pt idx="2">
                  <c:v>457600.49599999998</c:v>
                </c:pt>
                <c:pt idx="3">
                  <c:v>439199.712</c:v>
                </c:pt>
                <c:pt idx="4">
                  <c:v>390031.79599999997</c:v>
                </c:pt>
                <c:pt idx="5">
                  <c:v>400870.81</c:v>
                </c:pt>
                <c:pt idx="6">
                  <c:v>413142.54300000001</c:v>
                </c:pt>
                <c:pt idx="7">
                  <c:v>391055.97699999996</c:v>
                </c:pt>
                <c:pt idx="8">
                  <c:v>389512.57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D773-4D02-9FF8-A155A1746269}"/>
            </c:ext>
          </c:extLst>
        </c:ser>
        <c:ser>
          <c:idx val="4"/>
          <c:order val="4"/>
          <c:tx>
            <c:strRef>
              <c:f>'18x18x4_ETS75'!$F$3:$F$4</c:f>
              <c:strCache>
                <c:ptCount val="1"/>
                <c:pt idx="0">
                  <c:v>FRA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'18x18x4_ETS75'!$F$5:$F$14</c:f>
              <c:numCache>
                <c:formatCode>#,##0</c:formatCode>
                <c:ptCount val="9"/>
                <c:pt idx="0">
                  <c:v>131263.79399999999</c:v>
                </c:pt>
                <c:pt idx="1">
                  <c:v>126979.057</c:v>
                </c:pt>
                <c:pt idx="2">
                  <c:v>126634.815</c:v>
                </c:pt>
                <c:pt idx="3">
                  <c:v>124129.806</c:v>
                </c:pt>
                <c:pt idx="4">
                  <c:v>111092.554</c:v>
                </c:pt>
                <c:pt idx="5">
                  <c:v>115570.78</c:v>
                </c:pt>
                <c:pt idx="6">
                  <c:v>105582.769</c:v>
                </c:pt>
                <c:pt idx="7">
                  <c:v>103660.84</c:v>
                </c:pt>
                <c:pt idx="8">
                  <c:v>102651.61900000001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D773-4D02-9FF8-A155A1746269}"/>
            </c:ext>
          </c:extLst>
        </c:ser>
        <c:ser>
          <c:idx val="5"/>
          <c:order val="5"/>
          <c:tx>
            <c:strRef>
              <c:f>'18x18x4_ETS75'!$G$3:$G$4</c:f>
              <c:strCache>
                <c:ptCount val="1"/>
                <c:pt idx="0">
                  <c:v>AUT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'18x18x4_ETS75'!$G$5:$G$14</c:f>
              <c:numCache>
                <c:formatCode>#,##0</c:formatCode>
                <c:ptCount val="9"/>
                <c:pt idx="0">
                  <c:v>33373.154999999999</c:v>
                </c:pt>
                <c:pt idx="1">
                  <c:v>32384.371999999999</c:v>
                </c:pt>
                <c:pt idx="2">
                  <c:v>31751.26</c:v>
                </c:pt>
                <c:pt idx="3">
                  <c:v>32078.973999999998</c:v>
                </c:pt>
                <c:pt idx="4">
                  <c:v>27359.832999999999</c:v>
                </c:pt>
                <c:pt idx="5">
                  <c:v>30919.710999999999</c:v>
                </c:pt>
                <c:pt idx="6">
                  <c:v>30599.418000000001</c:v>
                </c:pt>
                <c:pt idx="7">
                  <c:v>28387.06</c:v>
                </c:pt>
                <c:pt idx="8">
                  <c:v>29850.723999999998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D773-4D02-9FF8-A155A1746269}"/>
            </c:ext>
          </c:extLst>
        </c:ser>
        <c:ser>
          <c:idx val="6"/>
          <c:order val="6"/>
          <c:tx>
            <c:strRef>
              <c:f>'18x18x4_ETS75'!$H$3:$H$4</c:f>
              <c:strCache>
                <c:ptCount val="1"/>
                <c:pt idx="0">
                  <c:v>Non-EU</c:v>
                </c:pt>
              </c:strCache>
            </c:strRef>
          </c:tx>
          <c:invertIfNegative val="0"/>
          <c:cat>
            <c:strRef>
              <c:f>'18x18x4_ETS75'!$A$5:$A$14</c:f>
              <c:strCach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strCache>
            </c:strRef>
          </c:cat>
          <c:val>
            <c:numRef>
              <c:f>'18x18x4_ETS75'!$H$5:$H$14</c:f>
              <c:numCache>
                <c:formatCode>#,##0</c:formatCode>
                <c:ptCount val="9"/>
                <c:pt idx="3">
                  <c:v>19362.326000000001</c:v>
                </c:pt>
                <c:pt idx="4">
                  <c:v>19229.069</c:v>
                </c:pt>
                <c:pt idx="5">
                  <c:v>19337.098999999998</c:v>
                </c:pt>
                <c:pt idx="6">
                  <c:v>19232.57</c:v>
                </c:pt>
                <c:pt idx="7">
                  <c:v>18589.806</c:v>
                </c:pt>
                <c:pt idx="8">
                  <c:v>26476.579000000002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D773-4D02-9FF8-A155A1746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7501744"/>
        <c:axId val="317502304"/>
      </c:barChart>
      <c:catAx>
        <c:axId val="3175017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317502304"/>
        <c:crosses val="autoZero"/>
        <c:auto val="1"/>
        <c:lblAlgn val="ctr"/>
        <c:lblOffset val="100"/>
        <c:noMultiLvlLbl val="0"/>
      </c:catAx>
      <c:valAx>
        <c:axId val="31750230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31750174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'18x18x4_ETS75'!$B$22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'18x18x4_ETS75'!$B$23:$B$68</c:f>
              <c:numCache>
                <c:formatCode>#,##0</c:formatCode>
                <c:ptCount val="46"/>
                <c:pt idx="0">
                  <c:v>504309.55000000005</c:v>
                </c:pt>
                <c:pt idx="1">
                  <c:v>527441.49399999995</c:v>
                </c:pt>
                <c:pt idx="2">
                  <c:v>528231.54800000007</c:v>
                </c:pt>
                <c:pt idx="3">
                  <c:v>531692.59400000004</c:v>
                </c:pt>
                <c:pt idx="4">
                  <c:v>474536.52100000012</c:v>
                </c:pt>
                <c:pt idx="5">
                  <c:v>505176.60700000002</c:v>
                </c:pt>
                <c:pt idx="6">
                  <c:v>464602.75200000004</c:v>
                </c:pt>
                <c:pt idx="7">
                  <c:v>457432.42300000001</c:v>
                </c:pt>
                <c:pt idx="8">
                  <c:v>474328.33900000015</c:v>
                </c:pt>
                <c:pt idx="9">
                  <c:v>454891.0582488075</c:v>
                </c:pt>
                <c:pt idx="10">
                  <c:v>436250.28879988531</c:v>
                </c:pt>
                <c:pt idx="11">
                  <c:v>418373.39078643511</c:v>
                </c:pt>
                <c:pt idx="12">
                  <c:v>401229.06187560363</c:v>
                </c:pt>
                <c:pt idx="13">
                  <c:v>384787.28245830053</c:v>
                </c:pt>
                <c:pt idx="14">
                  <c:v>369019.26308505691</c:v>
                </c:pt>
                <c:pt idx="15">
                  <c:v>353897.39405588538</c:v>
                </c:pt>
                <c:pt idx="16">
                  <c:v>339395.19707587379</c:v>
                </c:pt>
                <c:pt idx="17">
                  <c:v>325487.2788918622</c:v>
                </c:pt>
                <c:pt idx="18">
                  <c:v>312149.28682902054</c:v>
                </c:pt>
                <c:pt idx="19">
                  <c:v>299357.8661494726</c:v>
                </c:pt>
                <c:pt idx="20">
                  <c:v>287090.6191583008</c:v>
                </c:pt>
                <c:pt idx="21">
                  <c:v>275326.06598532747</c:v>
                </c:pt>
                <c:pt idx="22">
                  <c:v>264043.60697400069</c:v>
                </c:pt>
                <c:pt idx="23">
                  <c:v>253223.48661152911</c:v>
                </c:pt>
                <c:pt idx="24">
                  <c:v>242846.75893710658</c:v>
                </c:pt>
                <c:pt idx="25">
                  <c:v>232895.25436765738</c:v>
                </c:pt>
                <c:pt idx="26">
                  <c:v>223351.54788301367</c:v>
                </c:pt>
                <c:pt idx="27">
                  <c:v>214198.92851481779</c:v>
                </c:pt>
                <c:pt idx="28">
                  <c:v>205421.37008572472</c:v>
                </c:pt>
                <c:pt idx="29">
                  <c:v>197003.50314766922</c:v>
                </c:pt>
                <c:pt idx="30">
                  <c:v>188930.58807006152</c:v>
                </c:pt>
                <c:pt idx="31">
                  <c:v>181188.48923078954</c:v>
                </c:pt>
                <c:pt idx="32">
                  <c:v>173763.65026483583</c:v>
                </c:pt>
                <c:pt idx="33">
                  <c:v>166643.07032717019</c:v>
                </c:pt>
                <c:pt idx="34">
                  <c:v>159814.28132835403</c:v>
                </c:pt>
                <c:pt idx="35">
                  <c:v>153265.3261029963</c:v>
                </c:pt>
                <c:pt idx="36">
                  <c:v>146984.7374728343</c:v>
                </c:pt>
                <c:pt idx="37">
                  <c:v>140961.51816777856</c:v>
                </c:pt>
                <c:pt idx="38">
                  <c:v>135185.12156976407</c:v>
                </c:pt>
                <c:pt idx="39">
                  <c:v>129645.43324569028</c:v>
                </c:pt>
                <c:pt idx="40">
                  <c:v>124332.75323711401</c:v>
                </c:pt>
                <c:pt idx="41">
                  <c:v>119237.779075685</c:v>
                </c:pt>
                <c:pt idx="42">
                  <c:v>114351.58949458394</c:v>
                </c:pt>
                <c:pt idx="43">
                  <c:v>109665.62880744194</c:v>
                </c:pt>
                <c:pt idx="44">
                  <c:v>105171.69192738905</c:v>
                </c:pt>
                <c:pt idx="45">
                  <c:v>100861.91000000013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E57-4D1B-8A6C-E31C7C5DB652}"/>
            </c:ext>
          </c:extLst>
        </c:ser>
        <c:ser>
          <c:idx val="1"/>
          <c:order val="1"/>
          <c:tx>
            <c:strRef>
              <c:f>'18x18x4_ETS75'!$C$22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'18x18x4_ETS75'!$C$23:$C$68</c:f>
              <c:numCache>
                <c:formatCode>#,##0</c:formatCode>
                <c:ptCount val="46"/>
                <c:pt idx="0">
                  <c:v>475051.53499999997</c:v>
                </c:pt>
                <c:pt idx="1">
                  <c:v>478074.86800000002</c:v>
                </c:pt>
                <c:pt idx="2">
                  <c:v>487148.43199999997</c:v>
                </c:pt>
                <c:pt idx="3">
                  <c:v>472853.53399999999</c:v>
                </c:pt>
                <c:pt idx="4">
                  <c:v>428294.50199999998</c:v>
                </c:pt>
                <c:pt idx="5">
                  <c:v>454864.59899999999</c:v>
                </c:pt>
                <c:pt idx="6">
                  <c:v>450333.239</c:v>
                </c:pt>
                <c:pt idx="7">
                  <c:v>452585.88</c:v>
                </c:pt>
                <c:pt idx="8">
                  <c:v>480936.56</c:v>
                </c:pt>
                <c:pt idx="9">
                  <c:v>460311.89334209531</c:v>
                </c:pt>
                <c:pt idx="10">
                  <c:v>440571.70274637581</c:v>
                </c:pt>
                <c:pt idx="11">
                  <c:v>421678.05800443841</c:v>
                </c:pt>
                <c:pt idx="12">
                  <c:v>403594.65552138712</c:v>
                </c:pt>
                <c:pt idx="13">
                  <c:v>386286.74855951988</c:v>
                </c:pt>
                <c:pt idx="14">
                  <c:v>369721.08047347143</c:v>
                </c:pt>
                <c:pt idx="15">
                  <c:v>353865.82080852584</c:v>
                </c:pt>
                <c:pt idx="16">
                  <c:v>338690.50413931342</c:v>
                </c:pt>
                <c:pt idx="17">
                  <c:v>324165.97153137228</c:v>
                </c:pt>
                <c:pt idx="18">
                  <c:v>310264.31451309449</c:v>
                </c:pt>
                <c:pt idx="19">
                  <c:v>296958.82145040057</c:v>
                </c:pt>
                <c:pt idx="20">
                  <c:v>284223.92622110306</c:v>
                </c:pt>
                <c:pt idx="21">
                  <c:v>272035.15909033816</c:v>
                </c:pt>
                <c:pt idx="22">
                  <c:v>260369.09969267395</c:v>
                </c:pt>
                <c:pt idx="23">
                  <c:v>249203.33203055203</c:v>
                </c:pt>
                <c:pt idx="24">
                  <c:v>238516.40140259295</c:v>
                </c:pt>
                <c:pt idx="25">
                  <c:v>228287.77317900464</c:v>
                </c:pt>
                <c:pt idx="26">
                  <c:v>218497.79334488197</c:v>
                </c:pt>
                <c:pt idx="27">
                  <c:v>209127.65073558246</c:v>
                </c:pt>
                <c:pt idx="28">
                  <c:v>200159.34089161447</c:v>
                </c:pt>
                <c:pt idx="29">
                  <c:v>191575.63146358627</c:v>
                </c:pt>
                <c:pt idx="30">
                  <c:v>183360.02910074228</c:v>
                </c:pt>
                <c:pt idx="31">
                  <c:v>175496.74775946411</c:v>
                </c:pt>
                <c:pt idx="32">
                  <c:v>167970.67837084178</c:v>
                </c:pt>
                <c:pt idx="33">
                  <c:v>160767.35980903244</c:v>
                </c:pt>
                <c:pt idx="34">
                  <c:v>153872.95110462303</c:v>
                </c:pt>
                <c:pt idx="35">
                  <c:v>147274.20484960571</c:v>
                </c:pt>
                <c:pt idx="36">
                  <c:v>140958.44174286438</c:v>
                </c:pt>
                <c:pt idx="37">
                  <c:v>134913.52622726237</c:v>
                </c:pt>
                <c:pt idx="38">
                  <c:v>129127.84317151846</c:v>
                </c:pt>
                <c:pt idx="39">
                  <c:v>123590.27555206619</c:v>
                </c:pt>
                <c:pt idx="40">
                  <c:v>118290.18309201293</c:v>
                </c:pt>
                <c:pt idx="41">
                  <c:v>113217.38181615385</c:v>
                </c:pt>
                <c:pt idx="42">
                  <c:v>108362.12448275651</c:v>
                </c:pt>
                <c:pt idx="43">
                  <c:v>103715.08185451626</c:v>
                </c:pt>
                <c:pt idx="44">
                  <c:v>99267.324772695123</c:v>
                </c:pt>
                <c:pt idx="45">
                  <c:v>95010.307000000117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E57-4D1B-8A6C-E31C7C5DB652}"/>
            </c:ext>
          </c:extLst>
        </c:ser>
        <c:ser>
          <c:idx val="2"/>
          <c:order val="2"/>
          <c:tx>
            <c:strRef>
              <c:f>'18x18x4_ETS75'!$D$22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'18x18x4_ETS75'!$D$23:$D$68</c:f>
              <c:numCache>
                <c:formatCode>#,##0</c:formatCode>
                <c:ptCount val="46"/>
                <c:pt idx="0">
                  <c:v>533081.04099999985</c:v>
                </c:pt>
                <c:pt idx="1">
                  <c:v>526278.69800000009</c:v>
                </c:pt>
                <c:pt idx="2">
                  <c:v>533365.89</c:v>
                </c:pt>
                <c:pt idx="3">
                  <c:v>500359.50599999999</c:v>
                </c:pt>
                <c:pt idx="4">
                  <c:v>429066.66900000005</c:v>
                </c:pt>
                <c:pt idx="5">
                  <c:v>412144.58799999999</c:v>
                </c:pt>
                <c:pt idx="6">
                  <c:v>421024.12</c:v>
                </c:pt>
                <c:pt idx="7">
                  <c:v>415446.70199999999</c:v>
                </c:pt>
                <c:pt idx="8">
                  <c:v>392087.81000000006</c:v>
                </c:pt>
                <c:pt idx="9">
                  <c:v>378527.931912956</c:v>
                </c:pt>
                <c:pt idx="10">
                  <c:v>365437.00565008493</c:v>
                </c:pt>
                <c:pt idx="11">
                  <c:v>352798.81308523682</c:v>
                </c:pt>
                <c:pt idx="12">
                  <c:v>340597.6969763487</c:v>
                </c:pt>
                <c:pt idx="13">
                  <c:v>328818.54156795365</c:v>
                </c:pt>
                <c:pt idx="14">
                  <c:v>317446.75386452803</c:v>
                </c:pt>
                <c:pt idx="15">
                  <c:v>306468.24555147724</c:v>
                </c:pt>
                <c:pt idx="16">
                  <c:v>295869.41554136213</c:v>
                </c:pt>
                <c:pt idx="17">
                  <c:v>285637.13312374282</c:v>
                </c:pt>
                <c:pt idx="18">
                  <c:v>275758.7216977647</c:v>
                </c:pt>
                <c:pt idx="19">
                  <c:v>266221.9430673329</c:v>
                </c:pt>
                <c:pt idx="20">
                  <c:v>257014.98227941905</c:v>
                </c:pt>
                <c:pt idx="21">
                  <c:v>248126.43298671671</c:v>
                </c:pt>
                <c:pt idx="22">
                  <c:v>239545.28331651149</c:v>
                </c:pt>
                <c:pt idx="23">
                  <c:v>231260.90222825902</c:v>
                </c:pt>
                <c:pt idx="24">
                  <c:v>223263.02634296942</c:v>
                </c:pt>
                <c:pt idx="25">
                  <c:v>215541.74722808143</c:v>
                </c:pt>
                <c:pt idx="26">
                  <c:v>208087.49912207361</c:v>
                </c:pt>
                <c:pt idx="27">
                  <c:v>200891.04708360496</c:v>
                </c:pt>
                <c:pt idx="28">
                  <c:v>193943.47555050295</c:v>
                </c:pt>
                <c:pt idx="29">
                  <c:v>187236.17729442497</c:v>
                </c:pt>
                <c:pt idx="30">
                  <c:v>180760.84275750944</c:v>
                </c:pt>
                <c:pt idx="31">
                  <c:v>174509.44975780571</c:v>
                </c:pt>
                <c:pt idx="32">
                  <c:v>168474.25355072907</c:v>
                </c:pt>
                <c:pt idx="33">
                  <c:v>162647.77723422836</c:v>
                </c:pt>
                <c:pt idx="34">
                  <c:v>157022.80248577893</c:v>
                </c:pt>
                <c:pt idx="35">
                  <c:v>151592.3606197256</c:v>
                </c:pt>
                <c:pt idx="36">
                  <c:v>146349.72395389635</c:v>
                </c:pt>
                <c:pt idx="37">
                  <c:v>141288.3974747911</c:v>
                </c:pt>
                <c:pt idx="38">
                  <c:v>136402.11079101995</c:v>
                </c:pt>
                <c:pt idx="39">
                  <c:v>131684.81036502172</c:v>
                </c:pt>
                <c:pt idx="40">
                  <c:v>127130.65201343918</c:v>
                </c:pt>
                <c:pt idx="41">
                  <c:v>122733.99366685947</c:v>
                </c:pt>
                <c:pt idx="42">
                  <c:v>118489.38837995027</c:v>
                </c:pt>
                <c:pt idx="43">
                  <c:v>114391.57758333167</c:v>
                </c:pt>
                <c:pt idx="44">
                  <c:v>110435.48456882397</c:v>
                </c:pt>
                <c:pt idx="45">
                  <c:v>106616.20820000014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E57-4D1B-8A6C-E31C7C5DB652}"/>
            </c:ext>
          </c:extLst>
        </c:ser>
        <c:ser>
          <c:idx val="3"/>
          <c:order val="3"/>
          <c:tx>
            <c:strRef>
              <c:f>'18x18x4_ETS75'!$E$22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'18x18x4_ETS75'!$E$23:$E$68</c:f>
              <c:numCache>
                <c:formatCode>#,##0</c:formatCode>
                <c:ptCount val="46"/>
                <c:pt idx="0">
                  <c:v>336997.62300000002</c:v>
                </c:pt>
                <c:pt idx="1">
                  <c:v>344630.40100000001</c:v>
                </c:pt>
                <c:pt idx="2">
                  <c:v>457600.49599999998</c:v>
                </c:pt>
                <c:pt idx="3">
                  <c:v>439199.712</c:v>
                </c:pt>
                <c:pt idx="4">
                  <c:v>390031.79599999997</c:v>
                </c:pt>
                <c:pt idx="5">
                  <c:v>400870.81</c:v>
                </c:pt>
                <c:pt idx="6">
                  <c:v>413142.54300000001</c:v>
                </c:pt>
                <c:pt idx="7">
                  <c:v>391055.97699999996</c:v>
                </c:pt>
                <c:pt idx="8">
                  <c:v>389512.57</c:v>
                </c:pt>
                <c:pt idx="9">
                  <c:v>371475.81232464808</c:v>
                </c:pt>
                <c:pt idx="10">
                  <c:v>354274.26422273653</c:v>
                </c:pt>
                <c:pt idx="11">
                  <c:v>337869.25050418288</c:v>
                </c:pt>
                <c:pt idx="12">
                  <c:v>322223.88687112549</c:v>
                </c:pt>
                <c:pt idx="13">
                  <c:v>307302.9969889209</c:v>
                </c:pt>
                <c:pt idx="14">
                  <c:v>293073.03339724895</c:v>
                </c:pt>
                <c:pt idx="15">
                  <c:v>279502.00208350597</c:v>
                </c:pt>
                <c:pt idx="16">
                  <c:v>266559.39054890029</c:v>
                </c:pt>
                <c:pt idx="17">
                  <c:v>254216.09920551692</c:v>
                </c:pt>
                <c:pt idx="18">
                  <c:v>242444.3759501079</c:v>
                </c:pt>
                <c:pt idx="19">
                  <c:v>231217.75376750669</c:v>
                </c:pt>
                <c:pt idx="20">
                  <c:v>220510.99122337697</c:v>
                </c:pt>
                <c:pt idx="21">
                  <c:v>210300.0157125027</c:v>
                </c:pt>
                <c:pt idx="22">
                  <c:v>200561.86933502095</c:v>
                </c:pt>
                <c:pt idx="23">
                  <c:v>191274.65727890845</c:v>
                </c:pt>
                <c:pt idx="24">
                  <c:v>182417.49859266717</c:v>
                </c:pt>
                <c:pt idx="25">
                  <c:v>173970.47923752855</c:v>
                </c:pt>
                <c:pt idx="26">
                  <c:v>165914.60731362083</c:v>
                </c:pt>
                <c:pt idx="27">
                  <c:v>158231.7703594323</c:v>
                </c:pt>
                <c:pt idx="28">
                  <c:v>150904.69462856432</c:v>
                </c:pt>
                <c:pt idx="29">
                  <c:v>143916.90625221387</c:v>
                </c:pt>
                <c:pt idx="30">
                  <c:v>137252.6942000649</c:v>
                </c:pt>
                <c:pt idx="31">
                  <c:v>130897.07495631174</c:v>
                </c:pt>
                <c:pt idx="32">
                  <c:v>124835.75883139344</c:v>
                </c:pt>
                <c:pt idx="33">
                  <c:v>119055.11783369594</c:v>
                </c:pt>
                <c:pt idx="34">
                  <c:v>113542.15502898635</c:v>
                </c:pt>
                <c:pt idx="35">
                  <c:v>108284.47531868826</c:v>
                </c:pt>
                <c:pt idx="36">
                  <c:v>103270.25757129745</c:v>
                </c:pt>
                <c:pt idx="37">
                  <c:v>98488.228044279444</c:v>
                </c:pt>
                <c:pt idx="38">
                  <c:v>93927.635036691863</c:v>
                </c:pt>
                <c:pt idx="39">
                  <c:v>89578.224715541757</c:v>
                </c:pt>
                <c:pt idx="40">
                  <c:v>85430.218061526859</c:v>
                </c:pt>
                <c:pt idx="41">
                  <c:v>81474.288882326728</c:v>
                </c:pt>
                <c:pt idx="42">
                  <c:v>77701.542844009804</c:v>
                </c:pt>
                <c:pt idx="43">
                  <c:v>74103.497473411422</c:v>
                </c:pt>
                <c:pt idx="44">
                  <c:v>70672.06308652123</c:v>
                </c:pt>
                <c:pt idx="45">
                  <c:v>67399.524600000077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E57-4D1B-8A6C-E31C7C5DB652}"/>
            </c:ext>
          </c:extLst>
        </c:ser>
        <c:ser>
          <c:idx val="4"/>
          <c:order val="4"/>
          <c:tx>
            <c:strRef>
              <c:f>'18x18x4_ETS75'!$F$22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'18x18x4_ETS75'!$F$23:$F$68</c:f>
              <c:numCache>
                <c:formatCode>#,##0</c:formatCode>
                <c:ptCount val="46"/>
                <c:pt idx="0">
                  <c:v>131263.79399999999</c:v>
                </c:pt>
                <c:pt idx="1">
                  <c:v>126979.057</c:v>
                </c:pt>
                <c:pt idx="2">
                  <c:v>126634.815</c:v>
                </c:pt>
                <c:pt idx="3">
                  <c:v>124129.806</c:v>
                </c:pt>
                <c:pt idx="4">
                  <c:v>111092.554</c:v>
                </c:pt>
                <c:pt idx="5">
                  <c:v>115570.78</c:v>
                </c:pt>
                <c:pt idx="6">
                  <c:v>105582.769</c:v>
                </c:pt>
                <c:pt idx="7">
                  <c:v>103660.84</c:v>
                </c:pt>
                <c:pt idx="8">
                  <c:v>102651.61900000001</c:v>
                </c:pt>
                <c:pt idx="9">
                  <c:v>98937.434598766878</c:v>
                </c:pt>
                <c:pt idx="10">
                  <c:v>95357.638392291425</c:v>
                </c:pt>
                <c:pt idx="11">
                  <c:v>91907.367889932575</c:v>
                </c:pt>
                <c:pt idx="12">
                  <c:v>88581.936537747257</c:v>
                </c:pt>
                <c:pt idx="13">
                  <c:v>85376.827352674154</c:v>
                </c:pt>
                <c:pt idx="14">
                  <c:v>82287.686787048238</c:v>
                </c:pt>
                <c:pt idx="15">
                  <c:v>79310.318815111896</c:v>
                </c:pt>
                <c:pt idx="16">
                  <c:v>76440.679233490533</c:v>
                </c:pt>
                <c:pt idx="17">
                  <c:v>73674.870167890738</c:v>
                </c:pt>
                <c:pt idx="18">
                  <c:v>71009.134778559412</c:v>
                </c:pt>
                <c:pt idx="19">
                  <c:v>68439.852157312242</c:v>
                </c:pt>
                <c:pt idx="20">
                  <c:v>65963.532409200023</c:v>
                </c:pt>
                <c:pt idx="21">
                  <c:v>63576.811912132296</c:v>
                </c:pt>
                <c:pt idx="22">
                  <c:v>61276.448748019175</c:v>
                </c:pt>
                <c:pt idx="23">
                  <c:v>59059.318299225626</c:v>
                </c:pt>
                <c:pt idx="24">
                  <c:v>56922.409004356676</c:v>
                </c:pt>
                <c:pt idx="25">
                  <c:v>54862.818267608585</c:v>
                </c:pt>
                <c:pt idx="26">
                  <c:v>52877.74851612965</c:v>
                </c:pt>
                <c:pt idx="27">
                  <c:v>50964.50340003521</c:v>
                </c:pt>
                <c:pt idx="28">
                  <c:v>49120.484129915334</c:v>
                </c:pt>
                <c:pt idx="29">
                  <c:v>47343.185946860365</c:v>
                </c:pt>
                <c:pt idx="30">
                  <c:v>45630.194720209489</c:v>
                </c:pt>
                <c:pt idx="31">
                  <c:v>43979.18366840102</c:v>
                </c:pt>
                <c:pt idx="32">
                  <c:v>42387.910198470243</c:v>
                </c:pt>
                <c:pt idx="33">
                  <c:v>40854.212859901927</c:v>
                </c:pt>
                <c:pt idx="34">
                  <c:v>39376.008408699789</c:v>
                </c:pt>
                <c:pt idx="35">
                  <c:v>37951.288977685093</c:v>
                </c:pt>
                <c:pt idx="36">
                  <c:v>36578.119349180655</c:v>
                </c:pt>
                <c:pt idx="37">
                  <c:v>35254.634326375795</c:v>
                </c:pt>
                <c:pt idx="38">
                  <c:v>33979.036199801645</c:v>
                </c:pt>
                <c:pt idx="39">
                  <c:v>32749.592305475544</c:v>
                </c:pt>
                <c:pt idx="40">
                  <c:v>31564.632671397663</c:v>
                </c:pt>
                <c:pt idx="41">
                  <c:v>30422.54774920312</c:v>
                </c:pt>
                <c:pt idx="42">
                  <c:v>29321.786227888388</c:v>
                </c:pt>
                <c:pt idx="43">
                  <c:v>28260.852926642398</c:v>
                </c:pt>
                <c:pt idx="44">
                  <c:v>27238.306763920122</c:v>
                </c:pt>
                <c:pt idx="45">
                  <c:v>26252.758799999989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BE57-4D1B-8A6C-E31C7C5DB652}"/>
            </c:ext>
          </c:extLst>
        </c:ser>
        <c:ser>
          <c:idx val="5"/>
          <c:order val="5"/>
          <c:tx>
            <c:strRef>
              <c:f>'18x18x4_ETS75'!$G$22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'18x18x4_ETS75'!$G$23:$G$68</c:f>
              <c:numCache>
                <c:formatCode>#,##0</c:formatCode>
                <c:ptCount val="46"/>
                <c:pt idx="0">
                  <c:v>33373.154999999999</c:v>
                </c:pt>
                <c:pt idx="1">
                  <c:v>32384.371999999999</c:v>
                </c:pt>
                <c:pt idx="2">
                  <c:v>31751.26</c:v>
                </c:pt>
                <c:pt idx="3">
                  <c:v>32078.973999999998</c:v>
                </c:pt>
                <c:pt idx="4">
                  <c:v>27359.832999999999</c:v>
                </c:pt>
                <c:pt idx="5">
                  <c:v>30919.710999999999</c:v>
                </c:pt>
                <c:pt idx="6">
                  <c:v>30599.418000000001</c:v>
                </c:pt>
                <c:pt idx="7">
                  <c:v>28387.06</c:v>
                </c:pt>
                <c:pt idx="8">
                  <c:v>29850.723999999998</c:v>
                </c:pt>
                <c:pt idx="9">
                  <c:v>28666.392421439436</c:v>
                </c:pt>
                <c:pt idx="10">
                  <c:v>27529.049361079495</c:v>
                </c:pt>
                <c:pt idx="11">
                  <c:v>26436.830543000611</c:v>
                </c:pt>
                <c:pt idx="12">
                  <c:v>25387.945656686632</c:v>
                </c:pt>
                <c:pt idx="13">
                  <c:v>24380.675422437256</c:v>
                </c:pt>
                <c:pt idx="14">
                  <c:v>23413.368773210663</c:v>
                </c:pt>
                <c:pt idx="15">
                  <c:v>22484.440148276903</c:v>
                </c:pt>
                <c:pt idx="16">
                  <c:v>21592.36689424597</c:v>
                </c:pt>
                <c:pt idx="17">
                  <c:v>20735.686769210439</c:v>
                </c:pt>
                <c:pt idx="18">
                  <c:v>19912.995545911588</c:v>
                </c:pt>
                <c:pt idx="19">
                  <c:v>19122.94471000024</c:v>
                </c:pt>
                <c:pt idx="20">
                  <c:v>18364.239249619415</c:v>
                </c:pt>
                <c:pt idx="21">
                  <c:v>17635.635532685596</c:v>
                </c:pt>
                <c:pt idx="22">
                  <c:v>16935.939268389149</c:v>
                </c:pt>
                <c:pt idx="23">
                  <c:v>16264.00354957251</c:v>
                </c:pt>
                <c:pt idx="24">
                  <c:v>15618.72697277726</c:v>
                </c:pt>
                <c:pt idx="25">
                  <c:v>14999.051832878618</c:v>
                </c:pt>
                <c:pt idx="26">
                  <c:v>14403.962389348042</c:v>
                </c:pt>
                <c:pt idx="27">
                  <c:v>13832.483201302099</c:v>
                </c:pt>
                <c:pt idx="28">
                  <c:v>13283.677528608512</c:v>
                </c:pt>
                <c:pt idx="29">
                  <c:v>12756.645796428536</c:v>
                </c:pt>
                <c:pt idx="30">
                  <c:v>12250.524120678823</c:v>
                </c:pt>
                <c:pt idx="31">
                  <c:v>11764.4828919958</c:v>
                </c:pt>
                <c:pt idx="32">
                  <c:v>11297.725415881448</c:v>
                </c:pt>
                <c:pt idx="33">
                  <c:v>10849.486606801485</c:v>
                </c:pt>
                <c:pt idx="34">
                  <c:v>10419.031734095386</c:v>
                </c:pt>
                <c:pt idx="35">
                  <c:v>10005.655217642594</c:v>
                </c:pt>
                <c:pt idx="36">
                  <c:v>9608.6794713108338</c:v>
                </c:pt>
                <c:pt idx="37">
                  <c:v>9227.4537922907857</c:v>
                </c:pt>
                <c:pt idx="38">
                  <c:v>8861.3532944965482</c:v>
                </c:pt>
                <c:pt idx="39">
                  <c:v>8509.7778842835851</c:v>
                </c:pt>
                <c:pt idx="40">
                  <c:v>8172.1512768052089</c:v>
                </c:pt>
                <c:pt idx="41">
                  <c:v>7847.920051395251</c:v>
                </c:pt>
                <c:pt idx="42">
                  <c:v>7536.5527444285581</c:v>
                </c:pt>
                <c:pt idx="43">
                  <c:v>7237.5389781723688</c:v>
                </c:pt>
                <c:pt idx="44">
                  <c:v>6950.3886242006365</c:v>
                </c:pt>
                <c:pt idx="45">
                  <c:v>6674.6310000000003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BE57-4D1B-8A6C-E31C7C5DB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7507344"/>
        <c:axId val="317507904"/>
      </c:lineChart>
      <c:catAx>
        <c:axId val="317507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7507904"/>
        <c:crosses val="autoZero"/>
        <c:auto val="1"/>
        <c:lblAlgn val="ctr"/>
        <c:lblOffset val="100"/>
        <c:noMultiLvlLbl val="0"/>
      </c:catAx>
      <c:valAx>
        <c:axId val="31750790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317507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'18x18x4_ETS75'!$J$22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'18x18x4_ETS75'!$J$23:$J$68</c:f>
              <c:numCache>
                <c:formatCode>#,##0</c:formatCode>
                <c:ptCount val="46"/>
                <c:pt idx="0">
                  <c:v>504309.55000000005</c:v>
                </c:pt>
                <c:pt idx="1">
                  <c:v>527441.49399999995</c:v>
                </c:pt>
                <c:pt idx="2">
                  <c:v>528231.54800000007</c:v>
                </c:pt>
                <c:pt idx="3">
                  <c:v>531692.59400000004</c:v>
                </c:pt>
                <c:pt idx="4">
                  <c:v>474536.52100000012</c:v>
                </c:pt>
                <c:pt idx="5">
                  <c:v>505176.60700000002</c:v>
                </c:pt>
                <c:pt idx="6">
                  <c:v>464602.75200000004</c:v>
                </c:pt>
                <c:pt idx="7">
                  <c:v>457432.42300000001</c:v>
                </c:pt>
                <c:pt idx="8">
                  <c:v>474328.33900000015</c:v>
                </c:pt>
                <c:pt idx="9">
                  <c:v>464234.6517297299</c:v>
                </c:pt>
                <c:pt idx="10">
                  <c:v>454140.96445945965</c:v>
                </c:pt>
                <c:pt idx="11">
                  <c:v>444047.27718918939</c:v>
                </c:pt>
                <c:pt idx="12">
                  <c:v>433953.58991891914</c:v>
                </c:pt>
                <c:pt idx="13">
                  <c:v>423859.90264864889</c:v>
                </c:pt>
                <c:pt idx="14">
                  <c:v>413766.21537837863</c:v>
                </c:pt>
                <c:pt idx="15">
                  <c:v>403672.52810810838</c:v>
                </c:pt>
                <c:pt idx="16">
                  <c:v>393578.84083783813</c:v>
                </c:pt>
                <c:pt idx="17">
                  <c:v>383485.15356756788</c:v>
                </c:pt>
                <c:pt idx="18">
                  <c:v>373391.46629729762</c:v>
                </c:pt>
                <c:pt idx="19">
                  <c:v>363297.77902702737</c:v>
                </c:pt>
                <c:pt idx="20">
                  <c:v>353204.09175675712</c:v>
                </c:pt>
                <c:pt idx="21">
                  <c:v>343110.40448648686</c:v>
                </c:pt>
                <c:pt idx="22">
                  <c:v>333016.71721621661</c:v>
                </c:pt>
                <c:pt idx="23">
                  <c:v>322923.02994594636</c:v>
                </c:pt>
                <c:pt idx="24">
                  <c:v>312829.3426756761</c:v>
                </c:pt>
                <c:pt idx="25">
                  <c:v>302735.65540540585</c:v>
                </c:pt>
                <c:pt idx="26">
                  <c:v>292641.9681351356</c:v>
                </c:pt>
                <c:pt idx="27">
                  <c:v>282548.28086486534</c:v>
                </c:pt>
                <c:pt idx="28">
                  <c:v>272454.59359459509</c:v>
                </c:pt>
                <c:pt idx="29">
                  <c:v>262360.90632432484</c:v>
                </c:pt>
                <c:pt idx="30">
                  <c:v>252267.21905405456</c:v>
                </c:pt>
                <c:pt idx="31">
                  <c:v>242173.53178378427</c:v>
                </c:pt>
                <c:pt idx="32">
                  <c:v>232079.84451351399</c:v>
                </c:pt>
                <c:pt idx="33">
                  <c:v>221986.15724324371</c:v>
                </c:pt>
                <c:pt idx="34">
                  <c:v>211892.46997297343</c:v>
                </c:pt>
                <c:pt idx="35">
                  <c:v>201798.78270270315</c:v>
                </c:pt>
                <c:pt idx="36">
                  <c:v>191705.09543243286</c:v>
                </c:pt>
                <c:pt idx="37">
                  <c:v>181611.40816216258</c:v>
                </c:pt>
                <c:pt idx="38">
                  <c:v>171517.7208918923</c:v>
                </c:pt>
                <c:pt idx="39">
                  <c:v>161424.03362162202</c:v>
                </c:pt>
                <c:pt idx="40">
                  <c:v>151330.34635135173</c:v>
                </c:pt>
                <c:pt idx="41">
                  <c:v>141236.65908108145</c:v>
                </c:pt>
                <c:pt idx="42">
                  <c:v>131142.97181081117</c:v>
                </c:pt>
                <c:pt idx="43">
                  <c:v>121049.2845405409</c:v>
                </c:pt>
                <c:pt idx="44">
                  <c:v>110955.59727027063</c:v>
                </c:pt>
                <c:pt idx="45">
                  <c:v>100861.91000000037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6AC-4BF5-8DA2-AB488388A331}"/>
            </c:ext>
          </c:extLst>
        </c:ser>
        <c:ser>
          <c:idx val="1"/>
          <c:order val="1"/>
          <c:tx>
            <c:strRef>
              <c:f>'18x18x4_ETS75'!$K$22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'18x18x4_ETS75'!$K$23:$K$68</c:f>
              <c:numCache>
                <c:formatCode>#,##0</c:formatCode>
                <c:ptCount val="46"/>
                <c:pt idx="0">
                  <c:v>475051.53499999997</c:v>
                </c:pt>
                <c:pt idx="1">
                  <c:v>478074.86800000002</c:v>
                </c:pt>
                <c:pt idx="2">
                  <c:v>487148.43199999997</c:v>
                </c:pt>
                <c:pt idx="3">
                  <c:v>472853.53399999999</c:v>
                </c:pt>
                <c:pt idx="4">
                  <c:v>428294.50199999998</c:v>
                </c:pt>
                <c:pt idx="5">
                  <c:v>454864.59899999999</c:v>
                </c:pt>
                <c:pt idx="6">
                  <c:v>450333.239</c:v>
                </c:pt>
                <c:pt idx="7">
                  <c:v>452585.88</c:v>
                </c:pt>
                <c:pt idx="8">
                  <c:v>480936.56</c:v>
                </c:pt>
                <c:pt idx="9">
                  <c:v>470506.12072972971</c:v>
                </c:pt>
                <c:pt idx="10">
                  <c:v>460075.68145945942</c:v>
                </c:pt>
                <c:pt idx="11">
                  <c:v>449645.24218918913</c:v>
                </c:pt>
                <c:pt idx="12">
                  <c:v>439214.80291891884</c:v>
                </c:pt>
                <c:pt idx="13">
                  <c:v>428784.36364864855</c:v>
                </c:pt>
                <c:pt idx="14">
                  <c:v>418353.92437837826</c:v>
                </c:pt>
                <c:pt idx="15">
                  <c:v>407923.48510810797</c:v>
                </c:pt>
                <c:pt idx="16">
                  <c:v>397493.04583783768</c:v>
                </c:pt>
                <c:pt idx="17">
                  <c:v>387062.60656756739</c:v>
                </c:pt>
                <c:pt idx="18">
                  <c:v>376632.1672972971</c:v>
                </c:pt>
                <c:pt idx="19">
                  <c:v>366201.72802702681</c:v>
                </c:pt>
                <c:pt idx="20">
                  <c:v>355771.28875675652</c:v>
                </c:pt>
                <c:pt idx="21">
                  <c:v>345340.84948648623</c:v>
                </c:pt>
                <c:pt idx="22">
                  <c:v>334910.41021621594</c:v>
                </c:pt>
                <c:pt idx="23">
                  <c:v>324479.97094594565</c:v>
                </c:pt>
                <c:pt idx="24">
                  <c:v>314049.53167567536</c:v>
                </c:pt>
                <c:pt idx="25">
                  <c:v>303619.09240540507</c:v>
                </c:pt>
                <c:pt idx="26">
                  <c:v>293188.65313513478</c:v>
                </c:pt>
                <c:pt idx="27">
                  <c:v>282758.21386486449</c:v>
                </c:pt>
                <c:pt idx="28">
                  <c:v>272327.7745945942</c:v>
                </c:pt>
                <c:pt idx="29">
                  <c:v>261897.33532432394</c:v>
                </c:pt>
                <c:pt idx="30">
                  <c:v>251466.89605405368</c:v>
                </c:pt>
                <c:pt idx="31">
                  <c:v>241036.45678378342</c:v>
                </c:pt>
                <c:pt idx="32">
                  <c:v>230606.01751351316</c:v>
                </c:pt>
                <c:pt idx="33">
                  <c:v>220175.5782432429</c:v>
                </c:pt>
                <c:pt idx="34">
                  <c:v>209745.13897297264</c:v>
                </c:pt>
                <c:pt idx="35">
                  <c:v>199314.69970270238</c:v>
                </c:pt>
                <c:pt idx="36">
                  <c:v>188884.26043243211</c:v>
                </c:pt>
                <c:pt idx="37">
                  <c:v>178453.82116216185</c:v>
                </c:pt>
                <c:pt idx="38">
                  <c:v>168023.38189189159</c:v>
                </c:pt>
                <c:pt idx="39">
                  <c:v>157592.94262162133</c:v>
                </c:pt>
                <c:pt idx="40">
                  <c:v>147162.50335135107</c:v>
                </c:pt>
                <c:pt idx="41">
                  <c:v>136732.06408108081</c:v>
                </c:pt>
                <c:pt idx="42">
                  <c:v>126301.62481081054</c:v>
                </c:pt>
                <c:pt idx="43">
                  <c:v>115871.18554054026</c:v>
                </c:pt>
                <c:pt idx="44">
                  <c:v>105440.74627026998</c:v>
                </c:pt>
                <c:pt idx="45">
                  <c:v>95010.30699999971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6AC-4BF5-8DA2-AB488388A331}"/>
            </c:ext>
          </c:extLst>
        </c:ser>
        <c:ser>
          <c:idx val="2"/>
          <c:order val="2"/>
          <c:tx>
            <c:strRef>
              <c:f>'18x18x4_ETS75'!$L$22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'18x18x4_ETS75'!$L$23:$L$68</c:f>
              <c:numCache>
                <c:formatCode>#,##0</c:formatCode>
                <c:ptCount val="46"/>
                <c:pt idx="0">
                  <c:v>533081.04099999985</c:v>
                </c:pt>
                <c:pt idx="1">
                  <c:v>526278.69800000009</c:v>
                </c:pt>
                <c:pt idx="2">
                  <c:v>533365.89</c:v>
                </c:pt>
                <c:pt idx="3">
                  <c:v>500359.50599999999</c:v>
                </c:pt>
                <c:pt idx="4">
                  <c:v>429066.66900000005</c:v>
                </c:pt>
                <c:pt idx="5">
                  <c:v>412144.58799999999</c:v>
                </c:pt>
                <c:pt idx="6">
                  <c:v>421024.12</c:v>
                </c:pt>
                <c:pt idx="7">
                  <c:v>415446.70199999999</c:v>
                </c:pt>
                <c:pt idx="8">
                  <c:v>392087.81000000006</c:v>
                </c:pt>
                <c:pt idx="9">
                  <c:v>384372.36130270275</c:v>
                </c:pt>
                <c:pt idx="10">
                  <c:v>376656.91260540544</c:v>
                </c:pt>
                <c:pt idx="11">
                  <c:v>368941.46390810813</c:v>
                </c:pt>
                <c:pt idx="12">
                  <c:v>361226.01521081082</c:v>
                </c:pt>
                <c:pt idx="13">
                  <c:v>353510.56651351351</c:v>
                </c:pt>
                <c:pt idx="14">
                  <c:v>345795.1178162162</c:v>
                </c:pt>
                <c:pt idx="15">
                  <c:v>338079.66911891889</c:v>
                </c:pt>
                <c:pt idx="16">
                  <c:v>330364.22042162158</c:v>
                </c:pt>
                <c:pt idx="17">
                  <c:v>322648.77172432427</c:v>
                </c:pt>
                <c:pt idx="18">
                  <c:v>314933.32302702696</c:v>
                </c:pt>
                <c:pt idx="19">
                  <c:v>307217.87432972965</c:v>
                </c:pt>
                <c:pt idx="20">
                  <c:v>299502.42563243234</c:v>
                </c:pt>
                <c:pt idx="21">
                  <c:v>291786.97693513503</c:v>
                </c:pt>
                <c:pt idx="22">
                  <c:v>284071.52823783772</c:v>
                </c:pt>
                <c:pt idx="23">
                  <c:v>276356.07954054041</c:v>
                </c:pt>
                <c:pt idx="24">
                  <c:v>268640.6308432431</c:v>
                </c:pt>
                <c:pt idx="25">
                  <c:v>260925.18214594579</c:v>
                </c:pt>
                <c:pt idx="26">
                  <c:v>253209.73344864848</c:v>
                </c:pt>
                <c:pt idx="27">
                  <c:v>245494.28475135117</c:v>
                </c:pt>
                <c:pt idx="28">
                  <c:v>237778.83605405386</c:v>
                </c:pt>
                <c:pt idx="29">
                  <c:v>230063.38735675655</c:v>
                </c:pt>
                <c:pt idx="30">
                  <c:v>222347.93865945924</c:v>
                </c:pt>
                <c:pt idx="31">
                  <c:v>214632.48996216193</c:v>
                </c:pt>
                <c:pt idx="32">
                  <c:v>206917.04126486462</c:v>
                </c:pt>
                <c:pt idx="33">
                  <c:v>199201.59256756731</c:v>
                </c:pt>
                <c:pt idx="34">
                  <c:v>191486.14387027</c:v>
                </c:pt>
                <c:pt idx="35">
                  <c:v>183770.69517297269</c:v>
                </c:pt>
                <c:pt idx="36">
                  <c:v>176055.24647567538</c:v>
                </c:pt>
                <c:pt idx="37">
                  <c:v>168339.79777837807</c:v>
                </c:pt>
                <c:pt idx="38">
                  <c:v>160624.34908108076</c:v>
                </c:pt>
                <c:pt idx="39">
                  <c:v>152908.90038378345</c:v>
                </c:pt>
                <c:pt idx="40">
                  <c:v>145193.45168648614</c:v>
                </c:pt>
                <c:pt idx="41">
                  <c:v>137478.00298918883</c:v>
                </c:pt>
                <c:pt idx="42">
                  <c:v>129762.55429189153</c:v>
                </c:pt>
                <c:pt idx="43">
                  <c:v>122047.10559459424</c:v>
                </c:pt>
                <c:pt idx="44">
                  <c:v>114331.65689729694</c:v>
                </c:pt>
                <c:pt idx="45">
                  <c:v>106616.20819999964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6AC-4BF5-8DA2-AB488388A331}"/>
            </c:ext>
          </c:extLst>
        </c:ser>
        <c:ser>
          <c:idx val="3"/>
          <c:order val="3"/>
          <c:tx>
            <c:strRef>
              <c:f>'18x18x4_ETS75'!$M$22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'18x18x4_ETS75'!$M$23:$M$68</c:f>
              <c:numCache>
                <c:formatCode>#,##0</c:formatCode>
                <c:ptCount val="46"/>
                <c:pt idx="0">
                  <c:v>336997.62300000002</c:v>
                </c:pt>
                <c:pt idx="1">
                  <c:v>344630.40100000001</c:v>
                </c:pt>
                <c:pt idx="2">
                  <c:v>457600.49599999998</c:v>
                </c:pt>
                <c:pt idx="3">
                  <c:v>439199.712</c:v>
                </c:pt>
                <c:pt idx="4">
                  <c:v>390031.79599999997</c:v>
                </c:pt>
                <c:pt idx="5">
                  <c:v>400870.81</c:v>
                </c:pt>
                <c:pt idx="6">
                  <c:v>413142.54300000001</c:v>
                </c:pt>
                <c:pt idx="7">
                  <c:v>391055.97699999996</c:v>
                </c:pt>
                <c:pt idx="8">
                  <c:v>389512.57</c:v>
                </c:pt>
                <c:pt idx="9">
                  <c:v>380806.81201621622</c:v>
                </c:pt>
                <c:pt idx="10">
                  <c:v>372101.05403243244</c:v>
                </c:pt>
                <c:pt idx="11">
                  <c:v>363395.29604864866</c:v>
                </c:pt>
                <c:pt idx="12">
                  <c:v>354689.53806486487</c:v>
                </c:pt>
                <c:pt idx="13">
                  <c:v>345983.78008108109</c:v>
                </c:pt>
                <c:pt idx="14">
                  <c:v>337278.0220972973</c:v>
                </c:pt>
                <c:pt idx="15">
                  <c:v>328572.26411351352</c:v>
                </c:pt>
                <c:pt idx="16">
                  <c:v>319866.50612972974</c:v>
                </c:pt>
                <c:pt idx="17">
                  <c:v>311160.74814594595</c:v>
                </c:pt>
                <c:pt idx="18">
                  <c:v>302454.99016216217</c:v>
                </c:pt>
                <c:pt idx="19">
                  <c:v>293749.23217837838</c:v>
                </c:pt>
                <c:pt idx="20">
                  <c:v>285043.4741945946</c:v>
                </c:pt>
                <c:pt idx="21">
                  <c:v>276337.71621081082</c:v>
                </c:pt>
                <c:pt idx="22">
                  <c:v>267631.95822702703</c:v>
                </c:pt>
                <c:pt idx="23">
                  <c:v>258926.20024324325</c:v>
                </c:pt>
                <c:pt idx="24">
                  <c:v>250220.44225945947</c:v>
                </c:pt>
                <c:pt idx="25">
                  <c:v>241514.68427567568</c:v>
                </c:pt>
                <c:pt idx="26">
                  <c:v>232808.9262918919</c:v>
                </c:pt>
                <c:pt idx="27">
                  <c:v>224103.16830810811</c:v>
                </c:pt>
                <c:pt idx="28">
                  <c:v>215397.41032432433</c:v>
                </c:pt>
                <c:pt idx="29">
                  <c:v>206691.65234054055</c:v>
                </c:pt>
                <c:pt idx="30">
                  <c:v>197985.89435675676</c:v>
                </c:pt>
                <c:pt idx="31">
                  <c:v>189280.13637297298</c:v>
                </c:pt>
                <c:pt idx="32">
                  <c:v>180574.37838918919</c:v>
                </c:pt>
                <c:pt idx="33">
                  <c:v>171868.62040540541</c:v>
                </c:pt>
                <c:pt idx="34">
                  <c:v>163162.86242162163</c:v>
                </c:pt>
                <c:pt idx="35">
                  <c:v>154457.10443783784</c:v>
                </c:pt>
                <c:pt idx="36">
                  <c:v>145751.34645405406</c:v>
                </c:pt>
                <c:pt idx="37">
                  <c:v>137045.58847027028</c:v>
                </c:pt>
                <c:pt idx="38">
                  <c:v>128339.83048648649</c:v>
                </c:pt>
                <c:pt idx="39">
                  <c:v>119634.07250270271</c:v>
                </c:pt>
                <c:pt idx="40">
                  <c:v>110928.31451891892</c:v>
                </c:pt>
                <c:pt idx="41">
                  <c:v>102222.55653513514</c:v>
                </c:pt>
                <c:pt idx="42">
                  <c:v>93516.798551351356</c:v>
                </c:pt>
                <c:pt idx="43">
                  <c:v>84811.040567567572</c:v>
                </c:pt>
                <c:pt idx="44">
                  <c:v>76105.282583783788</c:v>
                </c:pt>
                <c:pt idx="45">
                  <c:v>67399.524600000004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6AC-4BF5-8DA2-AB488388A331}"/>
            </c:ext>
          </c:extLst>
        </c:ser>
        <c:ser>
          <c:idx val="4"/>
          <c:order val="4"/>
          <c:tx>
            <c:strRef>
              <c:f>'18x18x4_ETS75'!$N$22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'18x18x4_ETS75'!$N$23:$N$68</c:f>
              <c:numCache>
                <c:formatCode>#,##0</c:formatCode>
                <c:ptCount val="46"/>
                <c:pt idx="0">
                  <c:v>131263.79399999999</c:v>
                </c:pt>
                <c:pt idx="1">
                  <c:v>126979.057</c:v>
                </c:pt>
                <c:pt idx="2">
                  <c:v>126634.815</c:v>
                </c:pt>
                <c:pt idx="3">
                  <c:v>124129.806</c:v>
                </c:pt>
                <c:pt idx="4">
                  <c:v>111092.554</c:v>
                </c:pt>
                <c:pt idx="5">
                  <c:v>115570.78</c:v>
                </c:pt>
                <c:pt idx="6">
                  <c:v>105582.769</c:v>
                </c:pt>
                <c:pt idx="7">
                  <c:v>103660.84</c:v>
                </c:pt>
                <c:pt idx="8">
                  <c:v>102651.61900000001</c:v>
                </c:pt>
                <c:pt idx="9">
                  <c:v>100586.78494054054</c:v>
                </c:pt>
                <c:pt idx="10">
                  <c:v>98521.95088108108</c:v>
                </c:pt>
                <c:pt idx="11">
                  <c:v>96457.116821621617</c:v>
                </c:pt>
                <c:pt idx="12">
                  <c:v>94392.282762162155</c:v>
                </c:pt>
                <c:pt idx="13">
                  <c:v>92327.448702702692</c:v>
                </c:pt>
                <c:pt idx="14">
                  <c:v>90262.614643243229</c:v>
                </c:pt>
                <c:pt idx="15">
                  <c:v>88197.780583783766</c:v>
                </c:pt>
                <c:pt idx="16">
                  <c:v>86132.946524324303</c:v>
                </c:pt>
                <c:pt idx="17">
                  <c:v>84068.11246486484</c:v>
                </c:pt>
                <c:pt idx="18">
                  <c:v>82003.278405405377</c:v>
                </c:pt>
                <c:pt idx="19">
                  <c:v>79938.444345945914</c:v>
                </c:pt>
                <c:pt idx="20">
                  <c:v>77873.610286486452</c:v>
                </c:pt>
                <c:pt idx="21">
                  <c:v>75808.776227026989</c:v>
                </c:pt>
                <c:pt idx="22">
                  <c:v>73743.942167567526</c:v>
                </c:pt>
                <c:pt idx="23">
                  <c:v>71679.108108108063</c:v>
                </c:pt>
                <c:pt idx="24">
                  <c:v>69614.2740486486</c:v>
                </c:pt>
                <c:pt idx="25">
                  <c:v>67549.439989189137</c:v>
                </c:pt>
                <c:pt idx="26">
                  <c:v>65484.605929729674</c:v>
                </c:pt>
                <c:pt idx="27">
                  <c:v>63419.771870270211</c:v>
                </c:pt>
                <c:pt idx="28">
                  <c:v>61354.937810810748</c:v>
                </c:pt>
                <c:pt idx="29">
                  <c:v>59290.103751351286</c:v>
                </c:pt>
                <c:pt idx="30">
                  <c:v>57225.269691891823</c:v>
                </c:pt>
                <c:pt idx="31">
                  <c:v>55160.43563243236</c:v>
                </c:pt>
                <c:pt idx="32">
                  <c:v>53095.601572972897</c:v>
                </c:pt>
                <c:pt idx="33">
                  <c:v>51030.767513513434</c:v>
                </c:pt>
                <c:pt idx="34">
                  <c:v>48965.933454053971</c:v>
                </c:pt>
                <c:pt idx="35">
                  <c:v>46901.099394594508</c:v>
                </c:pt>
                <c:pt idx="36">
                  <c:v>44836.265335135045</c:v>
                </c:pt>
                <c:pt idx="37">
                  <c:v>42771.431275675583</c:v>
                </c:pt>
                <c:pt idx="38">
                  <c:v>40706.59721621612</c:v>
                </c:pt>
                <c:pt idx="39">
                  <c:v>38641.763156756657</c:v>
                </c:pt>
                <c:pt idx="40">
                  <c:v>36576.929097297194</c:v>
                </c:pt>
                <c:pt idx="41">
                  <c:v>34512.095037837731</c:v>
                </c:pt>
                <c:pt idx="42">
                  <c:v>32447.260978378272</c:v>
                </c:pt>
                <c:pt idx="43">
                  <c:v>30382.426918918813</c:v>
                </c:pt>
                <c:pt idx="44">
                  <c:v>28317.592859459353</c:v>
                </c:pt>
                <c:pt idx="45">
                  <c:v>26252.758799999894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26AC-4BF5-8DA2-AB488388A331}"/>
            </c:ext>
          </c:extLst>
        </c:ser>
        <c:ser>
          <c:idx val="5"/>
          <c:order val="5"/>
          <c:tx>
            <c:strRef>
              <c:f>'18x18x4_ETS75'!$O$22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'18x18x4_ETS75'!$O$23:$O$68</c:f>
              <c:numCache>
                <c:formatCode>#,##0</c:formatCode>
                <c:ptCount val="46"/>
                <c:pt idx="0">
                  <c:v>33373.154999999999</c:v>
                </c:pt>
                <c:pt idx="1">
                  <c:v>32384.371999999999</c:v>
                </c:pt>
                <c:pt idx="2">
                  <c:v>31751.26</c:v>
                </c:pt>
                <c:pt idx="3">
                  <c:v>32078.973999999998</c:v>
                </c:pt>
                <c:pt idx="4">
                  <c:v>27359.832999999999</c:v>
                </c:pt>
                <c:pt idx="5">
                  <c:v>30919.710999999999</c:v>
                </c:pt>
                <c:pt idx="6">
                  <c:v>30599.418000000001</c:v>
                </c:pt>
                <c:pt idx="7">
                  <c:v>28387.06</c:v>
                </c:pt>
                <c:pt idx="8">
                  <c:v>29850.723999999998</c:v>
                </c:pt>
                <c:pt idx="9">
                  <c:v>29224.343108108107</c:v>
                </c:pt>
                <c:pt idx="10">
                  <c:v>28597.962216216216</c:v>
                </c:pt>
                <c:pt idx="11">
                  <c:v>27971.581324324325</c:v>
                </c:pt>
                <c:pt idx="12">
                  <c:v>27345.200432432433</c:v>
                </c:pt>
                <c:pt idx="13">
                  <c:v>26718.819540540542</c:v>
                </c:pt>
                <c:pt idx="14">
                  <c:v>26092.438648648651</c:v>
                </c:pt>
                <c:pt idx="15">
                  <c:v>25466.05775675676</c:v>
                </c:pt>
                <c:pt idx="16">
                  <c:v>24839.676864864869</c:v>
                </c:pt>
                <c:pt idx="17">
                  <c:v>24213.295972972977</c:v>
                </c:pt>
                <c:pt idx="18">
                  <c:v>23586.915081081086</c:v>
                </c:pt>
                <c:pt idx="19">
                  <c:v>22960.534189189195</c:v>
                </c:pt>
                <c:pt idx="20">
                  <c:v>22334.153297297304</c:v>
                </c:pt>
                <c:pt idx="21">
                  <c:v>21707.772405405412</c:v>
                </c:pt>
                <c:pt idx="22">
                  <c:v>21081.391513513521</c:v>
                </c:pt>
                <c:pt idx="23">
                  <c:v>20455.01062162163</c:v>
                </c:pt>
                <c:pt idx="24">
                  <c:v>19828.629729729739</c:v>
                </c:pt>
                <c:pt idx="25">
                  <c:v>19202.248837837848</c:v>
                </c:pt>
                <c:pt idx="26">
                  <c:v>18575.867945945956</c:v>
                </c:pt>
                <c:pt idx="27">
                  <c:v>17949.487054054065</c:v>
                </c:pt>
                <c:pt idx="28">
                  <c:v>17323.106162162174</c:v>
                </c:pt>
                <c:pt idx="29">
                  <c:v>16696.725270270283</c:v>
                </c:pt>
                <c:pt idx="30">
                  <c:v>16070.344378378391</c:v>
                </c:pt>
                <c:pt idx="31">
                  <c:v>15443.9634864865</c:v>
                </c:pt>
                <c:pt idx="32">
                  <c:v>14817.582594594609</c:v>
                </c:pt>
                <c:pt idx="33">
                  <c:v>14191.201702702718</c:v>
                </c:pt>
                <c:pt idx="34">
                  <c:v>13564.820810810827</c:v>
                </c:pt>
                <c:pt idx="35">
                  <c:v>12938.439918918935</c:v>
                </c:pt>
                <c:pt idx="36">
                  <c:v>12312.059027027044</c:v>
                </c:pt>
                <c:pt idx="37">
                  <c:v>11685.678135135153</c:v>
                </c:pt>
                <c:pt idx="38">
                  <c:v>11059.297243243262</c:v>
                </c:pt>
                <c:pt idx="39">
                  <c:v>10432.91635135137</c:v>
                </c:pt>
                <c:pt idx="40">
                  <c:v>9806.5354594594792</c:v>
                </c:pt>
                <c:pt idx="41">
                  <c:v>9180.1545675675879</c:v>
                </c:pt>
                <c:pt idx="42">
                  <c:v>8553.7736756756967</c:v>
                </c:pt>
                <c:pt idx="43">
                  <c:v>7927.3927837838046</c:v>
                </c:pt>
                <c:pt idx="44">
                  <c:v>7301.0118918919125</c:v>
                </c:pt>
                <c:pt idx="45">
                  <c:v>6674.6310000000203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26AC-4BF5-8DA2-AB488388A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892128"/>
        <c:axId val="363892688"/>
      </c:lineChart>
      <c:catAx>
        <c:axId val="363892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3892688"/>
        <c:crosses val="autoZero"/>
        <c:auto val="1"/>
        <c:lblAlgn val="ctr"/>
        <c:lblOffset val="100"/>
        <c:noMultiLvlLbl val="0"/>
      </c:catAx>
      <c:valAx>
        <c:axId val="36389268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3638921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'18x18x4_ETS75'!$R$22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'18x18x4_ETS75'!$R$23:$R$68</c:f>
              <c:numCache>
                <c:formatCode>0.0</c:formatCode>
                <c:ptCount val="46"/>
                <c:pt idx="0">
                  <c:v>100</c:v>
                </c:pt>
                <c:pt idx="1">
                  <c:v>104.58685424458052</c:v>
                </c:pt>
                <c:pt idx="2">
                  <c:v>104.74351477183012</c:v>
                </c:pt>
                <c:pt idx="3">
                  <c:v>105.42980873552762</c:v>
                </c:pt>
                <c:pt idx="4">
                  <c:v>94.096278961998664</c:v>
                </c:pt>
                <c:pt idx="5">
                  <c:v>100.17192952225473</c:v>
                </c:pt>
                <c:pt idx="6">
                  <c:v>92.126502859206212</c:v>
                </c:pt>
                <c:pt idx="7">
                  <c:v>90.704691790984313</c:v>
                </c:pt>
                <c:pt idx="8">
                  <c:v>94.054998363604284</c:v>
                </c:pt>
                <c:pt idx="9">
                  <c:v>90.200762259768325</c:v>
                </c:pt>
                <c:pt idx="10">
                  <c:v>86.50446710753053</c:v>
                </c:pt>
                <c:pt idx="11">
                  <c:v>82.959640717974708</c:v>
                </c:pt>
                <c:pt idx="12">
                  <c:v>79.560076123008898</c:v>
                </c:pt>
                <c:pt idx="13">
                  <c:v>76.299820707004358</c:v>
                </c:pt>
                <c:pt idx="14">
                  <c:v>73.17316578380418</c:v>
                </c:pt>
                <c:pt idx="15">
                  <c:v>70.174636600850675</c:v>
                </c:pt>
                <c:pt idx="16">
                  <c:v>67.298982752928978</c:v>
                </c:pt>
                <c:pt idx="17">
                  <c:v>64.541168988741575</c:v>
                </c:pt>
                <c:pt idx="18">
                  <c:v>61.896366394215718</c:v>
                </c:pt>
                <c:pt idx="19">
                  <c:v>59.359943937106195</c:v>
                </c:pt>
                <c:pt idx="20">
                  <c:v>56.927460358087757</c:v>
                </c:pt>
                <c:pt idx="21">
                  <c:v>54.594656394138767</c:v>
                </c:pt>
                <c:pt idx="22">
                  <c:v>52.357447320599157</c:v>
                </c:pt>
                <c:pt idx="23">
                  <c:v>50.211915798843997</c:v>
                </c:pt>
                <c:pt idx="24">
                  <c:v>48.154305017048863</c:v>
                </c:pt>
                <c:pt idx="25">
                  <c:v>46.181012112036619</c:v>
                </c:pt>
                <c:pt idx="26">
                  <c:v>44.28858186068728</c:v>
                </c:pt>
                <c:pt idx="27">
                  <c:v>42.473700629864688</c:v>
                </c:pt>
                <c:pt idx="28">
                  <c:v>40.733190574266281</c:v>
                </c:pt>
                <c:pt idx="29">
                  <c:v>39.064004072036553</c:v>
                </c:pt>
                <c:pt idx="30">
                  <c:v>37.46321838840084</c:v>
                </c:pt>
                <c:pt idx="31">
                  <c:v>35.928030557975653</c:v>
                </c:pt>
                <c:pt idx="32">
                  <c:v>34.455752476794423</c:v>
                </c:pt>
                <c:pt idx="33">
                  <c:v>33.043806195454792</c:v>
                </c:pt>
                <c:pt idx="34">
                  <c:v>31.689719405145912</c:v>
                </c:pt>
                <c:pt idx="35">
                  <c:v>30.391121108651681</c:v>
                </c:pt>
                <c:pt idx="36">
                  <c:v>29.145737468749957</c:v>
                </c:pt>
                <c:pt idx="37">
                  <c:v>27.951387826738273</c:v>
                </c:pt>
                <c:pt idx="38">
                  <c:v>26.80598088411454</c:v>
                </c:pt>
                <c:pt idx="39">
                  <c:v>25.707511040726921</c:v>
                </c:pt>
                <c:pt idx="40">
                  <c:v>24.654054882980901</c:v>
                </c:pt>
                <c:pt idx="41">
                  <c:v>23.643767815954504</c:v>
                </c:pt>
                <c:pt idx="42">
                  <c:v>22.674880833524554</c:v>
                </c:pt>
                <c:pt idx="43">
                  <c:v>21.745697420848352</c:v>
                </c:pt>
                <c:pt idx="44">
                  <c:v>20.854590583777174</c:v>
                </c:pt>
                <c:pt idx="45">
                  <c:v>20.000000000000025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75B-4D99-B3D0-53AF95E72649}"/>
            </c:ext>
          </c:extLst>
        </c:ser>
        <c:ser>
          <c:idx val="1"/>
          <c:order val="1"/>
          <c:tx>
            <c:strRef>
              <c:f>'18x18x4_ETS75'!$S$22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'18x18x4_ETS75'!$S$23:$S$68</c:f>
              <c:numCache>
                <c:formatCode>0.0</c:formatCode>
                <c:ptCount val="46"/>
                <c:pt idx="0">
                  <c:v>100</c:v>
                </c:pt>
                <c:pt idx="1">
                  <c:v>100.63642210944546</c:v>
                </c:pt>
                <c:pt idx="2">
                  <c:v>102.54643888267827</c:v>
                </c:pt>
                <c:pt idx="3">
                  <c:v>99.537313146456839</c:v>
                </c:pt>
                <c:pt idx="4">
                  <c:v>90.157481966667049</c:v>
                </c:pt>
                <c:pt idx="5">
                  <c:v>95.750579776570973</c:v>
                </c:pt>
                <c:pt idx="6">
                  <c:v>94.796712739808328</c:v>
                </c:pt>
                <c:pt idx="7">
                  <c:v>95.270901503349535</c:v>
                </c:pt>
                <c:pt idx="8">
                  <c:v>101.2388182263215</c:v>
                </c:pt>
                <c:pt idx="9">
                  <c:v>96.897254177295792</c:v>
                </c:pt>
                <c:pt idx="10">
                  <c:v>92.741875414922262</c:v>
                </c:pt>
                <c:pt idx="11">
                  <c:v>88.764697498438451</c:v>
                </c:pt>
                <c:pt idx="12">
                  <c:v>84.958078394881326</c:v>
                </c:pt>
                <c:pt idx="13">
                  <c:v>81.314703795140858</c:v>
                </c:pt>
                <c:pt idx="14">
                  <c:v>77.827573059725282</c:v>
                </c:pt>
                <c:pt idx="15">
                  <c:v>74.489985767233833</c:v>
                </c:pt>
                <c:pt idx="16">
                  <c:v>71.295528839689666</c:v>
                </c:pt>
                <c:pt idx="17">
                  <c:v>68.238064219995053</c:v>
                </c:pt>
                <c:pt idx="18">
                  <c:v>65.311717077831261</c:v>
                </c:pt>
                <c:pt idx="19">
                  <c:v>62.510864521340949</c:v>
                </c:pt>
                <c:pt idx="20">
                  <c:v>59.830124792903383</c:v>
                </c:pt>
                <c:pt idx="21">
                  <c:v>57.264346928241828</c:v>
                </c:pt>
                <c:pt idx="22">
                  <c:v>54.808600858993948</c:v>
                </c:pt>
                <c:pt idx="23">
                  <c:v>52.458167939727218</c:v>
                </c:pt>
                <c:pt idx="24">
                  <c:v>50.208531881197473</c:v>
                </c:pt>
                <c:pt idx="25">
                  <c:v>48.055370072429014</c:v>
                </c:pt>
                <c:pt idx="26">
                  <c:v>45.994545274942006</c:v>
                </c:pt>
                <c:pt idx="27">
                  <c:v>44.022097673167707</c:v>
                </c:pt>
                <c:pt idx="28">
                  <c:v>42.134237265776747</c:v>
                </c:pt>
                <c:pt idx="29">
                  <c:v>40.327336583300649</c:v>
                </c:pt>
                <c:pt idx="30">
                  <c:v>38.597923718053515</c:v>
                </c:pt>
                <c:pt idx="31">
                  <c:v>36.942675652961334</c:v>
                </c:pt>
                <c:pt idx="32">
                  <c:v>35.358411876480261</c:v>
                </c:pt>
                <c:pt idx="33">
                  <c:v>33.842088271335122</c:v>
                </c:pt>
                <c:pt idx="34">
                  <c:v>32.390791265335672</c:v>
                </c:pt>
                <c:pt idx="35">
                  <c:v>31.001732233031458</c:v>
                </c:pt>
                <c:pt idx="36">
                  <c:v>29.67224213744818</c:v>
                </c:pt>
                <c:pt idx="37">
                  <c:v>28.399766401609959</c:v>
                </c:pt>
                <c:pt idx="38">
                  <c:v>27.181859999993151</c:v>
                </c:pt>
                <c:pt idx="39">
                  <c:v>26.01618276048012</c:v>
                </c:pt>
                <c:pt idx="40">
                  <c:v>24.900494867785859</c:v>
                </c:pt>
                <c:pt idx="41">
                  <c:v>23.832652559717307</c:v>
                </c:pt>
                <c:pt idx="42">
                  <c:v>22.810604007995998</c:v>
                </c:pt>
                <c:pt idx="43">
                  <c:v>21.832385375729029</c:v>
                </c:pt>
                <c:pt idx="44">
                  <c:v>20.896117043952952</c:v>
                </c:pt>
                <c:pt idx="45">
                  <c:v>20.000000000000025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75B-4D99-B3D0-53AF95E72649}"/>
            </c:ext>
          </c:extLst>
        </c:ser>
        <c:ser>
          <c:idx val="2"/>
          <c:order val="2"/>
          <c:tx>
            <c:strRef>
              <c:f>'18x18x4_ETS75'!$T$22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'18x18x4_ETS75'!$T$23:$T$68</c:f>
              <c:numCache>
                <c:formatCode>0.0</c:formatCode>
                <c:ptCount val="46"/>
                <c:pt idx="0">
                  <c:v>100</c:v>
                </c:pt>
                <c:pt idx="1">
                  <c:v>98.723957057778804</c:v>
                </c:pt>
                <c:pt idx="2">
                  <c:v>100.05343446457331</c:v>
                </c:pt>
                <c:pt idx="3">
                  <c:v>93.861808527533086</c:v>
                </c:pt>
                <c:pt idx="4">
                  <c:v>80.48807517054432</c:v>
                </c:pt>
                <c:pt idx="5">
                  <c:v>77.313683342942241</c:v>
                </c:pt>
                <c:pt idx="6">
                  <c:v>78.979383549301673</c:v>
                </c:pt>
                <c:pt idx="7">
                  <c:v>77.933122742588807</c:v>
                </c:pt>
                <c:pt idx="8">
                  <c:v>73.551257659527252</c:v>
                </c:pt>
                <c:pt idx="9">
                  <c:v>71.007577234951057</c:v>
                </c:pt>
                <c:pt idx="10">
                  <c:v>68.551866891489212</c:v>
                </c:pt>
                <c:pt idx="11">
                  <c:v>66.181084291316395</c:v>
                </c:pt>
                <c:pt idx="12">
                  <c:v>63.892292312145614</c:v>
                </c:pt>
                <c:pt idx="13">
                  <c:v>61.682655408477331</c:v>
                </c:pt>
                <c:pt idx="14">
                  <c:v>59.549436098690315</c:v>
                </c:pt>
                <c:pt idx="15">
                  <c:v>57.48999157362217</c:v>
                </c:pt>
                <c:pt idx="16">
                  <c:v>55.501770422437936</c:v>
                </c:pt>
                <c:pt idx="17">
                  <c:v>53.582309471730568</c:v>
                </c:pt>
                <c:pt idx="18">
                  <c:v>51.729230733937278</c:v>
                </c:pt>
                <c:pt idx="19">
                  <c:v>49.940238461291095</c:v>
                </c:pt>
                <c:pt idx="20">
                  <c:v>48.21311630165799</c:v>
                </c:pt>
                <c:pt idx="21">
                  <c:v>46.545724552735834</c:v>
                </c:pt>
                <c:pt idx="22">
                  <c:v>44.9359975112136</c:v>
                </c:pt>
                <c:pt idx="23">
                  <c:v>43.38194091360662</c:v>
                </c:pt>
                <c:pt idx="24">
                  <c:v>41.881629465597427</c:v>
                </c:pt>
                <c:pt idx="25">
                  <c:v>40.433204456821322</c:v>
                </c:pt>
                <c:pt idx="26">
                  <c:v>39.034871458141701</c:v>
                </c:pt>
                <c:pt idx="27">
                  <c:v>37.684898098562279</c:v>
                </c:pt>
                <c:pt idx="28">
                  <c:v>36.381611919022085</c:v>
                </c:pt>
                <c:pt idx="29">
                  <c:v>35.12339830041433</c:v>
                </c:pt>
                <c:pt idx="30">
                  <c:v>33.908698463262269</c:v>
                </c:pt>
                <c:pt idx="31">
                  <c:v>32.736007536573744</c:v>
                </c:pt>
                <c:pt idx="32">
                  <c:v>31.603872693482099</c:v>
                </c:pt>
                <c:pt idx="33">
                  <c:v>30.510891351363668</c:v>
                </c:pt>
                <c:pt idx="34">
                  <c:v>29.45570943420195</c:v>
                </c:pt>
                <c:pt idx="35">
                  <c:v>28.43701969504589</c:v>
                </c:pt>
                <c:pt idx="36">
                  <c:v>27.453560096483788</c:v>
                </c:pt>
                <c:pt idx="37">
                  <c:v>26.504112247126631</c:v>
                </c:pt>
                <c:pt idx="38">
                  <c:v>25.587499892163674</c:v>
                </c:pt>
                <c:pt idx="39">
                  <c:v>24.702587456120344</c:v>
                </c:pt>
                <c:pt idx="40">
                  <c:v>23.848278636013095</c:v>
                </c:pt>
                <c:pt idx="41">
                  <c:v>23.023515043158234</c:v>
                </c:pt>
                <c:pt idx="42">
                  <c:v>22.227274891952177</c:v>
                </c:pt>
                <c:pt idx="43">
                  <c:v>21.458571733998642</c:v>
                </c:pt>
                <c:pt idx="44">
                  <c:v>20.716453236014448</c:v>
                </c:pt>
                <c:pt idx="45">
                  <c:v>20.000000000000032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75B-4D99-B3D0-53AF95E72649}"/>
            </c:ext>
          </c:extLst>
        </c:ser>
        <c:ser>
          <c:idx val="3"/>
          <c:order val="3"/>
          <c:tx>
            <c:strRef>
              <c:f>'18x18x4_ETS75'!$U$22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'18x18x4_ETS75'!$U$23:$U$68</c:f>
              <c:numCache>
                <c:formatCode>0.0</c:formatCode>
                <c:ptCount val="46"/>
                <c:pt idx="0">
                  <c:v>100</c:v>
                </c:pt>
                <c:pt idx="1">
                  <c:v>102.26493526335645</c:v>
                </c:pt>
                <c:pt idx="2">
                  <c:v>135.78745509430493</c:v>
                </c:pt>
                <c:pt idx="3">
                  <c:v>130.32724328741037</c:v>
                </c:pt>
                <c:pt idx="4">
                  <c:v>115.7372543247879</c:v>
                </c:pt>
                <c:pt idx="5">
                  <c:v>118.95360164009227</c:v>
                </c:pt>
                <c:pt idx="6">
                  <c:v>122.59509112323916</c:v>
                </c:pt>
                <c:pt idx="7">
                  <c:v>116.04116774437901</c:v>
                </c:pt>
                <c:pt idx="8">
                  <c:v>115.58318024100723</c:v>
                </c:pt>
                <c:pt idx="9">
                  <c:v>110.23098887692989</c:v>
                </c:pt>
                <c:pt idx="10">
                  <c:v>105.12663592963578</c:v>
                </c:pt>
                <c:pt idx="11">
                  <c:v>100.25864500064526</c:v>
                </c:pt>
                <c:pt idx="12">
                  <c:v>95.616071117251025</c:v>
                </c:pt>
                <c:pt idx="13">
                  <c:v>91.188476124331856</c:v>
                </c:pt>
                <c:pt idx="14">
                  <c:v>86.965905215672379</c:v>
                </c:pt>
                <c:pt idx="15">
                  <c:v>82.938864552022665</c:v>
                </c:pt>
                <c:pt idx="16">
                  <c:v>79.098299915575453</c:v>
                </c:pt>
                <c:pt idx="17">
                  <c:v>75.435576352868495</c:v>
                </c:pt>
                <c:pt idx="18">
                  <c:v>71.942458760342021</c:v>
                </c:pt>
                <c:pt idx="19">
                  <c:v>68.611093368900896</c:v>
                </c:pt>
                <c:pt idx="20">
                  <c:v>65.433990085852017</c:v>
                </c:pt>
                <c:pt idx="21">
                  <c:v>62.404005654515458</c:v>
                </c:pt>
                <c:pt idx="22">
                  <c:v>59.514327593646243</c:v>
                </c:pt>
                <c:pt idx="23">
                  <c:v>56.758458880556681</c:v>
                </c:pt>
                <c:pt idx="24">
                  <c:v>54.13020334350167</c:v>
                </c:pt>
                <c:pt idx="25">
                  <c:v>51.623651730483729</c:v>
                </c:pt>
                <c:pt idx="26">
                  <c:v>49.233168423155561</c:v>
                </c:pt>
                <c:pt idx="27">
                  <c:v>46.953378765948237</c:v>
                </c:pt>
                <c:pt idx="28">
                  <c:v>44.779156981936431</c:v>
                </c:pt>
                <c:pt idx="29">
                  <c:v>42.705614648271236</c:v>
                </c:pt>
                <c:pt idx="30">
                  <c:v>40.728089705269191</c:v>
                </c:pt>
                <c:pt idx="31">
                  <c:v>38.842135974446244</c:v>
                </c:pt>
                <c:pt idx="32">
                  <c:v>37.043513161929162</c:v>
                </c:pt>
                <c:pt idx="33">
                  <c:v>35.328177324768831</c:v>
                </c:pt>
                <c:pt idx="34">
                  <c:v>33.692271778720034</c:v>
                </c:pt>
                <c:pt idx="35">
                  <c:v>32.132118427045484</c:v>
                </c:pt>
                <c:pt idx="36">
                  <c:v>30.644209490847786</c:v>
                </c:pt>
                <c:pt idx="37">
                  <c:v>29.225199622336635</c:v>
                </c:pt>
                <c:pt idx="38">
                  <c:v>27.871898383298642</c:v>
                </c:pt>
                <c:pt idx="39">
                  <c:v>26.581263071859041</c:v>
                </c:pt>
                <c:pt idx="40">
                  <c:v>25.350391881407084</c:v>
                </c:pt>
                <c:pt idx="41">
                  <c:v>24.176517376304083</c:v>
                </c:pt>
                <c:pt idx="42">
                  <c:v>23.057000269705107</c:v>
                </c:pt>
                <c:pt idx="43">
                  <c:v>21.989323489504677</c:v>
                </c:pt>
                <c:pt idx="44">
                  <c:v>20.971086519064624</c:v>
                </c:pt>
                <c:pt idx="45">
                  <c:v>20.000000000000021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75B-4D99-B3D0-53AF95E72649}"/>
            </c:ext>
          </c:extLst>
        </c:ser>
        <c:ser>
          <c:idx val="4"/>
          <c:order val="4"/>
          <c:tx>
            <c:strRef>
              <c:f>'18x18x4_ETS75'!$V$22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'18x18x4_ETS75'!$V$23:$V$68</c:f>
              <c:numCache>
                <c:formatCode>0.0</c:formatCode>
                <c:ptCount val="46"/>
                <c:pt idx="0">
                  <c:v>100</c:v>
                </c:pt>
                <c:pt idx="1">
                  <c:v>96.735781536224692</c:v>
                </c:pt>
                <c:pt idx="2">
                  <c:v>96.47352947911898</c:v>
                </c:pt>
                <c:pt idx="3">
                  <c:v>94.565151758450625</c:v>
                </c:pt>
                <c:pt idx="4">
                  <c:v>84.633051212888148</c:v>
                </c:pt>
                <c:pt idx="5">
                  <c:v>88.044674375326991</c:v>
                </c:pt>
                <c:pt idx="6">
                  <c:v>80.435560928552775</c:v>
                </c:pt>
                <c:pt idx="7">
                  <c:v>78.97138795180642</c:v>
                </c:pt>
                <c:pt idx="8">
                  <c:v>78.202538469975963</c:v>
                </c:pt>
                <c:pt idx="9">
                  <c:v>75.372981066482723</c:v>
                </c:pt>
                <c:pt idx="10">
                  <c:v>72.645803908647821</c:v>
                </c:pt>
                <c:pt idx="11">
                  <c:v>70.017302631015355</c:v>
                </c:pt>
                <c:pt idx="12">
                  <c:v>67.483906901050915</c:v>
                </c:pt>
                <c:pt idx="13">
                  <c:v>65.042175569505602</c:v>
                </c:pt>
                <c:pt idx="14">
                  <c:v>62.688791996251638</c:v>
                </c:pt>
                <c:pt idx="15">
                  <c:v>60.420559545240557</c:v>
                </c:pt>
                <c:pt idx="16">
                  <c:v>58.234397242464695</c:v>
                </c:pt>
                <c:pt idx="17">
                  <c:v>56.127335591024242</c:v>
                </c:pt>
                <c:pt idx="18">
                  <c:v>54.096512537615219</c:v>
                </c:pt>
                <c:pt idx="19">
                  <c:v>52.139169584959767</c:v>
                </c:pt>
                <c:pt idx="20">
                  <c:v>50.252648044898066</c:v>
                </c:pt>
                <c:pt idx="21">
                  <c:v>48.434385427052561</c:v>
                </c:pt>
                <c:pt idx="22">
                  <c:v>46.681911958158985</c:v>
                </c:pt>
                <c:pt idx="23">
                  <c:v>44.992847227336455</c:v>
                </c:pt>
                <c:pt idx="24">
                  <c:v>43.364896952739826</c:v>
                </c:pt>
                <c:pt idx="25">
                  <c:v>41.79584986520242</c:v>
                </c:pt>
                <c:pt idx="26">
                  <c:v>40.283574704636109</c:v>
                </c:pt>
                <c:pt idx="27">
                  <c:v>38.826017325108864</c:v>
                </c:pt>
                <c:pt idx="28">
                  <c:v>37.421197904667707</c:v>
                </c:pt>
                <c:pt idx="29">
                  <c:v>36.06720825611697</c:v>
                </c:pt>
                <c:pt idx="30">
                  <c:v>34.762209235099121</c:v>
                </c:pt>
                <c:pt idx="31">
                  <c:v>33.504428241957577</c:v>
                </c:pt>
                <c:pt idx="32">
                  <c:v>32.292156813988058</c:v>
                </c:pt>
                <c:pt idx="33">
                  <c:v>31.123748304808203</c:v>
                </c:pt>
                <c:pt idx="34">
                  <c:v>29.997615647693216</c:v>
                </c:pt>
                <c:pt idx="35">
                  <c:v>28.912229199839445</c:v>
                </c:pt>
                <c:pt idx="36">
                  <c:v>27.866114664627673</c:v>
                </c:pt>
                <c:pt idx="37">
                  <c:v>26.857851089064056</c:v>
                </c:pt>
                <c:pt idx="38">
                  <c:v>25.886068933678423</c:v>
                </c:pt>
                <c:pt idx="39">
                  <c:v>24.949448212258396</c:v>
                </c:pt>
                <c:pt idx="40">
                  <c:v>24.046716698892357</c:v>
                </c:pt>
                <c:pt idx="41">
                  <c:v>23.176648199886042</c:v>
                </c:pt>
                <c:pt idx="42">
                  <c:v>22.338060888205309</c:v>
                </c:pt>
                <c:pt idx="43">
                  <c:v>21.529815698182851</c:v>
                </c:pt>
                <c:pt idx="44">
                  <c:v>20.750814778308268</c:v>
                </c:pt>
                <c:pt idx="45">
                  <c:v>19.999999999999993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275B-4D99-B3D0-53AF95E72649}"/>
            </c:ext>
          </c:extLst>
        </c:ser>
        <c:ser>
          <c:idx val="5"/>
          <c:order val="5"/>
          <c:tx>
            <c:strRef>
              <c:f>'18x18x4_ETS75'!$W$22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'18x18x4_ETS75'!$W$23:$W$68</c:f>
              <c:numCache>
                <c:formatCode>0.0</c:formatCode>
                <c:ptCount val="46"/>
                <c:pt idx="0">
                  <c:v>100</c:v>
                </c:pt>
                <c:pt idx="1">
                  <c:v>97.037190520344879</c:v>
                </c:pt>
                <c:pt idx="2">
                  <c:v>95.140120854621017</c:v>
                </c:pt>
                <c:pt idx="3">
                  <c:v>96.122089745485553</c:v>
                </c:pt>
                <c:pt idx="4">
                  <c:v>81.981559729668945</c:v>
                </c:pt>
                <c:pt idx="5">
                  <c:v>92.648450528576049</c:v>
                </c:pt>
                <c:pt idx="6">
                  <c:v>91.68871807295416</c:v>
                </c:pt>
                <c:pt idx="7">
                  <c:v>85.059563592354408</c:v>
                </c:pt>
                <c:pt idx="8">
                  <c:v>89.445316153057746</c:v>
                </c:pt>
                <c:pt idx="9">
                  <c:v>85.896560937793978</c:v>
                </c:pt>
                <c:pt idx="10">
                  <c:v>82.488603073576641</c:v>
                </c:pt>
                <c:pt idx="11">
                  <c:v>79.21585640614623</c:v>
                </c:pt>
                <c:pt idx="12">
                  <c:v>76.072956412681492</c:v>
                </c:pt>
                <c:pt idx="13">
                  <c:v>73.054751408541549</c:v>
                </c:pt>
                <c:pt idx="14">
                  <c:v>70.156294102881972</c:v>
                </c:pt>
                <c:pt idx="15">
                  <c:v>67.372833489302721</c:v>
                </c:pt>
                <c:pt idx="16">
                  <c:v>64.699807058235791</c:v>
                </c:pt>
                <c:pt idx="17">
                  <c:v>62.132833318307604</c:v>
                </c:pt>
                <c:pt idx="18">
                  <c:v>59.667704614417147</c:v>
                </c:pt>
                <c:pt idx="19">
                  <c:v>57.300380230758044</c:v>
                </c:pt>
                <c:pt idx="20">
                  <c:v>55.026979767479034</c:v>
                </c:pt>
                <c:pt idx="21">
                  <c:v>52.843776780126404</c:v>
                </c:pt>
                <c:pt idx="22">
                  <c:v>50.747192671442512</c:v>
                </c:pt>
                <c:pt idx="23">
                  <c:v>48.733790825507839</c:v>
                </c:pt>
                <c:pt idx="24">
                  <c:v>46.800270974611962</c:v>
                </c:pt>
                <c:pt idx="25">
                  <c:v>44.943463789619585</c:v>
                </c:pt>
                <c:pt idx="26">
                  <c:v>43.160325684964583</c:v>
                </c:pt>
                <c:pt idx="27">
                  <c:v>41.447933829756579</c:v>
                </c:pt>
                <c:pt idx="28">
                  <c:v>39.803481356822616</c:v>
                </c:pt>
                <c:pt idx="29">
                  <c:v>38.22427276183069</c:v>
                </c:pt>
                <c:pt idx="30">
                  <c:v>36.70771948495377</c:v>
                </c:pt>
                <c:pt idx="31">
                  <c:v>35.251335667831825</c:v>
                </c:pt>
                <c:pt idx="32">
                  <c:v>33.85273407887702</c:v>
                </c:pt>
                <c:pt idx="33">
                  <c:v>32.509622200242937</c:v>
                </c:pt>
                <c:pt idx="34">
                  <c:v>31.219798470043919</c:v>
                </c:pt>
                <c:pt idx="35">
                  <c:v>29.981148673664787</c:v>
                </c:pt>
                <c:pt idx="36">
                  <c:v>28.791642478245866</c:v>
                </c:pt>
                <c:pt idx="37">
                  <c:v>27.649330104662823</c:v>
                </c:pt>
                <c:pt idx="38">
                  <c:v>26.552339131546145</c:v>
                </c:pt>
                <c:pt idx="39">
                  <c:v>25.498871426101566</c:v>
                </c:pt>
                <c:pt idx="40">
                  <c:v>24.487200196700641</c:v>
                </c:pt>
                <c:pt idx="41">
                  <c:v>23.515667162410182</c:v>
                </c:pt>
                <c:pt idx="42">
                  <c:v>22.582679834821008</c:v>
                </c:pt>
                <c:pt idx="43">
                  <c:v>21.686708907720497</c:v>
                </c:pt>
                <c:pt idx="44">
                  <c:v>20.826285750330278</c:v>
                </c:pt>
                <c:pt idx="45">
                  <c:v>20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275B-4D99-B3D0-53AF95E72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898288"/>
        <c:axId val="363898848"/>
      </c:lineChart>
      <c:catAx>
        <c:axId val="363898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3898848"/>
        <c:crosses val="autoZero"/>
        <c:auto val="1"/>
        <c:lblAlgn val="ctr"/>
        <c:lblOffset val="100"/>
        <c:noMultiLvlLbl val="0"/>
      </c:catAx>
      <c:valAx>
        <c:axId val="36389884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3638982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'18x18x4_ETS75'!$Z$22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'18x18x4_ETS75'!$Z$23:$Z$68</c:f>
              <c:numCache>
                <c:formatCode>0.0</c:formatCode>
                <c:ptCount val="46"/>
                <c:pt idx="0">
                  <c:v>100</c:v>
                </c:pt>
                <c:pt idx="1">
                  <c:v>104.58685424458052</c:v>
                </c:pt>
                <c:pt idx="2">
                  <c:v>104.74351477183012</c:v>
                </c:pt>
                <c:pt idx="3">
                  <c:v>105.42980873552762</c:v>
                </c:pt>
                <c:pt idx="4">
                  <c:v>94.096278961998664</c:v>
                </c:pt>
                <c:pt idx="5">
                  <c:v>100.17192952225473</c:v>
                </c:pt>
                <c:pt idx="6">
                  <c:v>92.126502859206212</c:v>
                </c:pt>
                <c:pt idx="7">
                  <c:v>90.704691790984313</c:v>
                </c:pt>
                <c:pt idx="8">
                  <c:v>94.054998363604284</c:v>
                </c:pt>
                <c:pt idx="9">
                  <c:v>92.053511921344708</c:v>
                </c:pt>
                <c:pt idx="10">
                  <c:v>90.052025479085145</c:v>
                </c:pt>
                <c:pt idx="11">
                  <c:v>88.050539036825569</c:v>
                </c:pt>
                <c:pt idx="12">
                  <c:v>86.049052594566007</c:v>
                </c:pt>
                <c:pt idx="13">
                  <c:v>84.04756615230643</c:v>
                </c:pt>
                <c:pt idx="14">
                  <c:v>82.046079710046854</c:v>
                </c:pt>
                <c:pt idx="15">
                  <c:v>80.044593267787278</c:v>
                </c:pt>
                <c:pt idx="16">
                  <c:v>78.043106825527701</c:v>
                </c:pt>
                <c:pt idx="17">
                  <c:v>76.041620383268139</c:v>
                </c:pt>
                <c:pt idx="18">
                  <c:v>74.040133941008563</c:v>
                </c:pt>
                <c:pt idx="19">
                  <c:v>72.038647498749</c:v>
                </c:pt>
                <c:pt idx="20">
                  <c:v>70.037161056489424</c:v>
                </c:pt>
                <c:pt idx="21">
                  <c:v>68.035674614229862</c:v>
                </c:pt>
                <c:pt idx="22">
                  <c:v>66.034188171970285</c:v>
                </c:pt>
                <c:pt idx="23">
                  <c:v>64.032701729710723</c:v>
                </c:pt>
                <c:pt idx="24">
                  <c:v>62.031215287451147</c:v>
                </c:pt>
                <c:pt idx="25">
                  <c:v>60.029728845191578</c:v>
                </c:pt>
                <c:pt idx="26">
                  <c:v>58.028242402932008</c:v>
                </c:pt>
                <c:pt idx="27">
                  <c:v>56.026755960672439</c:v>
                </c:pt>
                <c:pt idx="28">
                  <c:v>54.02526951841287</c:v>
                </c:pt>
                <c:pt idx="29">
                  <c:v>52.023783076153286</c:v>
                </c:pt>
                <c:pt idx="30">
                  <c:v>50.022296633893717</c:v>
                </c:pt>
                <c:pt idx="31">
                  <c:v>48.020810191634141</c:v>
                </c:pt>
                <c:pt idx="32">
                  <c:v>46.019323749374557</c:v>
                </c:pt>
                <c:pt idx="33">
                  <c:v>44.017837307114981</c:v>
                </c:pt>
                <c:pt idx="34">
                  <c:v>42.016350864855404</c:v>
                </c:pt>
                <c:pt idx="35">
                  <c:v>40.014864422595828</c:v>
                </c:pt>
                <c:pt idx="36">
                  <c:v>38.013377980336251</c:v>
                </c:pt>
                <c:pt idx="37">
                  <c:v>36.011891538076675</c:v>
                </c:pt>
                <c:pt idx="38">
                  <c:v>34.010405095817099</c:v>
                </c:pt>
                <c:pt idx="39">
                  <c:v>32.008918653557522</c:v>
                </c:pt>
                <c:pt idx="40">
                  <c:v>30.007432211297946</c:v>
                </c:pt>
                <c:pt idx="41">
                  <c:v>28.00594576903837</c:v>
                </c:pt>
                <c:pt idx="42">
                  <c:v>26.004459326778793</c:v>
                </c:pt>
                <c:pt idx="43">
                  <c:v>24.00297288451922</c:v>
                </c:pt>
                <c:pt idx="44">
                  <c:v>22.001486442259644</c:v>
                </c:pt>
                <c:pt idx="45">
                  <c:v>20.000000000000071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151-4BC0-A68A-FCAAC88260F7}"/>
            </c:ext>
          </c:extLst>
        </c:ser>
        <c:ser>
          <c:idx val="1"/>
          <c:order val="1"/>
          <c:tx>
            <c:strRef>
              <c:f>'18x18x4_ETS75'!$AA$22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'18x18x4_ETS75'!$AA$23:$AA$68</c:f>
              <c:numCache>
                <c:formatCode>0.0</c:formatCode>
                <c:ptCount val="46"/>
                <c:pt idx="0">
                  <c:v>100</c:v>
                </c:pt>
                <c:pt idx="1">
                  <c:v>100.63642210944546</c:v>
                </c:pt>
                <c:pt idx="2">
                  <c:v>102.54643888267827</c:v>
                </c:pt>
                <c:pt idx="3">
                  <c:v>99.537313146456839</c:v>
                </c:pt>
                <c:pt idx="4">
                  <c:v>90.157481966667049</c:v>
                </c:pt>
                <c:pt idx="5">
                  <c:v>95.750579776570973</c:v>
                </c:pt>
                <c:pt idx="6">
                  <c:v>94.796712739808328</c:v>
                </c:pt>
                <c:pt idx="7">
                  <c:v>95.270901503349535</c:v>
                </c:pt>
                <c:pt idx="8">
                  <c:v>101.2388182263215</c:v>
                </c:pt>
                <c:pt idx="9">
                  <c:v>99.043174490474968</c:v>
                </c:pt>
                <c:pt idx="10">
                  <c:v>96.847530754628437</c:v>
                </c:pt>
                <c:pt idx="11">
                  <c:v>94.651887018781906</c:v>
                </c:pt>
                <c:pt idx="12">
                  <c:v>92.456243282935375</c:v>
                </c:pt>
                <c:pt idx="13">
                  <c:v>90.260599547088844</c:v>
                </c:pt>
                <c:pt idx="14">
                  <c:v>88.064955811242314</c:v>
                </c:pt>
                <c:pt idx="15">
                  <c:v>85.869312075395783</c:v>
                </c:pt>
                <c:pt idx="16">
                  <c:v>83.673668339549252</c:v>
                </c:pt>
                <c:pt idx="17">
                  <c:v>81.478024603702721</c:v>
                </c:pt>
                <c:pt idx="18">
                  <c:v>79.28238086785619</c:v>
                </c:pt>
                <c:pt idx="19">
                  <c:v>77.086737132009659</c:v>
                </c:pt>
                <c:pt idx="20">
                  <c:v>74.891093396163129</c:v>
                </c:pt>
                <c:pt idx="21">
                  <c:v>72.695449660316598</c:v>
                </c:pt>
                <c:pt idx="22">
                  <c:v>70.499805924470067</c:v>
                </c:pt>
                <c:pt idx="23">
                  <c:v>68.304162188623536</c:v>
                </c:pt>
                <c:pt idx="24">
                  <c:v>66.108518452777005</c:v>
                </c:pt>
                <c:pt idx="25">
                  <c:v>63.912874716930467</c:v>
                </c:pt>
                <c:pt idx="26">
                  <c:v>61.717230981083937</c:v>
                </c:pt>
                <c:pt idx="27">
                  <c:v>59.521587245237406</c:v>
                </c:pt>
                <c:pt idx="28">
                  <c:v>57.325943509390875</c:v>
                </c:pt>
                <c:pt idx="29">
                  <c:v>55.130299773544344</c:v>
                </c:pt>
                <c:pt idx="30">
                  <c:v>52.934656037697827</c:v>
                </c:pt>
                <c:pt idx="31">
                  <c:v>50.739012301851297</c:v>
                </c:pt>
                <c:pt idx="32">
                  <c:v>48.543368566004773</c:v>
                </c:pt>
                <c:pt idx="33">
                  <c:v>46.347724830158249</c:v>
                </c:pt>
                <c:pt idx="34">
                  <c:v>44.152081094311725</c:v>
                </c:pt>
                <c:pt idx="35">
                  <c:v>41.956437358465202</c:v>
                </c:pt>
                <c:pt idx="36">
                  <c:v>39.760793622618671</c:v>
                </c:pt>
                <c:pt idx="37">
                  <c:v>37.565149886772154</c:v>
                </c:pt>
                <c:pt idx="38">
                  <c:v>35.369506150925631</c:v>
                </c:pt>
                <c:pt idx="39">
                  <c:v>33.1738624150791</c:v>
                </c:pt>
                <c:pt idx="40">
                  <c:v>30.978218679232576</c:v>
                </c:pt>
                <c:pt idx="41">
                  <c:v>28.782574943386052</c:v>
                </c:pt>
                <c:pt idx="42">
                  <c:v>26.586931207539521</c:v>
                </c:pt>
                <c:pt idx="43">
                  <c:v>24.391287471692998</c:v>
                </c:pt>
                <c:pt idx="44">
                  <c:v>22.195643735846467</c:v>
                </c:pt>
                <c:pt idx="45">
                  <c:v>19.99999999999994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151-4BC0-A68A-FCAAC88260F7}"/>
            </c:ext>
          </c:extLst>
        </c:ser>
        <c:ser>
          <c:idx val="2"/>
          <c:order val="2"/>
          <c:tx>
            <c:strRef>
              <c:f>'18x18x4_ETS75'!$AB$22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'18x18x4_ETS75'!$AB$23:$AB$68</c:f>
              <c:numCache>
                <c:formatCode>0.0</c:formatCode>
                <c:ptCount val="46"/>
                <c:pt idx="0">
                  <c:v>100</c:v>
                </c:pt>
                <c:pt idx="1">
                  <c:v>98.723957057778804</c:v>
                </c:pt>
                <c:pt idx="2">
                  <c:v>100.05343446457331</c:v>
                </c:pt>
                <c:pt idx="3">
                  <c:v>93.861808527533086</c:v>
                </c:pt>
                <c:pt idx="4">
                  <c:v>80.48807517054432</c:v>
                </c:pt>
                <c:pt idx="5">
                  <c:v>77.313683342942241</c:v>
                </c:pt>
                <c:pt idx="6">
                  <c:v>78.979383549301673</c:v>
                </c:pt>
                <c:pt idx="7">
                  <c:v>77.933122742588807</c:v>
                </c:pt>
                <c:pt idx="8">
                  <c:v>73.551257659527252</c:v>
                </c:pt>
                <c:pt idx="9">
                  <c:v>72.103926371431925</c:v>
                </c:pt>
                <c:pt idx="10">
                  <c:v>70.656595083336597</c:v>
                </c:pt>
                <c:pt idx="11">
                  <c:v>69.209263795241256</c:v>
                </c:pt>
                <c:pt idx="12">
                  <c:v>67.761932507145929</c:v>
                </c:pt>
                <c:pt idx="13">
                  <c:v>66.314601219050601</c:v>
                </c:pt>
                <c:pt idx="14">
                  <c:v>64.86726993095526</c:v>
                </c:pt>
                <c:pt idx="15">
                  <c:v>63.419938642859933</c:v>
                </c:pt>
                <c:pt idx="16">
                  <c:v>61.972607354764598</c:v>
                </c:pt>
                <c:pt idx="17">
                  <c:v>60.525276066669264</c:v>
                </c:pt>
                <c:pt idx="18">
                  <c:v>59.077944778573929</c:v>
                </c:pt>
                <c:pt idx="19">
                  <c:v>57.630613490478602</c:v>
                </c:pt>
                <c:pt idx="20">
                  <c:v>56.183282202383268</c:v>
                </c:pt>
                <c:pt idx="21">
                  <c:v>54.735950914287926</c:v>
                </c:pt>
                <c:pt idx="22">
                  <c:v>53.288619626192592</c:v>
                </c:pt>
                <c:pt idx="23">
                  <c:v>51.841288338097257</c:v>
                </c:pt>
                <c:pt idx="24">
                  <c:v>50.393957050001923</c:v>
                </c:pt>
                <c:pt idx="25">
                  <c:v>48.946625761906596</c:v>
                </c:pt>
                <c:pt idx="26">
                  <c:v>47.499294473811261</c:v>
                </c:pt>
                <c:pt idx="27">
                  <c:v>46.051963185715927</c:v>
                </c:pt>
                <c:pt idx="28">
                  <c:v>44.604631897620592</c:v>
                </c:pt>
                <c:pt idx="29">
                  <c:v>43.157300609525265</c:v>
                </c:pt>
                <c:pt idx="30">
                  <c:v>41.709969321429931</c:v>
                </c:pt>
                <c:pt idx="31">
                  <c:v>40.262638033334596</c:v>
                </c:pt>
                <c:pt idx="32">
                  <c:v>38.815306745239262</c:v>
                </c:pt>
                <c:pt idx="33">
                  <c:v>37.367975457143928</c:v>
                </c:pt>
                <c:pt idx="34">
                  <c:v>35.920644169048593</c:v>
                </c:pt>
                <c:pt idx="35">
                  <c:v>34.473312880953259</c:v>
                </c:pt>
                <c:pt idx="36">
                  <c:v>33.025981592857931</c:v>
                </c:pt>
                <c:pt idx="37">
                  <c:v>31.578650304762597</c:v>
                </c:pt>
                <c:pt idx="38">
                  <c:v>30.131319016667263</c:v>
                </c:pt>
                <c:pt idx="39">
                  <c:v>28.683987728571932</c:v>
                </c:pt>
                <c:pt idx="40">
                  <c:v>27.236656440476594</c:v>
                </c:pt>
                <c:pt idx="41">
                  <c:v>25.789325152381259</c:v>
                </c:pt>
                <c:pt idx="42">
                  <c:v>24.341993864285929</c:v>
                </c:pt>
                <c:pt idx="43">
                  <c:v>22.894662576190601</c:v>
                </c:pt>
                <c:pt idx="44">
                  <c:v>21.44733128809527</c:v>
                </c:pt>
                <c:pt idx="45">
                  <c:v>19.99999999999994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151-4BC0-A68A-FCAAC88260F7}"/>
            </c:ext>
          </c:extLst>
        </c:ser>
        <c:ser>
          <c:idx val="3"/>
          <c:order val="3"/>
          <c:tx>
            <c:strRef>
              <c:f>'18x18x4_ETS75'!$AC$22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'18x18x4_ETS75'!$AC$23:$AC$68</c:f>
              <c:numCache>
                <c:formatCode>0.0</c:formatCode>
                <c:ptCount val="46"/>
                <c:pt idx="0">
                  <c:v>100</c:v>
                </c:pt>
                <c:pt idx="1">
                  <c:v>102.26493526335645</c:v>
                </c:pt>
                <c:pt idx="2">
                  <c:v>135.78745509430493</c:v>
                </c:pt>
                <c:pt idx="3">
                  <c:v>130.32724328741037</c:v>
                </c:pt>
                <c:pt idx="4">
                  <c:v>115.7372543247879</c:v>
                </c:pt>
                <c:pt idx="5">
                  <c:v>118.95360164009227</c:v>
                </c:pt>
                <c:pt idx="6">
                  <c:v>122.59509112323916</c:v>
                </c:pt>
                <c:pt idx="7">
                  <c:v>116.04116774437901</c:v>
                </c:pt>
                <c:pt idx="8">
                  <c:v>115.58318024100723</c:v>
                </c:pt>
                <c:pt idx="9">
                  <c:v>112.99985104530433</c:v>
                </c:pt>
                <c:pt idx="10">
                  <c:v>110.41652184960142</c:v>
                </c:pt>
                <c:pt idx="11">
                  <c:v>107.83319265389852</c:v>
                </c:pt>
                <c:pt idx="12">
                  <c:v>105.24986345819562</c:v>
                </c:pt>
                <c:pt idx="13">
                  <c:v>102.66653426249273</c:v>
                </c:pt>
                <c:pt idx="14">
                  <c:v>100.08320506678983</c:v>
                </c:pt>
                <c:pt idx="15">
                  <c:v>97.499875871086928</c:v>
                </c:pt>
                <c:pt idx="16">
                  <c:v>94.916546675384026</c:v>
                </c:pt>
                <c:pt idx="17">
                  <c:v>92.333217479681139</c:v>
                </c:pt>
                <c:pt idx="18">
                  <c:v>89.749888283978237</c:v>
                </c:pt>
                <c:pt idx="19">
                  <c:v>87.166559088275335</c:v>
                </c:pt>
                <c:pt idx="20">
                  <c:v>84.583229892572447</c:v>
                </c:pt>
                <c:pt idx="21">
                  <c:v>81.999900696869545</c:v>
                </c:pt>
                <c:pt idx="22">
                  <c:v>79.416571501166644</c:v>
                </c:pt>
                <c:pt idx="23">
                  <c:v>76.833242305463742</c:v>
                </c:pt>
                <c:pt idx="24">
                  <c:v>74.249913109760854</c:v>
                </c:pt>
                <c:pt idx="25">
                  <c:v>71.666583914057952</c:v>
                </c:pt>
                <c:pt idx="26">
                  <c:v>69.083254718355064</c:v>
                </c:pt>
                <c:pt idx="27">
                  <c:v>66.499925522652163</c:v>
                </c:pt>
                <c:pt idx="28">
                  <c:v>63.916596326949261</c:v>
                </c:pt>
                <c:pt idx="29">
                  <c:v>61.333267131246359</c:v>
                </c:pt>
                <c:pt idx="30">
                  <c:v>58.749937935543464</c:v>
                </c:pt>
                <c:pt idx="31">
                  <c:v>56.166608739840562</c:v>
                </c:pt>
                <c:pt idx="32">
                  <c:v>53.583279544137675</c:v>
                </c:pt>
                <c:pt idx="33">
                  <c:v>50.999950348434773</c:v>
                </c:pt>
                <c:pt idx="34">
                  <c:v>48.416621152731878</c:v>
                </c:pt>
                <c:pt idx="35">
                  <c:v>45.833291957028976</c:v>
                </c:pt>
                <c:pt idx="36">
                  <c:v>43.249962761326074</c:v>
                </c:pt>
                <c:pt idx="37">
                  <c:v>40.666633565623187</c:v>
                </c:pt>
                <c:pt idx="38">
                  <c:v>38.083304369920285</c:v>
                </c:pt>
                <c:pt idx="39">
                  <c:v>35.499975174217383</c:v>
                </c:pt>
                <c:pt idx="40">
                  <c:v>32.916645978514488</c:v>
                </c:pt>
                <c:pt idx="41">
                  <c:v>30.333316782811593</c:v>
                </c:pt>
                <c:pt idx="42">
                  <c:v>27.749987587108691</c:v>
                </c:pt>
                <c:pt idx="43">
                  <c:v>25.166658391405793</c:v>
                </c:pt>
                <c:pt idx="44">
                  <c:v>22.583329195702898</c:v>
                </c:pt>
                <c:pt idx="45">
                  <c:v>20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0151-4BC0-A68A-FCAAC88260F7}"/>
            </c:ext>
          </c:extLst>
        </c:ser>
        <c:ser>
          <c:idx val="4"/>
          <c:order val="4"/>
          <c:tx>
            <c:strRef>
              <c:f>'18x18x4_ETS75'!$AD$22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'18x18x4_ETS75'!$AD$23:$AD$68</c:f>
              <c:numCache>
                <c:formatCode>0.0</c:formatCode>
                <c:ptCount val="46"/>
                <c:pt idx="0">
                  <c:v>100</c:v>
                </c:pt>
                <c:pt idx="1">
                  <c:v>96.735781536224692</c:v>
                </c:pt>
                <c:pt idx="2">
                  <c:v>96.47352947911898</c:v>
                </c:pt>
                <c:pt idx="3">
                  <c:v>94.565151758450625</c:v>
                </c:pt>
                <c:pt idx="4">
                  <c:v>84.633051212888148</c:v>
                </c:pt>
                <c:pt idx="5">
                  <c:v>88.044674375326991</c:v>
                </c:pt>
                <c:pt idx="6">
                  <c:v>80.435560928552775</c:v>
                </c:pt>
                <c:pt idx="7">
                  <c:v>78.97138795180642</c:v>
                </c:pt>
                <c:pt idx="8">
                  <c:v>78.202538469975963</c:v>
                </c:pt>
                <c:pt idx="9">
                  <c:v>76.629496889706346</c:v>
                </c:pt>
                <c:pt idx="10">
                  <c:v>75.056455309436714</c:v>
                </c:pt>
                <c:pt idx="11">
                  <c:v>73.483413729167097</c:v>
                </c:pt>
                <c:pt idx="12">
                  <c:v>71.910372148897466</c:v>
                </c:pt>
                <c:pt idx="13">
                  <c:v>70.337330568627848</c:v>
                </c:pt>
                <c:pt idx="14">
                  <c:v>68.764288988358231</c:v>
                </c:pt>
                <c:pt idx="15">
                  <c:v>67.1912474080886</c:v>
                </c:pt>
                <c:pt idx="16">
                  <c:v>65.618205827818983</c:v>
                </c:pt>
                <c:pt idx="17">
                  <c:v>64.045164247549351</c:v>
                </c:pt>
                <c:pt idx="18">
                  <c:v>62.472122667279741</c:v>
                </c:pt>
                <c:pt idx="19">
                  <c:v>60.89908108701011</c:v>
                </c:pt>
                <c:pt idx="20">
                  <c:v>59.326039506740493</c:v>
                </c:pt>
                <c:pt idx="21">
                  <c:v>57.752997926470876</c:v>
                </c:pt>
                <c:pt idx="22">
                  <c:v>56.179956346201244</c:v>
                </c:pt>
                <c:pt idx="23">
                  <c:v>54.606914765931627</c:v>
                </c:pt>
                <c:pt idx="24">
                  <c:v>53.033873185661996</c:v>
                </c:pt>
                <c:pt idx="25">
                  <c:v>51.460831605392379</c:v>
                </c:pt>
                <c:pt idx="26">
                  <c:v>49.887790025122754</c:v>
                </c:pt>
                <c:pt idx="27">
                  <c:v>48.31474844485313</c:v>
                </c:pt>
                <c:pt idx="28">
                  <c:v>46.741706864583506</c:v>
                </c:pt>
                <c:pt idx="29">
                  <c:v>45.168665284313882</c:v>
                </c:pt>
                <c:pt idx="30">
                  <c:v>43.595623704044257</c:v>
                </c:pt>
                <c:pt idx="31">
                  <c:v>42.02258212377464</c:v>
                </c:pt>
                <c:pt idx="32">
                  <c:v>40.449540543505016</c:v>
                </c:pt>
                <c:pt idx="33">
                  <c:v>38.876498963235392</c:v>
                </c:pt>
                <c:pt idx="34">
                  <c:v>37.303457382965767</c:v>
                </c:pt>
                <c:pt idx="35">
                  <c:v>35.730415802696143</c:v>
                </c:pt>
                <c:pt idx="36">
                  <c:v>34.157374222426519</c:v>
                </c:pt>
                <c:pt idx="37">
                  <c:v>32.584332642156895</c:v>
                </c:pt>
                <c:pt idx="38">
                  <c:v>31.01129106188727</c:v>
                </c:pt>
                <c:pt idx="39">
                  <c:v>29.43824948161765</c:v>
                </c:pt>
                <c:pt idx="40">
                  <c:v>27.865207901348025</c:v>
                </c:pt>
                <c:pt idx="41">
                  <c:v>26.292166321078405</c:v>
                </c:pt>
                <c:pt idx="42">
                  <c:v>24.71912474080878</c:v>
                </c:pt>
                <c:pt idx="43">
                  <c:v>23.14608316053916</c:v>
                </c:pt>
                <c:pt idx="44">
                  <c:v>21.573041580269543</c:v>
                </c:pt>
                <c:pt idx="45">
                  <c:v>19.999999999999922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0151-4BC0-A68A-FCAAC88260F7}"/>
            </c:ext>
          </c:extLst>
        </c:ser>
        <c:ser>
          <c:idx val="5"/>
          <c:order val="5"/>
          <c:tx>
            <c:strRef>
              <c:f>'18x18x4_ETS75'!$AE$22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'18x18x4_ETS75'!$AE$23:$AE$68</c:f>
              <c:numCache>
                <c:formatCode>0.0</c:formatCode>
                <c:ptCount val="46"/>
                <c:pt idx="0">
                  <c:v>100</c:v>
                </c:pt>
                <c:pt idx="1">
                  <c:v>97.037190520344879</c:v>
                </c:pt>
                <c:pt idx="2">
                  <c:v>95.140120854621017</c:v>
                </c:pt>
                <c:pt idx="3">
                  <c:v>96.122089745485553</c:v>
                </c:pt>
                <c:pt idx="4">
                  <c:v>81.981559729668945</c:v>
                </c:pt>
                <c:pt idx="5">
                  <c:v>92.648450528576049</c:v>
                </c:pt>
                <c:pt idx="6">
                  <c:v>91.68871807295416</c:v>
                </c:pt>
                <c:pt idx="7">
                  <c:v>85.059563592354408</c:v>
                </c:pt>
                <c:pt idx="8">
                  <c:v>89.445316153057746</c:v>
                </c:pt>
                <c:pt idx="9">
                  <c:v>87.56841571648863</c:v>
                </c:pt>
                <c:pt idx="10">
                  <c:v>85.6915152799195</c:v>
                </c:pt>
                <c:pt idx="11">
                  <c:v>83.81461484335037</c:v>
                </c:pt>
                <c:pt idx="12">
                  <c:v>81.93771440678124</c:v>
                </c:pt>
                <c:pt idx="13">
                  <c:v>80.060813970212124</c:v>
                </c:pt>
                <c:pt idx="14">
                  <c:v>78.183913533642993</c:v>
                </c:pt>
                <c:pt idx="15">
                  <c:v>76.307013097073863</c:v>
                </c:pt>
                <c:pt idx="16">
                  <c:v>74.430112660504733</c:v>
                </c:pt>
                <c:pt idx="17">
                  <c:v>72.553212223935617</c:v>
                </c:pt>
                <c:pt idx="18">
                  <c:v>70.676311787366487</c:v>
                </c:pt>
                <c:pt idx="19">
                  <c:v>68.799411350797357</c:v>
                </c:pt>
                <c:pt idx="20">
                  <c:v>66.922510914228226</c:v>
                </c:pt>
                <c:pt idx="21">
                  <c:v>65.045610477659096</c:v>
                </c:pt>
                <c:pt idx="22">
                  <c:v>63.16871004108998</c:v>
                </c:pt>
                <c:pt idx="23">
                  <c:v>61.29180960452085</c:v>
                </c:pt>
                <c:pt idx="24">
                  <c:v>59.414909167951727</c:v>
                </c:pt>
                <c:pt idx="25">
                  <c:v>57.538008731382597</c:v>
                </c:pt>
                <c:pt idx="26">
                  <c:v>55.661108294813474</c:v>
                </c:pt>
                <c:pt idx="27">
                  <c:v>53.784207858244351</c:v>
                </c:pt>
                <c:pt idx="28">
                  <c:v>51.90730742167522</c:v>
                </c:pt>
                <c:pt idx="29">
                  <c:v>50.03040698510609</c:v>
                </c:pt>
                <c:pt idx="30">
                  <c:v>48.153506548536967</c:v>
                </c:pt>
                <c:pt idx="31">
                  <c:v>46.276606111967837</c:v>
                </c:pt>
                <c:pt idx="32">
                  <c:v>44.399705675398714</c:v>
                </c:pt>
                <c:pt idx="33">
                  <c:v>42.522805238829584</c:v>
                </c:pt>
                <c:pt idx="34">
                  <c:v>40.645904802260461</c:v>
                </c:pt>
                <c:pt idx="35">
                  <c:v>38.769004365691337</c:v>
                </c:pt>
                <c:pt idx="36">
                  <c:v>36.892103929122207</c:v>
                </c:pt>
                <c:pt idx="37">
                  <c:v>35.015203492553084</c:v>
                </c:pt>
                <c:pt idx="38">
                  <c:v>33.138303055983954</c:v>
                </c:pt>
                <c:pt idx="39">
                  <c:v>31.261402619414831</c:v>
                </c:pt>
                <c:pt idx="40">
                  <c:v>29.384502182845701</c:v>
                </c:pt>
                <c:pt idx="41">
                  <c:v>27.507601746276578</c:v>
                </c:pt>
                <c:pt idx="42">
                  <c:v>25.630701309707447</c:v>
                </c:pt>
                <c:pt idx="43">
                  <c:v>23.753800873138321</c:v>
                </c:pt>
                <c:pt idx="44">
                  <c:v>21.876900436569191</c:v>
                </c:pt>
                <c:pt idx="45">
                  <c:v>20.000000000000064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0151-4BC0-A68A-FCAAC8826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904448"/>
        <c:axId val="363905008"/>
      </c:lineChart>
      <c:catAx>
        <c:axId val="36390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3905008"/>
        <c:crosses val="autoZero"/>
        <c:auto val="1"/>
        <c:lblAlgn val="ctr"/>
        <c:lblOffset val="100"/>
        <c:noMultiLvlLbl val="0"/>
      </c:catAx>
      <c:valAx>
        <c:axId val="36390500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3639044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'18x18x4_ETS75'!$AH$22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'18x18x4_ETS75'!$AH$23:$AH$68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86.115844457061357</c:v>
                </c:pt>
                <c:pt idx="10">
                  <c:v>82.586943254643558</c:v>
                </c:pt>
                <c:pt idx="11">
                  <c:v>79.202651255966828</c:v>
                </c:pt>
                <c:pt idx="12">
                  <c:v>75.957042587619853</c:v>
                </c:pt>
                <c:pt idx="13">
                  <c:v>72.844434209806124</c:v>
                </c:pt>
                <c:pt idx="14">
                  <c:v>69.859375965378121</c:v>
                </c:pt>
                <c:pt idx="15">
                  <c:v>66.996641036647304</c:v>
                </c:pt>
                <c:pt idx="16">
                  <c:v>64.251216793260085</c:v>
                </c:pt>
                <c:pt idx="17">
                  <c:v>61.618296015114602</c:v>
                </c:pt>
                <c:pt idx="18">
                  <c:v>59.093268474949269</c:v>
                </c:pt>
                <c:pt idx="19">
                  <c:v>56.671712865864755</c:v>
                </c:pt>
                <c:pt idx="20">
                  <c:v>54.349389059644118</c:v>
                </c:pt>
                <c:pt idx="21">
                  <c:v>52.122230682315752</c:v>
                </c:pt>
                <c:pt idx="22">
                  <c:v>49.986337993958792</c:v>
                </c:pt>
                <c:pt idx="23">
                  <c:v>47.937971060283786</c:v>
                </c:pt>
                <c:pt idx="24">
                  <c:v>45.973543204031905</c:v>
                </c:pt>
                <c:pt idx="25">
                  <c:v>44.089614724726239</c:v>
                </c:pt>
                <c:pt idx="26">
                  <c:v>42.282886875778509</c:v>
                </c:pt>
                <c:pt idx="27">
                  <c:v>40.550196088405109</c:v>
                </c:pt>
                <c:pt idx="28">
                  <c:v>38.888508432238638</c:v>
                </c:pt>
                <c:pt idx="29">
                  <c:v>37.294914302935425</c:v>
                </c:pt>
                <c:pt idx="30">
                  <c:v>35.766623327477127</c:v>
                </c:pt>
                <c:pt idx="31">
                  <c:v>34.300959478245609</c:v>
                </c:pt>
                <c:pt idx="32">
                  <c:v>32.895356387315928</c:v>
                </c:pt>
                <c:pt idx="33">
                  <c:v>31.547352852762629</c:v>
                </c:pt>
                <c:pt idx="34">
                  <c:v>30.254588529111103</c:v>
                </c:pt>
                <c:pt idx="35">
                  <c:v>29.014799794387951</c:v>
                </c:pt>
                <c:pt idx="36">
                  <c:v>27.825815786533504</c:v>
                </c:pt>
                <c:pt idx="37">
                  <c:v>26.685554602236394</c:v>
                </c:pt>
                <c:pt idx="38">
                  <c:v>25.592019651534343</c:v>
                </c:pt>
                <c:pt idx="39">
                  <c:v>24.543296161798018</c:v>
                </c:pt>
                <c:pt idx="40">
                  <c:v>23.53754782497656</c:v>
                </c:pt>
                <c:pt idx="41">
                  <c:v>22.573013582234015</c:v>
                </c:pt>
                <c:pt idx="42">
                  <c:v>21.648004540346751</c:v>
                </c:pt>
                <c:pt idx="43">
                  <c:v>20.760901014462302</c:v>
                </c:pt>
                <c:pt idx="44">
                  <c:v>19.910149692041688</c:v>
                </c:pt>
                <c:pt idx="45">
                  <c:v>19.094260913019177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7E2-469D-8B37-076114A35A29}"/>
            </c:ext>
          </c:extLst>
        </c:ser>
        <c:ser>
          <c:idx val="1"/>
          <c:order val="1"/>
          <c:tx>
            <c:strRef>
              <c:f>'18x18x4_ETS75'!$AI$22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'18x18x4_ETS75'!$AI$23:$AI$68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94.491096163909091</c:v>
                </c:pt>
                <c:pt idx="10">
                  <c:v>90.438903998437965</c:v>
                </c:pt>
                <c:pt idx="11">
                  <c:v>86.560487585524754</c:v>
                </c:pt>
                <c:pt idx="12">
                  <c:v>82.848394659594661</c:v>
                </c:pt>
                <c:pt idx="13">
                  <c:v>79.295492540868921</c:v>
                </c:pt>
                <c:pt idx="14">
                  <c:v>75.894954430125608</c:v>
                </c:pt>
                <c:pt idx="15">
                  <c:v>72.640246291201422</c:v>
                </c:pt>
                <c:pt idx="16">
                  <c:v>69.525114296029074</c:v>
                </c:pt>
                <c:pt idx="17">
                  <c:v>66.543572808086608</c:v>
                </c:pt>
                <c:pt idx="18">
                  <c:v>63.68989288116903</c:v>
                </c:pt>
                <c:pt idx="19">
                  <c:v>60.958591251382821</c:v>
                </c:pt>
                <c:pt idx="20">
                  <c:v>58.344419801212275</c:v>
                </c:pt>
                <c:pt idx="21">
                  <c:v>55.842355475412511</c:v>
                </c:pt>
                <c:pt idx="22">
                  <c:v>53.447590629353378</c:v>
                </c:pt>
                <c:pt idx="23">
                  <c:v>51.155523791268621</c:v>
                </c:pt>
                <c:pt idx="24">
                  <c:v>48.961750820660136</c:v>
                </c:pt>
                <c:pt idx="25">
                  <c:v>46.862056445868774</c:v>
                </c:pt>
                <c:pt idx="26">
                  <c:v>44.852406164551091</c:v>
                </c:pt>
                <c:pt idx="27">
                  <c:v>42.928938491499139</c:v>
                </c:pt>
                <c:pt idx="28">
                  <c:v>41.087957538907666</c:v>
                </c:pt>
                <c:pt idx="29">
                  <c:v>39.325925914832112</c:v>
                </c:pt>
                <c:pt idx="30">
                  <c:v>37.639457926191646</c:v>
                </c:pt>
                <c:pt idx="31">
                  <c:v>36.02531307325733</c:v>
                </c:pt>
                <c:pt idx="32">
                  <c:v>34.480389823125158</c:v>
                </c:pt>
                <c:pt idx="33">
                  <c:v>33.001719650209708</c:v>
                </c:pt>
                <c:pt idx="34">
                  <c:v>31.586461332307653</c:v>
                </c:pt>
                <c:pt idx="35">
                  <c:v>30.231895491271072</c:v>
                </c:pt>
                <c:pt idx="36">
                  <c:v>28.935419367800485</c:v>
                </c:pt>
                <c:pt idx="37">
                  <c:v>27.694541820317792</c:v>
                </c:pt>
                <c:pt idx="38">
                  <c:v>26.506878538309341</c:v>
                </c:pt>
                <c:pt idx="39">
                  <c:v>25.370147460941883</c:v>
                </c:pt>
                <c:pt idx="40">
                  <c:v>24.282164392148335</c:v>
                </c:pt>
                <c:pt idx="41">
                  <c:v>23.240838803757839</c:v>
                </c:pt>
                <c:pt idx="42">
                  <c:v>22.244169818606029</c:v>
                </c:pt>
                <c:pt idx="43">
                  <c:v>21.290242365907126</c:v>
                </c:pt>
                <c:pt idx="44">
                  <c:v>20.377223501500488</c:v>
                </c:pt>
                <c:pt idx="45">
                  <c:v>19.50335888590115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7E2-469D-8B37-076114A35A29}"/>
            </c:ext>
          </c:extLst>
        </c:ser>
        <c:ser>
          <c:idx val="2"/>
          <c:order val="2"/>
          <c:tx>
            <c:strRef>
              <c:f>'18x18x4_ETS75'!$AJ$22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'18x18x4_ETS75'!$AJ$23:$AJ$68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70.969654979803082</c:v>
                </c:pt>
                <c:pt idx="10">
                  <c:v>68.515256131224461</c:v>
                </c:pt>
                <c:pt idx="11">
                  <c:v>66.145739669485948</c:v>
                </c:pt>
                <c:pt idx="12">
                  <c:v>63.858170040897946</c:v>
                </c:pt>
                <c:pt idx="13">
                  <c:v>61.649713214310275</c:v>
                </c:pt>
                <c:pt idx="14">
                  <c:v>59.517633170079179</c:v>
                </c:pt>
                <c:pt idx="15">
                  <c:v>57.459288510458975</c:v>
                </c:pt>
                <c:pt idx="16">
                  <c:v>55.472129187219331</c:v>
                </c:pt>
                <c:pt idx="17">
                  <c:v>53.553693342433803</c:v>
                </c:pt>
                <c:pt idx="18">
                  <c:v>51.701604258525926</c:v>
                </c:pt>
                <c:pt idx="19">
                  <c:v>49.913567413794098</c:v>
                </c:pt>
                <c:pt idx="20">
                  <c:v>48.187367639767707</c:v>
                </c:pt>
                <c:pt idx="21">
                  <c:v>46.520866376872483</c:v>
                </c:pt>
                <c:pt idx="22">
                  <c:v>44.911999025005414</c:v>
                </c:pt>
                <c:pt idx="23">
                  <c:v>43.358772385736735</c:v>
                </c:pt>
                <c:pt idx="24">
                  <c:v>41.859262192970277</c:v>
                </c:pt>
                <c:pt idx="25">
                  <c:v>40.411610729002831</c:v>
                </c:pt>
                <c:pt idx="26">
                  <c:v>39.01402452302932</c:v>
                </c:pt>
                <c:pt idx="27">
                  <c:v>37.664772129242259</c:v>
                </c:pt>
                <c:pt idx="28">
                  <c:v>36.362181981772949</c:v>
                </c:pt>
                <c:pt idx="29">
                  <c:v>35.104640323816909</c:v>
                </c:pt>
                <c:pt idx="30">
                  <c:v>33.890589208378032</c:v>
                </c:pt>
                <c:pt idx="31">
                  <c:v>32.718524568154464</c:v>
                </c:pt>
                <c:pt idx="32">
                  <c:v>31.586994352175214</c:v>
                </c:pt>
                <c:pt idx="33">
                  <c:v>30.494596726878871</c:v>
                </c:pt>
                <c:pt idx="34">
                  <c:v>29.439978339405787</c:v>
                </c:pt>
                <c:pt idx="35">
                  <c:v>28.421832640952271</c:v>
                </c:pt>
                <c:pt idx="36">
                  <c:v>27.438898268109408</c:v>
                </c:pt>
                <c:pt idx="37">
                  <c:v>26.489957480181399</c:v>
                </c:pt>
                <c:pt idx="38">
                  <c:v>25.57383465054729</c:v>
                </c:pt>
                <c:pt idx="39">
                  <c:v>24.689394810197125</c:v>
                </c:pt>
                <c:pt idx="40">
                  <c:v>23.83554224163813</c:v>
                </c:pt>
                <c:pt idx="41">
                  <c:v>23.011219121428905</c:v>
                </c:pt>
                <c:pt idx="42">
                  <c:v>22.215404209659948</c:v>
                </c:pt>
                <c:pt idx="43">
                  <c:v>21.447111584756886</c:v>
                </c:pt>
                <c:pt idx="44">
                  <c:v>20.705389422038962</c:v>
                </c:pt>
                <c:pt idx="45">
                  <c:v>19.989318814519642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7E2-469D-8B37-076114A35A29}"/>
            </c:ext>
          </c:extLst>
        </c:ser>
        <c:ser>
          <c:idx val="3"/>
          <c:order val="3"/>
          <c:tx>
            <c:strRef>
              <c:f>'18x18x4_ETS75'!$AK$22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'18x18x4_ETS75'!$AK$23:$AK$68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81.179066799929373</c:v>
                </c:pt>
                <c:pt idx="10">
                  <c:v>77.419991306726317</c:v>
                </c:pt>
                <c:pt idx="11">
                  <c:v>73.834983453379564</c:v>
                </c:pt>
                <c:pt idx="12">
                  <c:v>70.415982868848431</c:v>
                </c:pt>
                <c:pt idx="13">
                  <c:v>67.155302425397906</c:v>
                </c:pt>
                <c:pt idx="14">
                  <c:v>64.045610955205106</c:v>
                </c:pt>
                <c:pt idx="15">
                  <c:v>61.079916767289944</c:v>
                </c:pt>
                <c:pt idx="16">
                  <c:v>58.251551927710373</c:v>
                </c:pt>
                <c:pt idx="17">
                  <c:v>55.554157267678505</c:v>
                </c:pt>
                <c:pt idx="18">
                  <c:v>52.981668085890334</c:v>
                </c:pt>
                <c:pt idx="19">
                  <c:v>50.528300512923096</c:v>
                </c:pt>
                <c:pt idx="20">
                  <c:v>48.188538507042381</c:v>
                </c:pt>
                <c:pt idx="21">
                  <c:v>45.957121452181006</c:v>
                </c:pt>
                <c:pt idx="22">
                  <c:v>43.829032330205543</c:v>
                </c:pt>
                <c:pt idx="23">
                  <c:v>41.799486440877551</c:v>
                </c:pt>
                <c:pt idx="24">
                  <c:v>39.863920644147889</c:v>
                </c:pt>
                <c:pt idx="25">
                  <c:v>38.0179831005971</c:v>
                </c:pt>
                <c:pt idx="26">
                  <c:v>36.257523486954611</c:v>
                </c:pt>
                <c:pt idx="27">
                  <c:v>34.578583664697838</c:v>
                </c:pt>
                <c:pt idx="28">
                  <c:v>32.977388780750864</c:v>
                </c:pt>
                <c:pt idx="29">
                  <c:v>31.450338780273935</c:v>
                </c:pt>
                <c:pt idx="30">
                  <c:v>29.994000312461388</c:v>
                </c:pt>
                <c:pt idx="31">
                  <c:v>28.605099011149608</c:v>
                </c:pt>
                <c:pt idx="32">
                  <c:v>27.280512132878766</c:v>
                </c:pt>
                <c:pt idx="33">
                  <c:v>26.017261535856363</c:v>
                </c:pt>
                <c:pt idx="34">
                  <c:v>24.812506984036645</c:v>
                </c:pt>
                <c:pt idx="35">
                  <c:v>23.663539761261156</c:v>
                </c:pt>
                <c:pt idx="36">
                  <c:v>22.567776581102621</c:v>
                </c:pt>
                <c:pt idx="37">
                  <c:v>21.522753778719554</c:v>
                </c:pt>
                <c:pt idx="38">
                  <c:v>20.526121771662556</c:v>
                </c:pt>
                <c:pt idx="39">
                  <c:v>19.57563977717842</c:v>
                </c:pt>
                <c:pt idx="40">
                  <c:v>18.669170774134574</c:v>
                </c:pt>
                <c:pt idx="41">
                  <c:v>17.804676698236516</c:v>
                </c:pt>
                <c:pt idx="42">
                  <c:v>16.980213859735368</c:v>
                </c:pt>
                <c:pt idx="43">
                  <c:v>16.193928573322921</c:v>
                </c:pt>
                <c:pt idx="44">
                  <c:v>15.444052990388634</c:v>
                </c:pt>
                <c:pt idx="45">
                  <c:v>14.728901124268026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7E2-469D-8B37-076114A35A29}"/>
            </c:ext>
          </c:extLst>
        </c:ser>
        <c:ser>
          <c:idx val="4"/>
          <c:order val="4"/>
          <c:tx>
            <c:strRef>
              <c:f>'18x18x4_ETS75'!$AL$22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'18x18x4_ETS75'!$AL$23:$AL$68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78.128147144027395</c:v>
                </c:pt>
                <c:pt idx="10">
                  <c:v>75.301281399030287</c:v>
                </c:pt>
                <c:pt idx="11">
                  <c:v>72.576698508962608</c:v>
                </c:pt>
                <c:pt idx="12">
                  <c:v>69.950697632201113</c:v>
                </c:pt>
                <c:pt idx="13">
                  <c:v>67.419711832543172</c:v>
                </c:pt>
                <c:pt idx="14">
                  <c:v>64.980303234184248</c:v>
                </c:pt>
                <c:pt idx="15">
                  <c:v>62.629158351999727</c:v>
                </c:pt>
                <c:pt idx="16">
                  <c:v>60.363083590788627</c:v>
                </c:pt>
                <c:pt idx="17">
                  <c:v>58.179000907365584</c:v>
                </c:pt>
                <c:pt idx="18">
                  <c:v>56.073943629608813</c:v>
                </c:pt>
                <c:pt idx="19">
                  <c:v>54.045052426785034</c:v>
                </c:pt>
                <c:pt idx="20">
                  <c:v>52.08957142567786</c:v>
                </c:pt>
                <c:pt idx="21">
                  <c:v>50.204844467244094</c:v>
                </c:pt>
                <c:pt idx="22">
                  <c:v>48.388311498713186</c:v>
                </c:pt>
                <c:pt idx="23">
                  <c:v>46.637505096229361</c:v>
                </c:pt>
                <c:pt idx="24">
                  <c:v>44.950047113312934</c:v>
                </c:pt>
                <c:pt idx="25">
                  <c:v>43.32364545058843</c:v>
                </c:pt>
                <c:pt idx="26">
                  <c:v>41.756090942391829</c:v>
                </c:pt>
                <c:pt idx="27">
                  <c:v>40.245254356027772</c:v>
                </c:pt>
                <c:pt idx="28">
                  <c:v>38.789083499601062</c:v>
                </c:pt>
                <c:pt idx="29">
                  <c:v>37.38560043449376</c:v>
                </c:pt>
                <c:pt idx="30">
                  <c:v>36.03289878870158</c:v>
                </c:pt>
                <c:pt idx="31">
                  <c:v>34.729141167380398</c:v>
                </c:pt>
                <c:pt idx="32">
                  <c:v>33.47255665708537</c:v>
                </c:pt>
                <c:pt idx="33">
                  <c:v>32.261438420312714</c:v>
                </c:pt>
                <c:pt idx="34">
                  <c:v>31.094141377076902</c:v>
                </c:pt>
                <c:pt idx="35">
                  <c:v>29.96907997037394</c:v>
                </c:pt>
                <c:pt idx="36">
                  <c:v>28.88472601249558</c:v>
                </c:pt>
                <c:pt idx="37">
                  <c:v>27.839606609269179</c:v>
                </c:pt>
                <c:pt idx="38">
                  <c:v>26.832302159403511</c:v>
                </c:pt>
                <c:pt idx="39">
                  <c:v>25.861444426223184</c:v>
                </c:pt>
                <c:pt idx="40">
                  <c:v>24.92571467917228</c:v>
                </c:pt>
                <c:pt idx="41">
                  <c:v>24.023841902562985</c:v>
                </c:pt>
                <c:pt idx="42">
                  <c:v>23.154601069135992</c:v>
                </c:pt>
                <c:pt idx="43">
                  <c:v>22.316811476087675</c:v>
                </c:pt>
                <c:pt idx="44">
                  <c:v>21.50933514130385</c:v>
                </c:pt>
                <c:pt idx="45">
                  <c:v>20.731075257621683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D7E2-469D-8B37-076114A35A29}"/>
            </c:ext>
          </c:extLst>
        </c:ser>
        <c:ser>
          <c:idx val="5"/>
          <c:order val="5"/>
          <c:tx>
            <c:strRef>
              <c:f>'18x18x4_ETS75'!$AM$22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'18x18x4_ETS75'!$AM$23:$AM$68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90.284267211567169</c:v>
                </c:pt>
                <c:pt idx="10">
                  <c:v>86.702226497718513</c:v>
                </c:pt>
                <c:pt idx="11">
                  <c:v>83.262303741648722</c:v>
                </c:pt>
                <c:pt idx="12">
                  <c:v>79.958860393844645</c:v>
                </c:pt>
                <c:pt idx="13">
                  <c:v>76.786481615020179</c:v>
                </c:pt>
                <c:pt idx="14">
                  <c:v>73.739967400382426</c:v>
                </c:pt>
                <c:pt idx="15">
                  <c:v>70.814324056043461</c:v>
                </c:pt>
                <c:pt idx="16">
                  <c:v>68.004756013606936</c:v>
                </c:pt>
                <c:pt idx="17">
                  <c:v>65.306657969511889</c:v>
                </c:pt>
                <c:pt idx="18">
                  <c:v>62.715607336249299</c:v>
                </c:pt>
                <c:pt idx="19">
                  <c:v>60.227356993077578</c:v>
                </c:pt>
                <c:pt idx="20">
                  <c:v>57.837828324354433</c:v>
                </c:pt>
                <c:pt idx="21">
                  <c:v>55.543104534073905</c:v>
                </c:pt>
                <c:pt idx="22">
                  <c:v>53.339424225650113</c:v>
                </c:pt>
                <c:pt idx="23">
                  <c:v>51.223175236423721</c:v>
                </c:pt>
                <c:pt idx="24">
                  <c:v>49.190888716785608</c:v>
                </c:pt>
                <c:pt idx="25">
                  <c:v>47.239233444211727</c:v>
                </c:pt>
                <c:pt idx="26">
                  <c:v>45.365010362889677</c:v>
                </c:pt>
                <c:pt idx="27">
                  <c:v>43.56514733998619</c:v>
                </c:pt>
                <c:pt idx="28">
                  <c:v>41.836694129960563</c:v>
                </c:pt>
                <c:pt idx="29">
                  <c:v>40.176817538669454</c:v>
                </c:pt>
                <c:pt idx="30">
                  <c:v>38.582796779336711</c:v>
                </c:pt>
                <c:pt idx="31">
                  <c:v>37.05201901277556</c:v>
                </c:pt>
                <c:pt idx="32">
                  <c:v>35.581975064553191</c:v>
                </c:pt>
                <c:pt idx="33">
                  <c:v>34.170255312077337</c:v>
                </c:pt>
                <c:pt idx="34">
                  <c:v>32.814545734863394</c:v>
                </c:pt>
                <c:pt idx="35">
                  <c:v>31.512624121507603</c:v>
                </c:pt>
                <c:pt idx="36">
                  <c:v>30.262356427149147</c:v>
                </c:pt>
                <c:pt idx="37">
                  <c:v>29.061693275450445</c:v>
                </c:pt>
                <c:pt idx="38">
                  <c:v>27.908666599361879</c:v>
                </c:pt>
                <c:pt idx="39">
                  <c:v>26.801386415164586</c:v>
                </c:pt>
                <c:pt idx="40">
                  <c:v>25.738037724503567</c:v>
                </c:pt>
                <c:pt idx="41">
                  <c:v>24.716877539333094</c:v>
                </c:pt>
                <c:pt idx="42">
                  <c:v>23.736232024897781</c:v>
                </c:pt>
                <c:pt idx="43">
                  <c:v>22.794493756066277</c:v>
                </c:pt>
                <c:pt idx="44">
                  <c:v>21.890119082520307</c:v>
                </c:pt>
                <c:pt idx="45">
                  <c:v>21.021625598480188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D7E2-469D-8B37-076114A35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4184720"/>
        <c:axId val="364185280"/>
      </c:lineChart>
      <c:catAx>
        <c:axId val="364184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4185280"/>
        <c:crosses val="autoZero"/>
        <c:auto val="1"/>
        <c:lblAlgn val="ctr"/>
        <c:lblOffset val="100"/>
        <c:noMultiLvlLbl val="0"/>
      </c:catAx>
      <c:valAx>
        <c:axId val="36418528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3641847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'18x18x4_ETS75'!$AP$22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'18x18x4_ETS75'!$AP$23:$AP$68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87.884688729293742</c:v>
                </c:pt>
                <c:pt idx="10">
                  <c:v>85.973843512175009</c:v>
                </c:pt>
                <c:pt idx="11">
                  <c:v>84.062998295056275</c:v>
                </c:pt>
                <c:pt idx="12">
                  <c:v>82.152153077937555</c:v>
                </c:pt>
                <c:pt idx="13">
                  <c:v>80.241307860818807</c:v>
                </c:pt>
                <c:pt idx="14">
                  <c:v>78.330462643700073</c:v>
                </c:pt>
                <c:pt idx="15">
                  <c:v>76.419617426581326</c:v>
                </c:pt>
                <c:pt idx="16">
                  <c:v>74.508772209462592</c:v>
                </c:pt>
                <c:pt idx="17">
                  <c:v>72.597926992343858</c:v>
                </c:pt>
                <c:pt idx="18">
                  <c:v>70.687081775225124</c:v>
                </c:pt>
                <c:pt idx="19">
                  <c:v>68.77623655810639</c:v>
                </c:pt>
                <c:pt idx="20">
                  <c:v>66.865391340987657</c:v>
                </c:pt>
                <c:pt idx="21">
                  <c:v>64.954546123868923</c:v>
                </c:pt>
                <c:pt idx="22">
                  <c:v>63.043700906750189</c:v>
                </c:pt>
                <c:pt idx="23">
                  <c:v>61.132855689631462</c:v>
                </c:pt>
                <c:pt idx="24">
                  <c:v>59.222010472512721</c:v>
                </c:pt>
                <c:pt idx="25">
                  <c:v>57.311165255393995</c:v>
                </c:pt>
                <c:pt idx="26">
                  <c:v>55.400320038275261</c:v>
                </c:pt>
                <c:pt idx="27">
                  <c:v>53.489474821156527</c:v>
                </c:pt>
                <c:pt idx="28">
                  <c:v>51.578629604037793</c:v>
                </c:pt>
                <c:pt idx="29">
                  <c:v>49.667784386919045</c:v>
                </c:pt>
                <c:pt idx="30">
                  <c:v>47.756939169800319</c:v>
                </c:pt>
                <c:pt idx="31">
                  <c:v>45.846093952681578</c:v>
                </c:pt>
                <c:pt idx="32">
                  <c:v>43.935248735562823</c:v>
                </c:pt>
                <c:pt idx="33">
                  <c:v>42.024403518444089</c:v>
                </c:pt>
                <c:pt idx="34">
                  <c:v>40.113558301325348</c:v>
                </c:pt>
                <c:pt idx="35">
                  <c:v>38.202713084206607</c:v>
                </c:pt>
                <c:pt idx="36">
                  <c:v>36.291867867087866</c:v>
                </c:pt>
                <c:pt idx="37">
                  <c:v>34.381022649969125</c:v>
                </c:pt>
                <c:pt idx="38">
                  <c:v>32.470177432850392</c:v>
                </c:pt>
                <c:pt idx="39">
                  <c:v>30.559332215731651</c:v>
                </c:pt>
                <c:pt idx="40">
                  <c:v>28.64848699861291</c:v>
                </c:pt>
                <c:pt idx="41">
                  <c:v>26.737641781494169</c:v>
                </c:pt>
                <c:pt idx="42">
                  <c:v>24.826796564375432</c:v>
                </c:pt>
                <c:pt idx="43">
                  <c:v>22.915951347256698</c:v>
                </c:pt>
                <c:pt idx="44">
                  <c:v>21.005106130137953</c:v>
                </c:pt>
                <c:pt idx="45">
                  <c:v>19.09426091301922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FE6-4D4C-AE31-B6F45C59599F}"/>
            </c:ext>
          </c:extLst>
        </c:ser>
        <c:ser>
          <c:idx val="1"/>
          <c:order val="1"/>
          <c:tx>
            <c:strRef>
              <c:f>'18x18x4_ETS75'!$AQ$22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'18x18x4_ETS75'!$AQ$23:$AQ$68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96.583728864333025</c:v>
                </c:pt>
                <c:pt idx="10">
                  <c:v>94.44260747604325</c:v>
                </c:pt>
                <c:pt idx="11">
                  <c:v>92.301486087753474</c:v>
                </c:pt>
                <c:pt idx="12">
                  <c:v>90.160364699463685</c:v>
                </c:pt>
                <c:pt idx="13">
                  <c:v>88.019243311173909</c:v>
                </c:pt>
                <c:pt idx="14">
                  <c:v>85.878121922884134</c:v>
                </c:pt>
                <c:pt idx="15">
                  <c:v>83.737000534594358</c:v>
                </c:pt>
                <c:pt idx="16">
                  <c:v>81.595879146304583</c:v>
                </c:pt>
                <c:pt idx="17">
                  <c:v>79.454757758014807</c:v>
                </c:pt>
                <c:pt idx="18">
                  <c:v>77.313636369725032</c:v>
                </c:pt>
                <c:pt idx="19">
                  <c:v>75.172514981435242</c:v>
                </c:pt>
                <c:pt idx="20">
                  <c:v>73.031393593145467</c:v>
                </c:pt>
                <c:pt idx="21">
                  <c:v>70.890272204855691</c:v>
                </c:pt>
                <c:pt idx="22">
                  <c:v>68.749150816565901</c:v>
                </c:pt>
                <c:pt idx="23">
                  <c:v>66.608029428276126</c:v>
                </c:pt>
                <c:pt idx="24">
                  <c:v>64.46690803998635</c:v>
                </c:pt>
                <c:pt idx="25">
                  <c:v>62.325786651696561</c:v>
                </c:pt>
                <c:pt idx="26">
                  <c:v>60.184665263406778</c:v>
                </c:pt>
                <c:pt idx="27">
                  <c:v>58.043543875116995</c:v>
                </c:pt>
                <c:pt idx="28">
                  <c:v>55.90242248682722</c:v>
                </c:pt>
                <c:pt idx="29">
                  <c:v>53.761301098537437</c:v>
                </c:pt>
                <c:pt idx="30">
                  <c:v>51.620179710247683</c:v>
                </c:pt>
                <c:pt idx="31">
                  <c:v>49.479058321957901</c:v>
                </c:pt>
                <c:pt idx="32">
                  <c:v>47.337936933668132</c:v>
                </c:pt>
                <c:pt idx="33">
                  <c:v>45.196815545378357</c:v>
                </c:pt>
                <c:pt idx="34">
                  <c:v>43.055694157088588</c:v>
                </c:pt>
                <c:pt idx="35">
                  <c:v>40.914572768798813</c:v>
                </c:pt>
                <c:pt idx="36">
                  <c:v>38.77345138050903</c:v>
                </c:pt>
                <c:pt idx="37">
                  <c:v>36.632329992219269</c:v>
                </c:pt>
                <c:pt idx="38">
                  <c:v>34.491208603929493</c:v>
                </c:pt>
                <c:pt idx="39">
                  <c:v>32.350087215639718</c:v>
                </c:pt>
                <c:pt idx="40">
                  <c:v>30.208965827349942</c:v>
                </c:pt>
                <c:pt idx="41">
                  <c:v>28.067844439060174</c:v>
                </c:pt>
                <c:pt idx="42">
                  <c:v>25.926723050770395</c:v>
                </c:pt>
                <c:pt idx="43">
                  <c:v>23.785601662480619</c:v>
                </c:pt>
                <c:pt idx="44">
                  <c:v>21.64448027419084</c:v>
                </c:pt>
                <c:pt idx="45">
                  <c:v>19.503358885901068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FE6-4D4C-AE31-B6F45C59599F}"/>
            </c:ext>
          </c:extLst>
        </c:ser>
        <c:ser>
          <c:idx val="2"/>
          <c:order val="2"/>
          <c:tx>
            <c:strRef>
              <c:f>'18x18x4_ETS75'!$AR$22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'18x18x4_ETS75'!$AR$23:$AR$68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72.065418600860042</c:v>
                </c:pt>
                <c:pt idx="10">
                  <c:v>70.618860273461692</c:v>
                </c:pt>
                <c:pt idx="11">
                  <c:v>69.172301946063342</c:v>
                </c:pt>
                <c:pt idx="12">
                  <c:v>67.725743618665007</c:v>
                </c:pt>
                <c:pt idx="13">
                  <c:v>66.279185291266657</c:v>
                </c:pt>
                <c:pt idx="14">
                  <c:v>64.832626963868307</c:v>
                </c:pt>
                <c:pt idx="15">
                  <c:v>63.386068636469957</c:v>
                </c:pt>
                <c:pt idx="16">
                  <c:v>61.939510309071608</c:v>
                </c:pt>
                <c:pt idx="17">
                  <c:v>60.492951981673258</c:v>
                </c:pt>
                <c:pt idx="18">
                  <c:v>59.046393654274922</c:v>
                </c:pt>
                <c:pt idx="19">
                  <c:v>57.599835326876573</c:v>
                </c:pt>
                <c:pt idx="20">
                  <c:v>56.15327699947823</c:v>
                </c:pt>
                <c:pt idx="21">
                  <c:v>54.706718672079866</c:v>
                </c:pt>
                <c:pt idx="22">
                  <c:v>53.260160344681516</c:v>
                </c:pt>
                <c:pt idx="23">
                  <c:v>51.813602017283181</c:v>
                </c:pt>
                <c:pt idx="24">
                  <c:v>50.367043689884824</c:v>
                </c:pt>
                <c:pt idx="25">
                  <c:v>48.920485362486481</c:v>
                </c:pt>
                <c:pt idx="26">
                  <c:v>47.473927035088138</c:v>
                </c:pt>
                <c:pt idx="27">
                  <c:v>46.027368707689789</c:v>
                </c:pt>
                <c:pt idx="28">
                  <c:v>44.580810380291439</c:v>
                </c:pt>
                <c:pt idx="29">
                  <c:v>43.134252052893096</c:v>
                </c:pt>
                <c:pt idx="30">
                  <c:v>41.687693725494753</c:v>
                </c:pt>
                <c:pt idx="31">
                  <c:v>40.241135398096404</c:v>
                </c:pt>
                <c:pt idx="32">
                  <c:v>38.794577070698054</c:v>
                </c:pt>
                <c:pt idx="33">
                  <c:v>37.348018743299704</c:v>
                </c:pt>
                <c:pt idx="34">
                  <c:v>35.901460415901354</c:v>
                </c:pt>
                <c:pt idx="35">
                  <c:v>34.454902088503012</c:v>
                </c:pt>
                <c:pt idx="36">
                  <c:v>33.008343761104662</c:v>
                </c:pt>
                <c:pt idx="37">
                  <c:v>31.561785433706319</c:v>
                </c:pt>
                <c:pt idx="38">
                  <c:v>30.11522710630797</c:v>
                </c:pt>
                <c:pt idx="39">
                  <c:v>28.668668778909623</c:v>
                </c:pt>
                <c:pt idx="40">
                  <c:v>27.222110451511274</c:v>
                </c:pt>
                <c:pt idx="41">
                  <c:v>25.77555212411292</c:v>
                </c:pt>
                <c:pt idx="42">
                  <c:v>24.328993796714578</c:v>
                </c:pt>
                <c:pt idx="43">
                  <c:v>22.882435469316238</c:v>
                </c:pt>
                <c:pt idx="44">
                  <c:v>21.435877141917896</c:v>
                </c:pt>
                <c:pt idx="45">
                  <c:v>19.98931881451955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FE6-4D4C-AE31-B6F45C59599F}"/>
            </c:ext>
          </c:extLst>
        </c:ser>
        <c:ser>
          <c:idx val="3"/>
          <c:order val="3"/>
          <c:tx>
            <c:strRef>
              <c:f>'18x18x4_ETS75'!$AS$22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'18x18x4_ETS75'!$AS$23:$AS$68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83.21818165516504</c:v>
                </c:pt>
                <c:pt idx="10">
                  <c:v>81.315701640417899</c:v>
                </c:pt>
                <c:pt idx="11">
                  <c:v>79.413221625670744</c:v>
                </c:pt>
                <c:pt idx="12">
                  <c:v>77.510741610923603</c:v>
                </c:pt>
                <c:pt idx="13">
                  <c:v>75.608261596176476</c:v>
                </c:pt>
                <c:pt idx="14">
                  <c:v>73.705781581429335</c:v>
                </c:pt>
                <c:pt idx="15">
                  <c:v>71.803301566682194</c:v>
                </c:pt>
                <c:pt idx="16">
                  <c:v>69.900821551935039</c:v>
                </c:pt>
                <c:pt idx="17">
                  <c:v>67.998341537187912</c:v>
                </c:pt>
                <c:pt idx="18">
                  <c:v>66.095861522440771</c:v>
                </c:pt>
                <c:pt idx="19">
                  <c:v>64.19338150769363</c:v>
                </c:pt>
                <c:pt idx="20">
                  <c:v>62.290901492946503</c:v>
                </c:pt>
                <c:pt idx="21">
                  <c:v>60.388421478199362</c:v>
                </c:pt>
                <c:pt idx="22">
                  <c:v>58.485941463452221</c:v>
                </c:pt>
                <c:pt idx="23">
                  <c:v>56.583461448705073</c:v>
                </c:pt>
                <c:pt idx="24">
                  <c:v>54.680981433957939</c:v>
                </c:pt>
                <c:pt idx="25">
                  <c:v>52.778501419210798</c:v>
                </c:pt>
                <c:pt idx="26">
                  <c:v>50.876021404463664</c:v>
                </c:pt>
                <c:pt idx="27">
                  <c:v>48.973541389716523</c:v>
                </c:pt>
                <c:pt idx="28">
                  <c:v>47.071061374969382</c:v>
                </c:pt>
                <c:pt idx="29">
                  <c:v>45.168581360222234</c:v>
                </c:pt>
                <c:pt idx="30">
                  <c:v>43.2661013454751</c:v>
                </c:pt>
                <c:pt idx="31">
                  <c:v>41.363621330727959</c:v>
                </c:pt>
                <c:pt idx="32">
                  <c:v>39.461141315980825</c:v>
                </c:pt>
                <c:pt idx="33">
                  <c:v>37.558661301233684</c:v>
                </c:pt>
                <c:pt idx="34">
                  <c:v>35.65618128648655</c:v>
                </c:pt>
                <c:pt idx="35">
                  <c:v>33.753701271739409</c:v>
                </c:pt>
                <c:pt idx="36">
                  <c:v>31.851221256992261</c:v>
                </c:pt>
                <c:pt idx="37">
                  <c:v>29.948741242245131</c:v>
                </c:pt>
                <c:pt idx="38">
                  <c:v>28.046261227497986</c:v>
                </c:pt>
                <c:pt idx="39">
                  <c:v>26.143781212750845</c:v>
                </c:pt>
                <c:pt idx="40">
                  <c:v>24.241301198003708</c:v>
                </c:pt>
                <c:pt idx="41">
                  <c:v>22.33882118325657</c:v>
                </c:pt>
                <c:pt idx="42">
                  <c:v>20.436341168509429</c:v>
                </c:pt>
                <c:pt idx="43">
                  <c:v>18.533861153762288</c:v>
                </c:pt>
                <c:pt idx="44">
                  <c:v>16.631381139015151</c:v>
                </c:pt>
                <c:pt idx="45">
                  <c:v>14.728901124268013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FE6-4D4C-AE31-B6F45C59599F}"/>
            </c:ext>
          </c:extLst>
        </c:ser>
        <c:ser>
          <c:idx val="4"/>
          <c:order val="4"/>
          <c:tx>
            <c:strRef>
              <c:f>'18x18x4_ETS75'!$AT$22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'18x18x4_ETS75'!$AT$23:$AT$68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79.430593348709465</c:v>
                </c:pt>
                <c:pt idx="10">
                  <c:v>77.800051179512579</c:v>
                </c:pt>
                <c:pt idx="11">
                  <c:v>76.169509010315693</c:v>
                </c:pt>
                <c:pt idx="12">
                  <c:v>74.538966841118807</c:v>
                </c:pt>
                <c:pt idx="13">
                  <c:v>72.908424671921921</c:v>
                </c:pt>
                <c:pt idx="14">
                  <c:v>71.277882502725049</c:v>
                </c:pt>
                <c:pt idx="15">
                  <c:v>69.647340333528149</c:v>
                </c:pt>
                <c:pt idx="16">
                  <c:v>68.016798164331277</c:v>
                </c:pt>
                <c:pt idx="17">
                  <c:v>66.386255995134363</c:v>
                </c:pt>
                <c:pt idx="18">
                  <c:v>64.755713825937505</c:v>
                </c:pt>
                <c:pt idx="19">
                  <c:v>63.125171656740605</c:v>
                </c:pt>
                <c:pt idx="20">
                  <c:v>61.494629487543726</c:v>
                </c:pt>
                <c:pt idx="21">
                  <c:v>59.864087318346847</c:v>
                </c:pt>
                <c:pt idx="22">
                  <c:v>58.233545149149954</c:v>
                </c:pt>
                <c:pt idx="23">
                  <c:v>56.603002979953075</c:v>
                </c:pt>
                <c:pt idx="24">
                  <c:v>54.972460810756182</c:v>
                </c:pt>
                <c:pt idx="25">
                  <c:v>53.341918641559303</c:v>
                </c:pt>
                <c:pt idx="26">
                  <c:v>51.711376472362417</c:v>
                </c:pt>
                <c:pt idx="27">
                  <c:v>50.080834303165531</c:v>
                </c:pt>
                <c:pt idx="28">
                  <c:v>48.450292133968645</c:v>
                </c:pt>
                <c:pt idx="29">
                  <c:v>46.819749964771759</c:v>
                </c:pt>
                <c:pt idx="30">
                  <c:v>45.189207795574873</c:v>
                </c:pt>
                <c:pt idx="31">
                  <c:v>43.558665626377994</c:v>
                </c:pt>
                <c:pt idx="32">
                  <c:v>41.928123457181108</c:v>
                </c:pt>
                <c:pt idx="33">
                  <c:v>40.297581287984215</c:v>
                </c:pt>
                <c:pt idx="34">
                  <c:v>38.667039118787336</c:v>
                </c:pt>
                <c:pt idx="35">
                  <c:v>37.03649694959045</c:v>
                </c:pt>
                <c:pt idx="36">
                  <c:v>35.405954780393564</c:v>
                </c:pt>
                <c:pt idx="37">
                  <c:v>33.775412611196678</c:v>
                </c:pt>
                <c:pt idx="38">
                  <c:v>32.144870441999792</c:v>
                </c:pt>
                <c:pt idx="39">
                  <c:v>30.514328272802903</c:v>
                </c:pt>
                <c:pt idx="40">
                  <c:v>28.883786103606017</c:v>
                </c:pt>
                <c:pt idx="41">
                  <c:v>27.253243934409138</c:v>
                </c:pt>
                <c:pt idx="42">
                  <c:v>25.622701765212252</c:v>
                </c:pt>
                <c:pt idx="43">
                  <c:v>23.99215959601537</c:v>
                </c:pt>
                <c:pt idx="44">
                  <c:v>22.361617426818491</c:v>
                </c:pt>
                <c:pt idx="45">
                  <c:v>20.731075257621605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2FE6-4D4C-AE31-B6F45C59599F}"/>
            </c:ext>
          </c:extLst>
        </c:ser>
        <c:ser>
          <c:idx val="5"/>
          <c:order val="5"/>
          <c:tx>
            <c:strRef>
              <c:f>'18x18x4_ETS75'!$AU$22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'18x18x4_ETS75'!$AU$23:$AU$68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92.041522472204605</c:v>
                </c:pt>
                <c:pt idx="10">
                  <c:v>90.068747559045605</c:v>
                </c:pt>
                <c:pt idx="11">
                  <c:v>88.09597264588659</c:v>
                </c:pt>
                <c:pt idx="12">
                  <c:v>86.123197732727576</c:v>
                </c:pt>
                <c:pt idx="13">
                  <c:v>84.150422819568576</c:v>
                </c:pt>
                <c:pt idx="14">
                  <c:v>82.177647906409561</c:v>
                </c:pt>
                <c:pt idx="15">
                  <c:v>80.204872993250547</c:v>
                </c:pt>
                <c:pt idx="16">
                  <c:v>78.232098080091532</c:v>
                </c:pt>
                <c:pt idx="17">
                  <c:v>76.259323166932532</c:v>
                </c:pt>
                <c:pt idx="18">
                  <c:v>74.286548253773518</c:v>
                </c:pt>
                <c:pt idx="19">
                  <c:v>72.313773340614503</c:v>
                </c:pt>
                <c:pt idx="20">
                  <c:v>70.340998427455489</c:v>
                </c:pt>
                <c:pt idx="21">
                  <c:v>68.368223514296474</c:v>
                </c:pt>
                <c:pt idx="22">
                  <c:v>66.395448601137488</c:v>
                </c:pt>
                <c:pt idx="23">
                  <c:v>64.422673687978474</c:v>
                </c:pt>
                <c:pt idx="24">
                  <c:v>62.449898774819466</c:v>
                </c:pt>
                <c:pt idx="25">
                  <c:v>60.477123861660452</c:v>
                </c:pt>
                <c:pt idx="26">
                  <c:v>58.504348948501438</c:v>
                </c:pt>
                <c:pt idx="27">
                  <c:v>56.531574035342437</c:v>
                </c:pt>
                <c:pt idx="28">
                  <c:v>54.558799122183423</c:v>
                </c:pt>
                <c:pt idx="29">
                  <c:v>52.586024209024409</c:v>
                </c:pt>
                <c:pt idx="30">
                  <c:v>50.613249295865401</c:v>
                </c:pt>
                <c:pt idx="31">
                  <c:v>48.640474382706387</c:v>
                </c:pt>
                <c:pt idx="32">
                  <c:v>46.667699469547387</c:v>
                </c:pt>
                <c:pt idx="33">
                  <c:v>44.694924556388372</c:v>
                </c:pt>
                <c:pt idx="34">
                  <c:v>42.722149643229365</c:v>
                </c:pt>
                <c:pt idx="35">
                  <c:v>40.749374730070357</c:v>
                </c:pt>
                <c:pt idx="36">
                  <c:v>38.776599816911343</c:v>
                </c:pt>
                <c:pt idx="37">
                  <c:v>36.803824903752343</c:v>
                </c:pt>
                <c:pt idx="38">
                  <c:v>34.831049990593328</c:v>
                </c:pt>
                <c:pt idx="39">
                  <c:v>32.858275077434321</c:v>
                </c:pt>
                <c:pt idx="40">
                  <c:v>30.88550016427531</c:v>
                </c:pt>
                <c:pt idx="41">
                  <c:v>28.912725251116299</c:v>
                </c:pt>
                <c:pt idx="42">
                  <c:v>26.939950337957285</c:v>
                </c:pt>
                <c:pt idx="43">
                  <c:v>24.967175424798281</c:v>
                </c:pt>
                <c:pt idx="44">
                  <c:v>22.994400511639267</c:v>
                </c:pt>
                <c:pt idx="45">
                  <c:v>21.021625598480256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2FE6-4D4C-AE31-B6F45C595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4190880"/>
        <c:axId val="364191440"/>
      </c:lineChart>
      <c:catAx>
        <c:axId val="364190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4191440"/>
        <c:crosses val="autoZero"/>
        <c:auto val="1"/>
        <c:lblAlgn val="ctr"/>
        <c:lblOffset val="100"/>
        <c:noMultiLvlLbl val="0"/>
      </c:catAx>
      <c:valAx>
        <c:axId val="36419144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3641908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'18x18x4_ETS75'!$AH$22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'18x18x4_ETS75'!$AH$23:$AH$68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86.115844457061357</c:v>
                </c:pt>
                <c:pt idx="10">
                  <c:v>82.586943254643558</c:v>
                </c:pt>
                <c:pt idx="11">
                  <c:v>79.202651255966828</c:v>
                </c:pt>
                <c:pt idx="12">
                  <c:v>75.957042587619853</c:v>
                </c:pt>
                <c:pt idx="13">
                  <c:v>72.844434209806124</c:v>
                </c:pt>
                <c:pt idx="14">
                  <c:v>69.859375965378121</c:v>
                </c:pt>
                <c:pt idx="15">
                  <c:v>66.996641036647304</c:v>
                </c:pt>
                <c:pt idx="16">
                  <c:v>64.251216793260085</c:v>
                </c:pt>
                <c:pt idx="17">
                  <c:v>61.618296015114602</c:v>
                </c:pt>
                <c:pt idx="18">
                  <c:v>59.093268474949269</c:v>
                </c:pt>
                <c:pt idx="19">
                  <c:v>56.671712865864755</c:v>
                </c:pt>
                <c:pt idx="20">
                  <c:v>54.349389059644118</c:v>
                </c:pt>
                <c:pt idx="21">
                  <c:v>52.122230682315752</c:v>
                </c:pt>
                <c:pt idx="22">
                  <c:v>49.986337993958792</c:v>
                </c:pt>
                <c:pt idx="23">
                  <c:v>47.937971060283786</c:v>
                </c:pt>
                <c:pt idx="24">
                  <c:v>45.973543204031905</c:v>
                </c:pt>
                <c:pt idx="25">
                  <c:v>44.089614724726239</c:v>
                </c:pt>
                <c:pt idx="26">
                  <c:v>42.282886875778509</c:v>
                </c:pt>
                <c:pt idx="27">
                  <c:v>40.550196088405109</c:v>
                </c:pt>
                <c:pt idx="28">
                  <c:v>38.888508432238638</c:v>
                </c:pt>
                <c:pt idx="29">
                  <c:v>37.294914302935425</c:v>
                </c:pt>
                <c:pt idx="30">
                  <c:v>35.766623327477127</c:v>
                </c:pt>
                <c:pt idx="31">
                  <c:v>34.300959478245609</c:v>
                </c:pt>
                <c:pt idx="32">
                  <c:v>32.895356387315928</c:v>
                </c:pt>
                <c:pt idx="33">
                  <c:v>31.547352852762629</c:v>
                </c:pt>
                <c:pt idx="34">
                  <c:v>30.254588529111103</c:v>
                </c:pt>
                <c:pt idx="35">
                  <c:v>29.014799794387951</c:v>
                </c:pt>
                <c:pt idx="36">
                  <c:v>27.825815786533504</c:v>
                </c:pt>
                <c:pt idx="37">
                  <c:v>26.685554602236394</c:v>
                </c:pt>
                <c:pt idx="38">
                  <c:v>25.592019651534343</c:v>
                </c:pt>
                <c:pt idx="39">
                  <c:v>24.543296161798018</c:v>
                </c:pt>
                <c:pt idx="40">
                  <c:v>23.53754782497656</c:v>
                </c:pt>
                <c:pt idx="41">
                  <c:v>22.573013582234015</c:v>
                </c:pt>
                <c:pt idx="42">
                  <c:v>21.648004540346751</c:v>
                </c:pt>
                <c:pt idx="43">
                  <c:v>20.760901014462302</c:v>
                </c:pt>
                <c:pt idx="44">
                  <c:v>19.910149692041688</c:v>
                </c:pt>
                <c:pt idx="45">
                  <c:v>19.094260913019177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E6F-4C0F-A4F9-AD6314C08B86}"/>
            </c:ext>
          </c:extLst>
        </c:ser>
        <c:ser>
          <c:idx val="1"/>
          <c:order val="1"/>
          <c:tx>
            <c:strRef>
              <c:f>'18x18x4_ETS75'!$AI$22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'18x18x4_ETS75'!$AI$23:$AI$68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94.491096163909091</c:v>
                </c:pt>
                <c:pt idx="10">
                  <c:v>90.438903998437965</c:v>
                </c:pt>
                <c:pt idx="11">
                  <c:v>86.560487585524754</c:v>
                </c:pt>
                <c:pt idx="12">
                  <c:v>82.848394659594661</c:v>
                </c:pt>
                <c:pt idx="13">
                  <c:v>79.295492540868921</c:v>
                </c:pt>
                <c:pt idx="14">
                  <c:v>75.894954430125608</c:v>
                </c:pt>
                <c:pt idx="15">
                  <c:v>72.640246291201422</c:v>
                </c:pt>
                <c:pt idx="16">
                  <c:v>69.525114296029074</c:v>
                </c:pt>
                <c:pt idx="17">
                  <c:v>66.543572808086608</c:v>
                </c:pt>
                <c:pt idx="18">
                  <c:v>63.68989288116903</c:v>
                </c:pt>
                <c:pt idx="19">
                  <c:v>60.958591251382821</c:v>
                </c:pt>
                <c:pt idx="20">
                  <c:v>58.344419801212275</c:v>
                </c:pt>
                <c:pt idx="21">
                  <c:v>55.842355475412511</c:v>
                </c:pt>
                <c:pt idx="22">
                  <c:v>53.447590629353378</c:v>
                </c:pt>
                <c:pt idx="23">
                  <c:v>51.155523791268621</c:v>
                </c:pt>
                <c:pt idx="24">
                  <c:v>48.961750820660136</c:v>
                </c:pt>
                <c:pt idx="25">
                  <c:v>46.862056445868774</c:v>
                </c:pt>
                <c:pt idx="26">
                  <c:v>44.852406164551091</c:v>
                </c:pt>
                <c:pt idx="27">
                  <c:v>42.928938491499139</c:v>
                </c:pt>
                <c:pt idx="28">
                  <c:v>41.087957538907666</c:v>
                </c:pt>
                <c:pt idx="29">
                  <c:v>39.325925914832112</c:v>
                </c:pt>
                <c:pt idx="30">
                  <c:v>37.639457926191646</c:v>
                </c:pt>
                <c:pt idx="31">
                  <c:v>36.02531307325733</c:v>
                </c:pt>
                <c:pt idx="32">
                  <c:v>34.480389823125158</c:v>
                </c:pt>
                <c:pt idx="33">
                  <c:v>33.001719650209708</c:v>
                </c:pt>
                <c:pt idx="34">
                  <c:v>31.586461332307653</c:v>
                </c:pt>
                <c:pt idx="35">
                  <c:v>30.231895491271072</c:v>
                </c:pt>
                <c:pt idx="36">
                  <c:v>28.935419367800485</c:v>
                </c:pt>
                <c:pt idx="37">
                  <c:v>27.694541820317792</c:v>
                </c:pt>
                <c:pt idx="38">
                  <c:v>26.506878538309341</c:v>
                </c:pt>
                <c:pt idx="39">
                  <c:v>25.370147460941883</c:v>
                </c:pt>
                <c:pt idx="40">
                  <c:v>24.282164392148335</c:v>
                </c:pt>
                <c:pt idx="41">
                  <c:v>23.240838803757839</c:v>
                </c:pt>
                <c:pt idx="42">
                  <c:v>22.244169818606029</c:v>
                </c:pt>
                <c:pt idx="43">
                  <c:v>21.290242365907126</c:v>
                </c:pt>
                <c:pt idx="44">
                  <c:v>20.377223501500488</c:v>
                </c:pt>
                <c:pt idx="45">
                  <c:v>19.50335888590115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E6F-4C0F-A4F9-AD6314C08B86}"/>
            </c:ext>
          </c:extLst>
        </c:ser>
        <c:ser>
          <c:idx val="2"/>
          <c:order val="2"/>
          <c:tx>
            <c:strRef>
              <c:f>'18x18x4_ETS75'!$AJ$22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'18x18x4_ETS75'!$AJ$23:$AJ$68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70.969654979803082</c:v>
                </c:pt>
                <c:pt idx="10">
                  <c:v>68.515256131224461</c:v>
                </c:pt>
                <c:pt idx="11">
                  <c:v>66.145739669485948</c:v>
                </c:pt>
                <c:pt idx="12">
                  <c:v>63.858170040897946</c:v>
                </c:pt>
                <c:pt idx="13">
                  <c:v>61.649713214310275</c:v>
                </c:pt>
                <c:pt idx="14">
                  <c:v>59.517633170079179</c:v>
                </c:pt>
                <c:pt idx="15">
                  <c:v>57.459288510458975</c:v>
                </c:pt>
                <c:pt idx="16">
                  <c:v>55.472129187219331</c:v>
                </c:pt>
                <c:pt idx="17">
                  <c:v>53.553693342433803</c:v>
                </c:pt>
                <c:pt idx="18">
                  <c:v>51.701604258525926</c:v>
                </c:pt>
                <c:pt idx="19">
                  <c:v>49.913567413794098</c:v>
                </c:pt>
                <c:pt idx="20">
                  <c:v>48.187367639767707</c:v>
                </c:pt>
                <c:pt idx="21">
                  <c:v>46.520866376872483</c:v>
                </c:pt>
                <c:pt idx="22">
                  <c:v>44.911999025005414</c:v>
                </c:pt>
                <c:pt idx="23">
                  <c:v>43.358772385736735</c:v>
                </c:pt>
                <c:pt idx="24">
                  <c:v>41.859262192970277</c:v>
                </c:pt>
                <c:pt idx="25">
                  <c:v>40.411610729002831</c:v>
                </c:pt>
                <c:pt idx="26">
                  <c:v>39.01402452302932</c:v>
                </c:pt>
                <c:pt idx="27">
                  <c:v>37.664772129242259</c:v>
                </c:pt>
                <c:pt idx="28">
                  <c:v>36.362181981772949</c:v>
                </c:pt>
                <c:pt idx="29">
                  <c:v>35.104640323816909</c:v>
                </c:pt>
                <c:pt idx="30">
                  <c:v>33.890589208378032</c:v>
                </c:pt>
                <c:pt idx="31">
                  <c:v>32.718524568154464</c:v>
                </c:pt>
                <c:pt idx="32">
                  <c:v>31.586994352175214</c:v>
                </c:pt>
                <c:pt idx="33">
                  <c:v>30.494596726878871</c:v>
                </c:pt>
                <c:pt idx="34">
                  <c:v>29.439978339405787</c:v>
                </c:pt>
                <c:pt idx="35">
                  <c:v>28.421832640952271</c:v>
                </c:pt>
                <c:pt idx="36">
                  <c:v>27.438898268109408</c:v>
                </c:pt>
                <c:pt idx="37">
                  <c:v>26.489957480181399</c:v>
                </c:pt>
                <c:pt idx="38">
                  <c:v>25.57383465054729</c:v>
                </c:pt>
                <c:pt idx="39">
                  <c:v>24.689394810197125</c:v>
                </c:pt>
                <c:pt idx="40">
                  <c:v>23.83554224163813</c:v>
                </c:pt>
                <c:pt idx="41">
                  <c:v>23.011219121428905</c:v>
                </c:pt>
                <c:pt idx="42">
                  <c:v>22.215404209659948</c:v>
                </c:pt>
                <c:pt idx="43">
                  <c:v>21.447111584756886</c:v>
                </c:pt>
                <c:pt idx="44">
                  <c:v>20.705389422038962</c:v>
                </c:pt>
                <c:pt idx="45">
                  <c:v>19.989318814519642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E6F-4C0F-A4F9-AD6314C08B86}"/>
            </c:ext>
          </c:extLst>
        </c:ser>
        <c:ser>
          <c:idx val="3"/>
          <c:order val="3"/>
          <c:tx>
            <c:strRef>
              <c:f>'18x18x4_ETS75'!$AK$22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'18x18x4_ETS75'!$AK$23:$AK$68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81.179066799929373</c:v>
                </c:pt>
                <c:pt idx="10">
                  <c:v>77.419991306726317</c:v>
                </c:pt>
                <c:pt idx="11">
                  <c:v>73.834983453379564</c:v>
                </c:pt>
                <c:pt idx="12">
                  <c:v>70.415982868848431</c:v>
                </c:pt>
                <c:pt idx="13">
                  <c:v>67.155302425397906</c:v>
                </c:pt>
                <c:pt idx="14">
                  <c:v>64.045610955205106</c:v>
                </c:pt>
                <c:pt idx="15">
                  <c:v>61.079916767289944</c:v>
                </c:pt>
                <c:pt idx="16">
                  <c:v>58.251551927710373</c:v>
                </c:pt>
                <c:pt idx="17">
                  <c:v>55.554157267678505</c:v>
                </c:pt>
                <c:pt idx="18">
                  <c:v>52.981668085890334</c:v>
                </c:pt>
                <c:pt idx="19">
                  <c:v>50.528300512923096</c:v>
                </c:pt>
                <c:pt idx="20">
                  <c:v>48.188538507042381</c:v>
                </c:pt>
                <c:pt idx="21">
                  <c:v>45.957121452181006</c:v>
                </c:pt>
                <c:pt idx="22">
                  <c:v>43.829032330205543</c:v>
                </c:pt>
                <c:pt idx="23">
                  <c:v>41.799486440877551</c:v>
                </c:pt>
                <c:pt idx="24">
                  <c:v>39.863920644147889</c:v>
                </c:pt>
                <c:pt idx="25">
                  <c:v>38.0179831005971</c:v>
                </c:pt>
                <c:pt idx="26">
                  <c:v>36.257523486954611</c:v>
                </c:pt>
                <c:pt idx="27">
                  <c:v>34.578583664697838</c:v>
                </c:pt>
                <c:pt idx="28">
                  <c:v>32.977388780750864</c:v>
                </c:pt>
                <c:pt idx="29">
                  <c:v>31.450338780273935</c:v>
                </c:pt>
                <c:pt idx="30">
                  <c:v>29.994000312461388</c:v>
                </c:pt>
                <c:pt idx="31">
                  <c:v>28.605099011149608</c:v>
                </c:pt>
                <c:pt idx="32">
                  <c:v>27.280512132878766</c:v>
                </c:pt>
                <c:pt idx="33">
                  <c:v>26.017261535856363</c:v>
                </c:pt>
                <c:pt idx="34">
                  <c:v>24.812506984036645</c:v>
                </c:pt>
                <c:pt idx="35">
                  <c:v>23.663539761261156</c:v>
                </c:pt>
                <c:pt idx="36">
                  <c:v>22.567776581102621</c:v>
                </c:pt>
                <c:pt idx="37">
                  <c:v>21.522753778719554</c:v>
                </c:pt>
                <c:pt idx="38">
                  <c:v>20.526121771662556</c:v>
                </c:pt>
                <c:pt idx="39">
                  <c:v>19.57563977717842</c:v>
                </c:pt>
                <c:pt idx="40">
                  <c:v>18.669170774134574</c:v>
                </c:pt>
                <c:pt idx="41">
                  <c:v>17.804676698236516</c:v>
                </c:pt>
                <c:pt idx="42">
                  <c:v>16.980213859735368</c:v>
                </c:pt>
                <c:pt idx="43">
                  <c:v>16.193928573322921</c:v>
                </c:pt>
                <c:pt idx="44">
                  <c:v>15.444052990388634</c:v>
                </c:pt>
                <c:pt idx="45">
                  <c:v>14.728901124268026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FE6F-4C0F-A4F9-AD6314C08B86}"/>
            </c:ext>
          </c:extLst>
        </c:ser>
        <c:ser>
          <c:idx val="4"/>
          <c:order val="4"/>
          <c:tx>
            <c:strRef>
              <c:f>'18x18x4_ETS75'!$AL$22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'18x18x4_ETS75'!$AL$23:$AL$68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78.128147144027395</c:v>
                </c:pt>
                <c:pt idx="10">
                  <c:v>75.301281399030287</c:v>
                </c:pt>
                <c:pt idx="11">
                  <c:v>72.576698508962608</c:v>
                </c:pt>
                <c:pt idx="12">
                  <c:v>69.950697632201113</c:v>
                </c:pt>
                <c:pt idx="13">
                  <c:v>67.419711832543172</c:v>
                </c:pt>
                <c:pt idx="14">
                  <c:v>64.980303234184248</c:v>
                </c:pt>
                <c:pt idx="15">
                  <c:v>62.629158351999727</c:v>
                </c:pt>
                <c:pt idx="16">
                  <c:v>60.363083590788627</c:v>
                </c:pt>
                <c:pt idx="17">
                  <c:v>58.179000907365584</c:v>
                </c:pt>
                <c:pt idx="18">
                  <c:v>56.073943629608813</c:v>
                </c:pt>
                <c:pt idx="19">
                  <c:v>54.045052426785034</c:v>
                </c:pt>
                <c:pt idx="20">
                  <c:v>52.08957142567786</c:v>
                </c:pt>
                <c:pt idx="21">
                  <c:v>50.204844467244094</c:v>
                </c:pt>
                <c:pt idx="22">
                  <c:v>48.388311498713186</c:v>
                </c:pt>
                <c:pt idx="23">
                  <c:v>46.637505096229361</c:v>
                </c:pt>
                <c:pt idx="24">
                  <c:v>44.950047113312934</c:v>
                </c:pt>
                <c:pt idx="25">
                  <c:v>43.32364545058843</c:v>
                </c:pt>
                <c:pt idx="26">
                  <c:v>41.756090942391829</c:v>
                </c:pt>
                <c:pt idx="27">
                  <c:v>40.245254356027772</c:v>
                </c:pt>
                <c:pt idx="28">
                  <c:v>38.789083499601062</c:v>
                </c:pt>
                <c:pt idx="29">
                  <c:v>37.38560043449376</c:v>
                </c:pt>
                <c:pt idx="30">
                  <c:v>36.03289878870158</c:v>
                </c:pt>
                <c:pt idx="31">
                  <c:v>34.729141167380398</c:v>
                </c:pt>
                <c:pt idx="32">
                  <c:v>33.47255665708537</c:v>
                </c:pt>
                <c:pt idx="33">
                  <c:v>32.261438420312714</c:v>
                </c:pt>
                <c:pt idx="34">
                  <c:v>31.094141377076902</c:v>
                </c:pt>
                <c:pt idx="35">
                  <c:v>29.96907997037394</c:v>
                </c:pt>
                <c:pt idx="36">
                  <c:v>28.88472601249558</c:v>
                </c:pt>
                <c:pt idx="37">
                  <c:v>27.839606609269179</c:v>
                </c:pt>
                <c:pt idx="38">
                  <c:v>26.832302159403511</c:v>
                </c:pt>
                <c:pt idx="39">
                  <c:v>25.861444426223184</c:v>
                </c:pt>
                <c:pt idx="40">
                  <c:v>24.92571467917228</c:v>
                </c:pt>
                <c:pt idx="41">
                  <c:v>24.023841902562985</c:v>
                </c:pt>
                <c:pt idx="42">
                  <c:v>23.154601069135992</c:v>
                </c:pt>
                <c:pt idx="43">
                  <c:v>22.316811476087675</c:v>
                </c:pt>
                <c:pt idx="44">
                  <c:v>21.50933514130385</c:v>
                </c:pt>
                <c:pt idx="45">
                  <c:v>20.731075257621683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FE6F-4C0F-A4F9-AD6314C08B86}"/>
            </c:ext>
          </c:extLst>
        </c:ser>
        <c:ser>
          <c:idx val="5"/>
          <c:order val="5"/>
          <c:tx>
            <c:strRef>
              <c:f>'18x18x4_ETS75'!$AM$22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'18x18x4_ETS75'!$AM$23:$AM$68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90.284267211567169</c:v>
                </c:pt>
                <c:pt idx="10">
                  <c:v>86.702226497718513</c:v>
                </c:pt>
                <c:pt idx="11">
                  <c:v>83.262303741648722</c:v>
                </c:pt>
                <c:pt idx="12">
                  <c:v>79.958860393844645</c:v>
                </c:pt>
                <c:pt idx="13">
                  <c:v>76.786481615020179</c:v>
                </c:pt>
                <c:pt idx="14">
                  <c:v>73.739967400382426</c:v>
                </c:pt>
                <c:pt idx="15">
                  <c:v>70.814324056043461</c:v>
                </c:pt>
                <c:pt idx="16">
                  <c:v>68.004756013606936</c:v>
                </c:pt>
                <c:pt idx="17">
                  <c:v>65.306657969511889</c:v>
                </c:pt>
                <c:pt idx="18">
                  <c:v>62.715607336249299</c:v>
                </c:pt>
                <c:pt idx="19">
                  <c:v>60.227356993077578</c:v>
                </c:pt>
                <c:pt idx="20">
                  <c:v>57.837828324354433</c:v>
                </c:pt>
                <c:pt idx="21">
                  <c:v>55.543104534073905</c:v>
                </c:pt>
                <c:pt idx="22">
                  <c:v>53.339424225650113</c:v>
                </c:pt>
                <c:pt idx="23">
                  <c:v>51.223175236423721</c:v>
                </c:pt>
                <c:pt idx="24">
                  <c:v>49.190888716785608</c:v>
                </c:pt>
                <c:pt idx="25">
                  <c:v>47.239233444211727</c:v>
                </c:pt>
                <c:pt idx="26">
                  <c:v>45.365010362889677</c:v>
                </c:pt>
                <c:pt idx="27">
                  <c:v>43.56514733998619</c:v>
                </c:pt>
                <c:pt idx="28">
                  <c:v>41.836694129960563</c:v>
                </c:pt>
                <c:pt idx="29">
                  <c:v>40.176817538669454</c:v>
                </c:pt>
                <c:pt idx="30">
                  <c:v>38.582796779336711</c:v>
                </c:pt>
                <c:pt idx="31">
                  <c:v>37.05201901277556</c:v>
                </c:pt>
                <c:pt idx="32">
                  <c:v>35.581975064553191</c:v>
                </c:pt>
                <c:pt idx="33">
                  <c:v>34.170255312077337</c:v>
                </c:pt>
                <c:pt idx="34">
                  <c:v>32.814545734863394</c:v>
                </c:pt>
                <c:pt idx="35">
                  <c:v>31.512624121507603</c:v>
                </c:pt>
                <c:pt idx="36">
                  <c:v>30.262356427149147</c:v>
                </c:pt>
                <c:pt idx="37">
                  <c:v>29.061693275450445</c:v>
                </c:pt>
                <c:pt idx="38">
                  <c:v>27.908666599361879</c:v>
                </c:pt>
                <c:pt idx="39">
                  <c:v>26.801386415164586</c:v>
                </c:pt>
                <c:pt idx="40">
                  <c:v>25.738037724503567</c:v>
                </c:pt>
                <c:pt idx="41">
                  <c:v>24.716877539333094</c:v>
                </c:pt>
                <c:pt idx="42">
                  <c:v>23.736232024897781</c:v>
                </c:pt>
                <c:pt idx="43">
                  <c:v>22.794493756066277</c:v>
                </c:pt>
                <c:pt idx="44">
                  <c:v>21.890119082520307</c:v>
                </c:pt>
                <c:pt idx="45">
                  <c:v>21.021625598480188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FE6F-4C0F-A4F9-AD6314C08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4197040"/>
        <c:axId val="364197600"/>
      </c:lineChart>
      <c:catAx>
        <c:axId val="364197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4197600"/>
        <c:crosses val="autoZero"/>
        <c:auto val="1"/>
        <c:lblAlgn val="ctr"/>
        <c:lblOffset val="100"/>
        <c:noMultiLvlLbl val="0"/>
      </c:catAx>
      <c:valAx>
        <c:axId val="36419760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3641970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6525282737827"/>
          <c:y val="5.0783403930867839E-2"/>
          <c:w val="0.6086315068739977"/>
          <c:h val="0.79769403397109417"/>
        </c:manualLayout>
      </c:layout>
      <c:lineChart>
        <c:grouping val="standard"/>
        <c:varyColors val="0"/>
        <c:ser>
          <c:idx val="0"/>
          <c:order val="0"/>
          <c:tx>
            <c:strRef>
              <c:f>'18x18x4_ETS75'!$AP$22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'18x18x4_ETS75'!$AP$23:$AP$68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87.884688729293742</c:v>
                </c:pt>
                <c:pt idx="10">
                  <c:v>85.973843512175009</c:v>
                </c:pt>
                <c:pt idx="11">
                  <c:v>84.062998295056275</c:v>
                </c:pt>
                <c:pt idx="12">
                  <c:v>82.152153077937555</c:v>
                </c:pt>
                <c:pt idx="13">
                  <c:v>80.241307860818807</c:v>
                </c:pt>
                <c:pt idx="14">
                  <c:v>78.330462643700073</c:v>
                </c:pt>
                <c:pt idx="15">
                  <c:v>76.419617426581326</c:v>
                </c:pt>
                <c:pt idx="16">
                  <c:v>74.508772209462592</c:v>
                </c:pt>
                <c:pt idx="17">
                  <c:v>72.597926992343858</c:v>
                </c:pt>
                <c:pt idx="18">
                  <c:v>70.687081775225124</c:v>
                </c:pt>
                <c:pt idx="19">
                  <c:v>68.77623655810639</c:v>
                </c:pt>
                <c:pt idx="20">
                  <c:v>66.865391340987657</c:v>
                </c:pt>
                <c:pt idx="21">
                  <c:v>64.954546123868923</c:v>
                </c:pt>
                <c:pt idx="22">
                  <c:v>63.043700906750189</c:v>
                </c:pt>
                <c:pt idx="23">
                  <c:v>61.132855689631462</c:v>
                </c:pt>
                <c:pt idx="24">
                  <c:v>59.222010472512721</c:v>
                </c:pt>
                <c:pt idx="25">
                  <c:v>57.311165255393995</c:v>
                </c:pt>
                <c:pt idx="26">
                  <c:v>55.400320038275261</c:v>
                </c:pt>
                <c:pt idx="27">
                  <c:v>53.489474821156527</c:v>
                </c:pt>
                <c:pt idx="28">
                  <c:v>51.578629604037793</c:v>
                </c:pt>
                <c:pt idx="29">
                  <c:v>49.667784386919045</c:v>
                </c:pt>
                <c:pt idx="30">
                  <c:v>47.756939169800319</c:v>
                </c:pt>
                <c:pt idx="31">
                  <c:v>45.846093952681578</c:v>
                </c:pt>
                <c:pt idx="32">
                  <c:v>43.935248735562823</c:v>
                </c:pt>
                <c:pt idx="33">
                  <c:v>42.024403518444089</c:v>
                </c:pt>
                <c:pt idx="34">
                  <c:v>40.113558301325348</c:v>
                </c:pt>
                <c:pt idx="35">
                  <c:v>38.202713084206607</c:v>
                </c:pt>
                <c:pt idx="36">
                  <c:v>36.291867867087866</c:v>
                </c:pt>
                <c:pt idx="37">
                  <c:v>34.381022649969125</c:v>
                </c:pt>
                <c:pt idx="38">
                  <c:v>32.470177432850392</c:v>
                </c:pt>
                <c:pt idx="39">
                  <c:v>30.559332215731651</c:v>
                </c:pt>
                <c:pt idx="40">
                  <c:v>28.64848699861291</c:v>
                </c:pt>
                <c:pt idx="41">
                  <c:v>26.737641781494169</c:v>
                </c:pt>
                <c:pt idx="42">
                  <c:v>24.826796564375432</c:v>
                </c:pt>
                <c:pt idx="43">
                  <c:v>22.915951347256698</c:v>
                </c:pt>
                <c:pt idx="44">
                  <c:v>21.005106130137953</c:v>
                </c:pt>
                <c:pt idx="45">
                  <c:v>19.09426091301922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243-4595-82FA-ACBBB1717358}"/>
            </c:ext>
          </c:extLst>
        </c:ser>
        <c:ser>
          <c:idx val="1"/>
          <c:order val="1"/>
          <c:tx>
            <c:strRef>
              <c:f>'18x18x4_ETS75'!$AQ$22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'18x18x4_ETS75'!$AQ$23:$AQ$68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96.583728864333025</c:v>
                </c:pt>
                <c:pt idx="10">
                  <c:v>94.44260747604325</c:v>
                </c:pt>
                <c:pt idx="11">
                  <c:v>92.301486087753474</c:v>
                </c:pt>
                <c:pt idx="12">
                  <c:v>90.160364699463685</c:v>
                </c:pt>
                <c:pt idx="13">
                  <c:v>88.019243311173909</c:v>
                </c:pt>
                <c:pt idx="14">
                  <c:v>85.878121922884134</c:v>
                </c:pt>
                <c:pt idx="15">
                  <c:v>83.737000534594358</c:v>
                </c:pt>
                <c:pt idx="16">
                  <c:v>81.595879146304583</c:v>
                </c:pt>
                <c:pt idx="17">
                  <c:v>79.454757758014807</c:v>
                </c:pt>
                <c:pt idx="18">
                  <c:v>77.313636369725032</c:v>
                </c:pt>
                <c:pt idx="19">
                  <c:v>75.172514981435242</c:v>
                </c:pt>
                <c:pt idx="20">
                  <c:v>73.031393593145467</c:v>
                </c:pt>
                <c:pt idx="21">
                  <c:v>70.890272204855691</c:v>
                </c:pt>
                <c:pt idx="22">
                  <c:v>68.749150816565901</c:v>
                </c:pt>
                <c:pt idx="23">
                  <c:v>66.608029428276126</c:v>
                </c:pt>
                <c:pt idx="24">
                  <c:v>64.46690803998635</c:v>
                </c:pt>
                <c:pt idx="25">
                  <c:v>62.325786651696561</c:v>
                </c:pt>
                <c:pt idx="26">
                  <c:v>60.184665263406778</c:v>
                </c:pt>
                <c:pt idx="27">
                  <c:v>58.043543875116995</c:v>
                </c:pt>
                <c:pt idx="28">
                  <c:v>55.90242248682722</c:v>
                </c:pt>
                <c:pt idx="29">
                  <c:v>53.761301098537437</c:v>
                </c:pt>
                <c:pt idx="30">
                  <c:v>51.620179710247683</c:v>
                </c:pt>
                <c:pt idx="31">
                  <c:v>49.479058321957901</c:v>
                </c:pt>
                <c:pt idx="32">
                  <c:v>47.337936933668132</c:v>
                </c:pt>
                <c:pt idx="33">
                  <c:v>45.196815545378357</c:v>
                </c:pt>
                <c:pt idx="34">
                  <c:v>43.055694157088588</c:v>
                </c:pt>
                <c:pt idx="35">
                  <c:v>40.914572768798813</c:v>
                </c:pt>
                <c:pt idx="36">
                  <c:v>38.77345138050903</c:v>
                </c:pt>
                <c:pt idx="37">
                  <c:v>36.632329992219269</c:v>
                </c:pt>
                <c:pt idx="38">
                  <c:v>34.491208603929493</c:v>
                </c:pt>
                <c:pt idx="39">
                  <c:v>32.350087215639718</c:v>
                </c:pt>
                <c:pt idx="40">
                  <c:v>30.208965827349942</c:v>
                </c:pt>
                <c:pt idx="41">
                  <c:v>28.067844439060174</c:v>
                </c:pt>
                <c:pt idx="42">
                  <c:v>25.926723050770395</c:v>
                </c:pt>
                <c:pt idx="43">
                  <c:v>23.785601662480619</c:v>
                </c:pt>
                <c:pt idx="44">
                  <c:v>21.64448027419084</c:v>
                </c:pt>
                <c:pt idx="45">
                  <c:v>19.503358885901068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243-4595-82FA-ACBBB1717358}"/>
            </c:ext>
          </c:extLst>
        </c:ser>
        <c:ser>
          <c:idx val="2"/>
          <c:order val="2"/>
          <c:tx>
            <c:strRef>
              <c:f>'18x18x4_ETS75'!$AR$22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'18x18x4_ETS75'!$AR$23:$AR$68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72.065418600860042</c:v>
                </c:pt>
                <c:pt idx="10">
                  <c:v>70.618860273461692</c:v>
                </c:pt>
                <c:pt idx="11">
                  <c:v>69.172301946063342</c:v>
                </c:pt>
                <c:pt idx="12">
                  <c:v>67.725743618665007</c:v>
                </c:pt>
                <c:pt idx="13">
                  <c:v>66.279185291266657</c:v>
                </c:pt>
                <c:pt idx="14">
                  <c:v>64.832626963868307</c:v>
                </c:pt>
                <c:pt idx="15">
                  <c:v>63.386068636469957</c:v>
                </c:pt>
                <c:pt idx="16">
                  <c:v>61.939510309071608</c:v>
                </c:pt>
                <c:pt idx="17">
                  <c:v>60.492951981673258</c:v>
                </c:pt>
                <c:pt idx="18">
                  <c:v>59.046393654274922</c:v>
                </c:pt>
                <c:pt idx="19">
                  <c:v>57.599835326876573</c:v>
                </c:pt>
                <c:pt idx="20">
                  <c:v>56.15327699947823</c:v>
                </c:pt>
                <c:pt idx="21">
                  <c:v>54.706718672079866</c:v>
                </c:pt>
                <c:pt idx="22">
                  <c:v>53.260160344681516</c:v>
                </c:pt>
                <c:pt idx="23">
                  <c:v>51.813602017283181</c:v>
                </c:pt>
                <c:pt idx="24">
                  <c:v>50.367043689884824</c:v>
                </c:pt>
                <c:pt idx="25">
                  <c:v>48.920485362486481</c:v>
                </c:pt>
                <c:pt idx="26">
                  <c:v>47.473927035088138</c:v>
                </c:pt>
                <c:pt idx="27">
                  <c:v>46.027368707689789</c:v>
                </c:pt>
                <c:pt idx="28">
                  <c:v>44.580810380291439</c:v>
                </c:pt>
                <c:pt idx="29">
                  <c:v>43.134252052893096</c:v>
                </c:pt>
                <c:pt idx="30">
                  <c:v>41.687693725494753</c:v>
                </c:pt>
                <c:pt idx="31">
                  <c:v>40.241135398096404</c:v>
                </c:pt>
                <c:pt idx="32">
                  <c:v>38.794577070698054</c:v>
                </c:pt>
                <c:pt idx="33">
                  <c:v>37.348018743299704</c:v>
                </c:pt>
                <c:pt idx="34">
                  <c:v>35.901460415901354</c:v>
                </c:pt>
                <c:pt idx="35">
                  <c:v>34.454902088503012</c:v>
                </c:pt>
                <c:pt idx="36">
                  <c:v>33.008343761104662</c:v>
                </c:pt>
                <c:pt idx="37">
                  <c:v>31.561785433706319</c:v>
                </c:pt>
                <c:pt idx="38">
                  <c:v>30.11522710630797</c:v>
                </c:pt>
                <c:pt idx="39">
                  <c:v>28.668668778909623</c:v>
                </c:pt>
                <c:pt idx="40">
                  <c:v>27.222110451511274</c:v>
                </c:pt>
                <c:pt idx="41">
                  <c:v>25.77555212411292</c:v>
                </c:pt>
                <c:pt idx="42">
                  <c:v>24.328993796714578</c:v>
                </c:pt>
                <c:pt idx="43">
                  <c:v>22.882435469316238</c:v>
                </c:pt>
                <c:pt idx="44">
                  <c:v>21.435877141917896</c:v>
                </c:pt>
                <c:pt idx="45">
                  <c:v>19.98931881451955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243-4595-82FA-ACBBB1717358}"/>
            </c:ext>
          </c:extLst>
        </c:ser>
        <c:ser>
          <c:idx val="3"/>
          <c:order val="3"/>
          <c:tx>
            <c:strRef>
              <c:f>'18x18x4_ETS75'!$AS$22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'18x18x4_ETS75'!$AS$23:$AS$68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83.21818165516504</c:v>
                </c:pt>
                <c:pt idx="10">
                  <c:v>81.315701640417899</c:v>
                </c:pt>
                <c:pt idx="11">
                  <c:v>79.413221625670744</c:v>
                </c:pt>
                <c:pt idx="12">
                  <c:v>77.510741610923603</c:v>
                </c:pt>
                <c:pt idx="13">
                  <c:v>75.608261596176476</c:v>
                </c:pt>
                <c:pt idx="14">
                  <c:v>73.705781581429335</c:v>
                </c:pt>
                <c:pt idx="15">
                  <c:v>71.803301566682194</c:v>
                </c:pt>
                <c:pt idx="16">
                  <c:v>69.900821551935039</c:v>
                </c:pt>
                <c:pt idx="17">
                  <c:v>67.998341537187912</c:v>
                </c:pt>
                <c:pt idx="18">
                  <c:v>66.095861522440771</c:v>
                </c:pt>
                <c:pt idx="19">
                  <c:v>64.19338150769363</c:v>
                </c:pt>
                <c:pt idx="20">
                  <c:v>62.290901492946503</c:v>
                </c:pt>
                <c:pt idx="21">
                  <c:v>60.388421478199362</c:v>
                </c:pt>
                <c:pt idx="22">
                  <c:v>58.485941463452221</c:v>
                </c:pt>
                <c:pt idx="23">
                  <c:v>56.583461448705073</c:v>
                </c:pt>
                <c:pt idx="24">
                  <c:v>54.680981433957939</c:v>
                </c:pt>
                <c:pt idx="25">
                  <c:v>52.778501419210798</c:v>
                </c:pt>
                <c:pt idx="26">
                  <c:v>50.876021404463664</c:v>
                </c:pt>
                <c:pt idx="27">
                  <c:v>48.973541389716523</c:v>
                </c:pt>
                <c:pt idx="28">
                  <c:v>47.071061374969382</c:v>
                </c:pt>
                <c:pt idx="29">
                  <c:v>45.168581360222234</c:v>
                </c:pt>
                <c:pt idx="30">
                  <c:v>43.2661013454751</c:v>
                </c:pt>
                <c:pt idx="31">
                  <c:v>41.363621330727959</c:v>
                </c:pt>
                <c:pt idx="32">
                  <c:v>39.461141315980825</c:v>
                </c:pt>
                <c:pt idx="33">
                  <c:v>37.558661301233684</c:v>
                </c:pt>
                <c:pt idx="34">
                  <c:v>35.65618128648655</c:v>
                </c:pt>
                <c:pt idx="35">
                  <c:v>33.753701271739409</c:v>
                </c:pt>
                <c:pt idx="36">
                  <c:v>31.851221256992261</c:v>
                </c:pt>
                <c:pt idx="37">
                  <c:v>29.948741242245131</c:v>
                </c:pt>
                <c:pt idx="38">
                  <c:v>28.046261227497986</c:v>
                </c:pt>
                <c:pt idx="39">
                  <c:v>26.143781212750845</c:v>
                </c:pt>
                <c:pt idx="40">
                  <c:v>24.241301198003708</c:v>
                </c:pt>
                <c:pt idx="41">
                  <c:v>22.33882118325657</c:v>
                </c:pt>
                <c:pt idx="42">
                  <c:v>20.436341168509429</c:v>
                </c:pt>
                <c:pt idx="43">
                  <c:v>18.533861153762288</c:v>
                </c:pt>
                <c:pt idx="44">
                  <c:v>16.631381139015151</c:v>
                </c:pt>
                <c:pt idx="45">
                  <c:v>14.728901124268013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243-4595-82FA-ACBBB1717358}"/>
            </c:ext>
          </c:extLst>
        </c:ser>
        <c:ser>
          <c:idx val="4"/>
          <c:order val="4"/>
          <c:tx>
            <c:strRef>
              <c:f>'18x18x4_ETS75'!$AT$22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'18x18x4_ETS75'!$AT$23:$AT$68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79.430593348709465</c:v>
                </c:pt>
                <c:pt idx="10">
                  <c:v>77.800051179512579</c:v>
                </c:pt>
                <c:pt idx="11">
                  <c:v>76.169509010315693</c:v>
                </c:pt>
                <c:pt idx="12">
                  <c:v>74.538966841118807</c:v>
                </c:pt>
                <c:pt idx="13">
                  <c:v>72.908424671921921</c:v>
                </c:pt>
                <c:pt idx="14">
                  <c:v>71.277882502725049</c:v>
                </c:pt>
                <c:pt idx="15">
                  <c:v>69.647340333528149</c:v>
                </c:pt>
                <c:pt idx="16">
                  <c:v>68.016798164331277</c:v>
                </c:pt>
                <c:pt idx="17">
                  <c:v>66.386255995134363</c:v>
                </c:pt>
                <c:pt idx="18">
                  <c:v>64.755713825937505</c:v>
                </c:pt>
                <c:pt idx="19">
                  <c:v>63.125171656740605</c:v>
                </c:pt>
                <c:pt idx="20">
                  <c:v>61.494629487543726</c:v>
                </c:pt>
                <c:pt idx="21">
                  <c:v>59.864087318346847</c:v>
                </c:pt>
                <c:pt idx="22">
                  <c:v>58.233545149149954</c:v>
                </c:pt>
                <c:pt idx="23">
                  <c:v>56.603002979953075</c:v>
                </c:pt>
                <c:pt idx="24">
                  <c:v>54.972460810756182</c:v>
                </c:pt>
                <c:pt idx="25">
                  <c:v>53.341918641559303</c:v>
                </c:pt>
                <c:pt idx="26">
                  <c:v>51.711376472362417</c:v>
                </c:pt>
                <c:pt idx="27">
                  <c:v>50.080834303165531</c:v>
                </c:pt>
                <c:pt idx="28">
                  <c:v>48.450292133968645</c:v>
                </c:pt>
                <c:pt idx="29">
                  <c:v>46.819749964771759</c:v>
                </c:pt>
                <c:pt idx="30">
                  <c:v>45.189207795574873</c:v>
                </c:pt>
                <c:pt idx="31">
                  <c:v>43.558665626377994</c:v>
                </c:pt>
                <c:pt idx="32">
                  <c:v>41.928123457181108</c:v>
                </c:pt>
                <c:pt idx="33">
                  <c:v>40.297581287984215</c:v>
                </c:pt>
                <c:pt idx="34">
                  <c:v>38.667039118787336</c:v>
                </c:pt>
                <c:pt idx="35">
                  <c:v>37.03649694959045</c:v>
                </c:pt>
                <c:pt idx="36">
                  <c:v>35.405954780393564</c:v>
                </c:pt>
                <c:pt idx="37">
                  <c:v>33.775412611196678</c:v>
                </c:pt>
                <c:pt idx="38">
                  <c:v>32.144870441999792</c:v>
                </c:pt>
                <c:pt idx="39">
                  <c:v>30.514328272802903</c:v>
                </c:pt>
                <c:pt idx="40">
                  <c:v>28.883786103606017</c:v>
                </c:pt>
                <c:pt idx="41">
                  <c:v>27.253243934409138</c:v>
                </c:pt>
                <c:pt idx="42">
                  <c:v>25.622701765212252</c:v>
                </c:pt>
                <c:pt idx="43">
                  <c:v>23.99215959601537</c:v>
                </c:pt>
                <c:pt idx="44">
                  <c:v>22.361617426818491</c:v>
                </c:pt>
                <c:pt idx="45">
                  <c:v>20.731075257621605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243-4595-82FA-ACBBB1717358}"/>
            </c:ext>
          </c:extLst>
        </c:ser>
        <c:ser>
          <c:idx val="5"/>
          <c:order val="5"/>
          <c:tx>
            <c:strRef>
              <c:f>'18x18x4_ETS75'!$AU$22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'18x18x4_ETS75'!$A$23:$A$68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'18x18x4_ETS75'!$AU$23:$AU$68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92.041522472204605</c:v>
                </c:pt>
                <c:pt idx="10">
                  <c:v>90.068747559045605</c:v>
                </c:pt>
                <c:pt idx="11">
                  <c:v>88.09597264588659</c:v>
                </c:pt>
                <c:pt idx="12">
                  <c:v>86.123197732727576</c:v>
                </c:pt>
                <c:pt idx="13">
                  <c:v>84.150422819568576</c:v>
                </c:pt>
                <c:pt idx="14">
                  <c:v>82.177647906409561</c:v>
                </c:pt>
                <c:pt idx="15">
                  <c:v>80.204872993250547</c:v>
                </c:pt>
                <c:pt idx="16">
                  <c:v>78.232098080091532</c:v>
                </c:pt>
                <c:pt idx="17">
                  <c:v>76.259323166932532</c:v>
                </c:pt>
                <c:pt idx="18">
                  <c:v>74.286548253773518</c:v>
                </c:pt>
                <c:pt idx="19">
                  <c:v>72.313773340614503</c:v>
                </c:pt>
                <c:pt idx="20">
                  <c:v>70.340998427455489</c:v>
                </c:pt>
                <c:pt idx="21">
                  <c:v>68.368223514296474</c:v>
                </c:pt>
                <c:pt idx="22">
                  <c:v>66.395448601137488</c:v>
                </c:pt>
                <c:pt idx="23">
                  <c:v>64.422673687978474</c:v>
                </c:pt>
                <c:pt idx="24">
                  <c:v>62.449898774819466</c:v>
                </c:pt>
                <c:pt idx="25">
                  <c:v>60.477123861660452</c:v>
                </c:pt>
                <c:pt idx="26">
                  <c:v>58.504348948501438</c:v>
                </c:pt>
                <c:pt idx="27">
                  <c:v>56.531574035342437</c:v>
                </c:pt>
                <c:pt idx="28">
                  <c:v>54.558799122183423</c:v>
                </c:pt>
                <c:pt idx="29">
                  <c:v>52.586024209024409</c:v>
                </c:pt>
                <c:pt idx="30">
                  <c:v>50.613249295865401</c:v>
                </c:pt>
                <c:pt idx="31">
                  <c:v>48.640474382706387</c:v>
                </c:pt>
                <c:pt idx="32">
                  <c:v>46.667699469547387</c:v>
                </c:pt>
                <c:pt idx="33">
                  <c:v>44.694924556388372</c:v>
                </c:pt>
                <c:pt idx="34">
                  <c:v>42.722149643229365</c:v>
                </c:pt>
                <c:pt idx="35">
                  <c:v>40.749374730070357</c:v>
                </c:pt>
                <c:pt idx="36">
                  <c:v>38.776599816911343</c:v>
                </c:pt>
                <c:pt idx="37">
                  <c:v>36.803824903752343</c:v>
                </c:pt>
                <c:pt idx="38">
                  <c:v>34.831049990593328</c:v>
                </c:pt>
                <c:pt idx="39">
                  <c:v>32.858275077434321</c:v>
                </c:pt>
                <c:pt idx="40">
                  <c:v>30.88550016427531</c:v>
                </c:pt>
                <c:pt idx="41">
                  <c:v>28.912725251116299</c:v>
                </c:pt>
                <c:pt idx="42">
                  <c:v>26.939950337957285</c:v>
                </c:pt>
                <c:pt idx="43">
                  <c:v>24.967175424798281</c:v>
                </c:pt>
                <c:pt idx="44">
                  <c:v>22.994400511639267</c:v>
                </c:pt>
                <c:pt idx="45">
                  <c:v>21.021625598480256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7243-4595-82FA-ACBBB1717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4478384"/>
        <c:axId val="364478944"/>
      </c:lineChart>
      <c:catAx>
        <c:axId val="364478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4478944"/>
        <c:crosses val="autoZero"/>
        <c:auto val="1"/>
        <c:lblAlgn val="ctr"/>
        <c:lblOffset val="100"/>
        <c:noMultiLvlLbl val="0"/>
      </c:catAx>
      <c:valAx>
        <c:axId val="36447894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364478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49844141335876"/>
          <c:y val="5.4403980752405962E-2"/>
          <c:w val="0.21983483185883229"/>
          <c:h val="0.9282290755322251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co2pfad_ets!$A$3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co2pfad_ets!$B$3:$AU$3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 formatCode="0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86.115844457061357</c:v>
                </c:pt>
                <c:pt idx="10">
                  <c:v>82.586943254643558</c:v>
                </c:pt>
                <c:pt idx="11">
                  <c:v>79.202651255966828</c:v>
                </c:pt>
                <c:pt idx="12">
                  <c:v>75.957042587619853</c:v>
                </c:pt>
                <c:pt idx="13">
                  <c:v>72.844434209806124</c:v>
                </c:pt>
                <c:pt idx="14">
                  <c:v>69.859375965378121</c:v>
                </c:pt>
                <c:pt idx="15">
                  <c:v>66.996641036647304</c:v>
                </c:pt>
                <c:pt idx="16">
                  <c:v>64.251216793260085</c:v>
                </c:pt>
                <c:pt idx="17">
                  <c:v>61.618296015114602</c:v>
                </c:pt>
                <c:pt idx="18">
                  <c:v>59.093268474949269</c:v>
                </c:pt>
                <c:pt idx="19">
                  <c:v>56.671712865864755</c:v>
                </c:pt>
                <c:pt idx="20">
                  <c:v>54.349389059644118</c:v>
                </c:pt>
                <c:pt idx="21">
                  <c:v>52.122230682315752</c:v>
                </c:pt>
                <c:pt idx="22">
                  <c:v>49.986337993958792</c:v>
                </c:pt>
                <c:pt idx="23">
                  <c:v>47.937971060283786</c:v>
                </c:pt>
                <c:pt idx="24">
                  <c:v>45.973543204031905</c:v>
                </c:pt>
                <c:pt idx="25">
                  <c:v>44.089614724726239</c:v>
                </c:pt>
                <c:pt idx="26">
                  <c:v>42.282886875778509</c:v>
                </c:pt>
                <c:pt idx="27">
                  <c:v>40.550196088405109</c:v>
                </c:pt>
                <c:pt idx="28">
                  <c:v>38.888508432238638</c:v>
                </c:pt>
                <c:pt idx="29">
                  <c:v>37.294914302935425</c:v>
                </c:pt>
                <c:pt idx="30">
                  <c:v>35.766623327477127</c:v>
                </c:pt>
                <c:pt idx="31">
                  <c:v>34.300959478245609</c:v>
                </c:pt>
                <c:pt idx="32">
                  <c:v>32.895356387315928</c:v>
                </c:pt>
                <c:pt idx="33">
                  <c:v>31.547352852762629</c:v>
                </c:pt>
                <c:pt idx="34">
                  <c:v>30.254588529111103</c:v>
                </c:pt>
                <c:pt idx="35">
                  <c:v>29.014799794387951</c:v>
                </c:pt>
                <c:pt idx="36">
                  <c:v>27.825815786533504</c:v>
                </c:pt>
                <c:pt idx="37">
                  <c:v>26.685554602236394</c:v>
                </c:pt>
                <c:pt idx="38">
                  <c:v>25.592019651534343</c:v>
                </c:pt>
                <c:pt idx="39">
                  <c:v>24.543296161798018</c:v>
                </c:pt>
                <c:pt idx="40">
                  <c:v>23.53754782497656</c:v>
                </c:pt>
                <c:pt idx="41">
                  <c:v>22.573013582234015</c:v>
                </c:pt>
                <c:pt idx="42">
                  <c:v>21.648004540346751</c:v>
                </c:pt>
                <c:pt idx="43">
                  <c:v>20.760901014462302</c:v>
                </c:pt>
                <c:pt idx="44">
                  <c:v>19.910149692041688</c:v>
                </c:pt>
                <c:pt idx="45">
                  <c:v>19.094260913019177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63C-406B-8D24-D9B8762FBFEC}"/>
            </c:ext>
          </c:extLst>
        </c:ser>
        <c:ser>
          <c:idx val="2"/>
          <c:order val="1"/>
          <c:tx>
            <c:strRef>
              <c:f>co2pfad_ets!$A$4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co2pfad_ets!$B$4:$AU$4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 formatCode="0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94.491096163909091</c:v>
                </c:pt>
                <c:pt idx="10">
                  <c:v>90.438903998437965</c:v>
                </c:pt>
                <c:pt idx="11">
                  <c:v>86.560487585524754</c:v>
                </c:pt>
                <c:pt idx="12">
                  <c:v>82.848394659594661</c:v>
                </c:pt>
                <c:pt idx="13">
                  <c:v>79.295492540868921</c:v>
                </c:pt>
                <c:pt idx="14">
                  <c:v>75.894954430125608</c:v>
                </c:pt>
                <c:pt idx="15">
                  <c:v>72.640246291201422</c:v>
                </c:pt>
                <c:pt idx="16">
                  <c:v>69.525114296029074</c:v>
                </c:pt>
                <c:pt idx="17">
                  <c:v>66.543572808086608</c:v>
                </c:pt>
                <c:pt idx="18">
                  <c:v>63.68989288116903</c:v>
                </c:pt>
                <c:pt idx="19">
                  <c:v>60.958591251382821</c:v>
                </c:pt>
                <c:pt idx="20">
                  <c:v>58.344419801212275</c:v>
                </c:pt>
                <c:pt idx="21">
                  <c:v>55.842355475412511</c:v>
                </c:pt>
                <c:pt idx="22">
                  <c:v>53.447590629353378</c:v>
                </c:pt>
                <c:pt idx="23">
                  <c:v>51.155523791268621</c:v>
                </c:pt>
                <c:pt idx="24">
                  <c:v>48.961750820660136</c:v>
                </c:pt>
                <c:pt idx="25">
                  <c:v>46.862056445868774</c:v>
                </c:pt>
                <c:pt idx="26">
                  <c:v>44.852406164551091</c:v>
                </c:pt>
                <c:pt idx="27">
                  <c:v>42.928938491499139</c:v>
                </c:pt>
                <c:pt idx="28">
                  <c:v>41.087957538907666</c:v>
                </c:pt>
                <c:pt idx="29">
                  <c:v>39.325925914832112</c:v>
                </c:pt>
                <c:pt idx="30">
                  <c:v>37.639457926191646</c:v>
                </c:pt>
                <c:pt idx="31">
                  <c:v>36.02531307325733</c:v>
                </c:pt>
                <c:pt idx="32">
                  <c:v>34.480389823125158</c:v>
                </c:pt>
                <c:pt idx="33">
                  <c:v>33.001719650209708</c:v>
                </c:pt>
                <c:pt idx="34">
                  <c:v>31.586461332307653</c:v>
                </c:pt>
                <c:pt idx="35">
                  <c:v>30.231895491271072</c:v>
                </c:pt>
                <c:pt idx="36">
                  <c:v>28.935419367800485</c:v>
                </c:pt>
                <c:pt idx="37">
                  <c:v>27.694541820317792</c:v>
                </c:pt>
                <c:pt idx="38">
                  <c:v>26.506878538309341</c:v>
                </c:pt>
                <c:pt idx="39">
                  <c:v>25.370147460941883</c:v>
                </c:pt>
                <c:pt idx="40">
                  <c:v>24.282164392148335</c:v>
                </c:pt>
                <c:pt idx="41">
                  <c:v>23.240838803757839</c:v>
                </c:pt>
                <c:pt idx="42">
                  <c:v>22.244169818606029</c:v>
                </c:pt>
                <c:pt idx="43">
                  <c:v>21.290242365907126</c:v>
                </c:pt>
                <c:pt idx="44">
                  <c:v>20.377223501500488</c:v>
                </c:pt>
                <c:pt idx="45">
                  <c:v>19.50335888590115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63C-406B-8D24-D9B8762FBFEC}"/>
            </c:ext>
          </c:extLst>
        </c:ser>
        <c:ser>
          <c:idx val="3"/>
          <c:order val="2"/>
          <c:tx>
            <c:strRef>
              <c:f>co2pfad_ets!$A$5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co2pfad_ets!$B$5:$AU$5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 formatCode="0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70.969654979803082</c:v>
                </c:pt>
                <c:pt idx="10">
                  <c:v>68.515256131224461</c:v>
                </c:pt>
                <c:pt idx="11">
                  <c:v>66.145739669485948</c:v>
                </c:pt>
                <c:pt idx="12">
                  <c:v>63.858170040897946</c:v>
                </c:pt>
                <c:pt idx="13">
                  <c:v>61.649713214310275</c:v>
                </c:pt>
                <c:pt idx="14">
                  <c:v>59.517633170079179</c:v>
                </c:pt>
                <c:pt idx="15">
                  <c:v>57.459288510458975</c:v>
                </c:pt>
                <c:pt idx="16">
                  <c:v>55.472129187219331</c:v>
                </c:pt>
                <c:pt idx="17">
                  <c:v>53.553693342433803</c:v>
                </c:pt>
                <c:pt idx="18">
                  <c:v>51.701604258525926</c:v>
                </c:pt>
                <c:pt idx="19">
                  <c:v>49.913567413794098</c:v>
                </c:pt>
                <c:pt idx="20">
                  <c:v>48.187367639767707</c:v>
                </c:pt>
                <c:pt idx="21">
                  <c:v>46.520866376872483</c:v>
                </c:pt>
                <c:pt idx="22">
                  <c:v>44.911999025005414</c:v>
                </c:pt>
                <c:pt idx="23">
                  <c:v>43.358772385736735</c:v>
                </c:pt>
                <c:pt idx="24">
                  <c:v>41.859262192970277</c:v>
                </c:pt>
                <c:pt idx="25">
                  <c:v>40.411610729002831</c:v>
                </c:pt>
                <c:pt idx="26">
                  <c:v>39.01402452302932</c:v>
                </c:pt>
                <c:pt idx="27">
                  <c:v>37.664772129242259</c:v>
                </c:pt>
                <c:pt idx="28">
                  <c:v>36.362181981772949</c:v>
                </c:pt>
                <c:pt idx="29">
                  <c:v>35.104640323816909</c:v>
                </c:pt>
                <c:pt idx="30">
                  <c:v>33.890589208378032</c:v>
                </c:pt>
                <c:pt idx="31">
                  <c:v>32.718524568154464</c:v>
                </c:pt>
                <c:pt idx="32">
                  <c:v>31.586994352175214</c:v>
                </c:pt>
                <c:pt idx="33">
                  <c:v>30.494596726878871</c:v>
                </c:pt>
                <c:pt idx="34">
                  <c:v>29.439978339405787</c:v>
                </c:pt>
                <c:pt idx="35">
                  <c:v>28.421832640952271</c:v>
                </c:pt>
                <c:pt idx="36">
                  <c:v>27.438898268109408</c:v>
                </c:pt>
                <c:pt idx="37">
                  <c:v>26.489957480181399</c:v>
                </c:pt>
                <c:pt idx="38">
                  <c:v>25.57383465054729</c:v>
                </c:pt>
                <c:pt idx="39">
                  <c:v>24.689394810197125</c:v>
                </c:pt>
                <c:pt idx="40">
                  <c:v>23.83554224163813</c:v>
                </c:pt>
                <c:pt idx="41">
                  <c:v>23.011219121428905</c:v>
                </c:pt>
                <c:pt idx="42">
                  <c:v>22.215404209659948</c:v>
                </c:pt>
                <c:pt idx="43">
                  <c:v>21.447111584756886</c:v>
                </c:pt>
                <c:pt idx="44">
                  <c:v>20.705389422038962</c:v>
                </c:pt>
                <c:pt idx="45">
                  <c:v>19.989318814519642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63C-406B-8D24-D9B8762FBFEC}"/>
            </c:ext>
          </c:extLst>
        </c:ser>
        <c:ser>
          <c:idx val="4"/>
          <c:order val="3"/>
          <c:tx>
            <c:strRef>
              <c:f>co2pfad_ets!$A$6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co2pfad_ets!$B$6:$AU$6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 formatCode="0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81.179066799929373</c:v>
                </c:pt>
                <c:pt idx="10">
                  <c:v>77.419991306726317</c:v>
                </c:pt>
                <c:pt idx="11">
                  <c:v>73.834983453379564</c:v>
                </c:pt>
                <c:pt idx="12">
                  <c:v>70.415982868848431</c:v>
                </c:pt>
                <c:pt idx="13">
                  <c:v>67.155302425397906</c:v>
                </c:pt>
                <c:pt idx="14">
                  <c:v>64.045610955205106</c:v>
                </c:pt>
                <c:pt idx="15">
                  <c:v>61.079916767289944</c:v>
                </c:pt>
                <c:pt idx="16">
                  <c:v>58.251551927710373</c:v>
                </c:pt>
                <c:pt idx="17">
                  <c:v>55.554157267678505</c:v>
                </c:pt>
                <c:pt idx="18">
                  <c:v>52.981668085890334</c:v>
                </c:pt>
                <c:pt idx="19">
                  <c:v>50.528300512923096</c:v>
                </c:pt>
                <c:pt idx="20">
                  <c:v>48.188538507042381</c:v>
                </c:pt>
                <c:pt idx="21">
                  <c:v>45.957121452181006</c:v>
                </c:pt>
                <c:pt idx="22">
                  <c:v>43.829032330205543</c:v>
                </c:pt>
                <c:pt idx="23">
                  <c:v>41.799486440877551</c:v>
                </c:pt>
                <c:pt idx="24">
                  <c:v>39.863920644147889</c:v>
                </c:pt>
                <c:pt idx="25">
                  <c:v>38.0179831005971</c:v>
                </c:pt>
                <c:pt idx="26">
                  <c:v>36.257523486954611</c:v>
                </c:pt>
                <c:pt idx="27">
                  <c:v>34.578583664697838</c:v>
                </c:pt>
                <c:pt idx="28">
                  <c:v>32.977388780750864</c:v>
                </c:pt>
                <c:pt idx="29">
                  <c:v>31.450338780273935</c:v>
                </c:pt>
                <c:pt idx="30">
                  <c:v>29.994000312461388</c:v>
                </c:pt>
                <c:pt idx="31">
                  <c:v>28.605099011149608</c:v>
                </c:pt>
                <c:pt idx="32">
                  <c:v>27.280512132878766</c:v>
                </c:pt>
                <c:pt idx="33">
                  <c:v>26.017261535856363</c:v>
                </c:pt>
                <c:pt idx="34">
                  <c:v>24.812506984036645</c:v>
                </c:pt>
                <c:pt idx="35">
                  <c:v>23.663539761261156</c:v>
                </c:pt>
                <c:pt idx="36">
                  <c:v>22.567776581102621</c:v>
                </c:pt>
                <c:pt idx="37">
                  <c:v>21.522753778719554</c:v>
                </c:pt>
                <c:pt idx="38">
                  <c:v>20.526121771662556</c:v>
                </c:pt>
                <c:pt idx="39">
                  <c:v>19.57563977717842</c:v>
                </c:pt>
                <c:pt idx="40">
                  <c:v>18.669170774134574</c:v>
                </c:pt>
                <c:pt idx="41">
                  <c:v>17.804676698236516</c:v>
                </c:pt>
                <c:pt idx="42">
                  <c:v>16.980213859735368</c:v>
                </c:pt>
                <c:pt idx="43">
                  <c:v>16.193928573322921</c:v>
                </c:pt>
                <c:pt idx="44">
                  <c:v>15.444052990388634</c:v>
                </c:pt>
                <c:pt idx="45">
                  <c:v>14.728901124268026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63C-406B-8D24-D9B8762FBFEC}"/>
            </c:ext>
          </c:extLst>
        </c:ser>
        <c:ser>
          <c:idx val="5"/>
          <c:order val="4"/>
          <c:tx>
            <c:strRef>
              <c:f>co2pfad_ets!$A$7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co2pfad_ets!$B$7:$AU$7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 formatCode="0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78.128147144027395</c:v>
                </c:pt>
                <c:pt idx="10">
                  <c:v>75.301281399030287</c:v>
                </c:pt>
                <c:pt idx="11">
                  <c:v>72.576698508962608</c:v>
                </c:pt>
                <c:pt idx="12">
                  <c:v>69.950697632201113</c:v>
                </c:pt>
                <c:pt idx="13">
                  <c:v>67.419711832543172</c:v>
                </c:pt>
                <c:pt idx="14">
                  <c:v>64.980303234184248</c:v>
                </c:pt>
                <c:pt idx="15">
                  <c:v>62.629158351999727</c:v>
                </c:pt>
                <c:pt idx="16">
                  <c:v>60.363083590788627</c:v>
                </c:pt>
                <c:pt idx="17">
                  <c:v>58.179000907365584</c:v>
                </c:pt>
                <c:pt idx="18">
                  <c:v>56.073943629608813</c:v>
                </c:pt>
                <c:pt idx="19">
                  <c:v>54.045052426785034</c:v>
                </c:pt>
                <c:pt idx="20">
                  <c:v>52.08957142567786</c:v>
                </c:pt>
                <c:pt idx="21">
                  <c:v>50.204844467244094</c:v>
                </c:pt>
                <c:pt idx="22">
                  <c:v>48.388311498713186</c:v>
                </c:pt>
                <c:pt idx="23">
                  <c:v>46.637505096229361</c:v>
                </c:pt>
                <c:pt idx="24">
                  <c:v>44.950047113312934</c:v>
                </c:pt>
                <c:pt idx="25">
                  <c:v>43.32364545058843</c:v>
                </c:pt>
                <c:pt idx="26">
                  <c:v>41.756090942391829</c:v>
                </c:pt>
                <c:pt idx="27">
                  <c:v>40.245254356027772</c:v>
                </c:pt>
                <c:pt idx="28">
                  <c:v>38.789083499601062</c:v>
                </c:pt>
                <c:pt idx="29">
                  <c:v>37.38560043449376</c:v>
                </c:pt>
                <c:pt idx="30">
                  <c:v>36.03289878870158</c:v>
                </c:pt>
                <c:pt idx="31">
                  <c:v>34.729141167380398</c:v>
                </c:pt>
                <c:pt idx="32">
                  <c:v>33.47255665708537</c:v>
                </c:pt>
                <c:pt idx="33">
                  <c:v>32.261438420312714</c:v>
                </c:pt>
                <c:pt idx="34">
                  <c:v>31.094141377076902</c:v>
                </c:pt>
                <c:pt idx="35">
                  <c:v>29.96907997037394</c:v>
                </c:pt>
                <c:pt idx="36">
                  <c:v>28.88472601249558</c:v>
                </c:pt>
                <c:pt idx="37">
                  <c:v>27.839606609269179</c:v>
                </c:pt>
                <c:pt idx="38">
                  <c:v>26.832302159403511</c:v>
                </c:pt>
                <c:pt idx="39">
                  <c:v>25.861444426223184</c:v>
                </c:pt>
                <c:pt idx="40">
                  <c:v>24.92571467917228</c:v>
                </c:pt>
                <c:pt idx="41">
                  <c:v>24.023841902562985</c:v>
                </c:pt>
                <c:pt idx="42">
                  <c:v>23.154601069135992</c:v>
                </c:pt>
                <c:pt idx="43">
                  <c:v>22.316811476087675</c:v>
                </c:pt>
                <c:pt idx="44">
                  <c:v>21.50933514130385</c:v>
                </c:pt>
                <c:pt idx="45">
                  <c:v>20.731075257621683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A63C-406B-8D24-D9B8762FBFEC}"/>
            </c:ext>
          </c:extLst>
        </c:ser>
        <c:ser>
          <c:idx val="6"/>
          <c:order val="5"/>
          <c:tx>
            <c:strRef>
              <c:f>co2pfad_ets!$A$8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co2pfad_ets!$B$2:$AU$2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co2pfad_ets!$B$8:$AU$8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 formatCode="0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90.284267211567169</c:v>
                </c:pt>
                <c:pt idx="10">
                  <c:v>86.702226497718513</c:v>
                </c:pt>
                <c:pt idx="11">
                  <c:v>83.262303741648722</c:v>
                </c:pt>
                <c:pt idx="12">
                  <c:v>79.958860393844645</c:v>
                </c:pt>
                <c:pt idx="13">
                  <c:v>76.786481615020179</c:v>
                </c:pt>
                <c:pt idx="14">
                  <c:v>73.739967400382426</c:v>
                </c:pt>
                <c:pt idx="15">
                  <c:v>70.814324056043461</c:v>
                </c:pt>
                <c:pt idx="16">
                  <c:v>68.004756013606936</c:v>
                </c:pt>
                <c:pt idx="17">
                  <c:v>65.306657969511889</c:v>
                </c:pt>
                <c:pt idx="18">
                  <c:v>62.715607336249299</c:v>
                </c:pt>
                <c:pt idx="19">
                  <c:v>60.227356993077578</c:v>
                </c:pt>
                <c:pt idx="20">
                  <c:v>57.837828324354433</c:v>
                </c:pt>
                <c:pt idx="21">
                  <c:v>55.543104534073905</c:v>
                </c:pt>
                <c:pt idx="22">
                  <c:v>53.339424225650113</c:v>
                </c:pt>
                <c:pt idx="23">
                  <c:v>51.223175236423721</c:v>
                </c:pt>
                <c:pt idx="24">
                  <c:v>49.190888716785608</c:v>
                </c:pt>
                <c:pt idx="25">
                  <c:v>47.239233444211727</c:v>
                </c:pt>
                <c:pt idx="26">
                  <c:v>45.365010362889677</c:v>
                </c:pt>
                <c:pt idx="27">
                  <c:v>43.56514733998619</c:v>
                </c:pt>
                <c:pt idx="28">
                  <c:v>41.836694129960563</c:v>
                </c:pt>
                <c:pt idx="29">
                  <c:v>40.176817538669454</c:v>
                </c:pt>
                <c:pt idx="30">
                  <c:v>38.582796779336711</c:v>
                </c:pt>
                <c:pt idx="31">
                  <c:v>37.05201901277556</c:v>
                </c:pt>
                <c:pt idx="32">
                  <c:v>35.581975064553191</c:v>
                </c:pt>
                <c:pt idx="33">
                  <c:v>34.170255312077337</c:v>
                </c:pt>
                <c:pt idx="34">
                  <c:v>32.814545734863394</c:v>
                </c:pt>
                <c:pt idx="35">
                  <c:v>31.512624121507603</c:v>
                </c:pt>
                <c:pt idx="36">
                  <c:v>30.262356427149147</c:v>
                </c:pt>
                <c:pt idx="37">
                  <c:v>29.061693275450445</c:v>
                </c:pt>
                <c:pt idx="38">
                  <c:v>27.908666599361879</c:v>
                </c:pt>
                <c:pt idx="39">
                  <c:v>26.801386415164586</c:v>
                </c:pt>
                <c:pt idx="40">
                  <c:v>25.738037724503567</c:v>
                </c:pt>
                <c:pt idx="41">
                  <c:v>24.716877539333094</c:v>
                </c:pt>
                <c:pt idx="42">
                  <c:v>23.736232024897781</c:v>
                </c:pt>
                <c:pt idx="43">
                  <c:v>22.794493756066277</c:v>
                </c:pt>
                <c:pt idx="44">
                  <c:v>21.890119082520307</c:v>
                </c:pt>
                <c:pt idx="45">
                  <c:v>21.021625598480188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A63C-406B-8D24-D9B8762FB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485104"/>
        <c:axId val="364485664"/>
      </c:lineChart>
      <c:scatterChart>
        <c:scatterStyle val="lineMarker"/>
        <c:varyColors val="0"/>
        <c:ser>
          <c:idx val="0"/>
          <c:order val="6"/>
          <c:tx>
            <c:strRef>
              <c:f>co2pfad_ets!$Z$11</c:f>
              <c:strCache>
                <c:ptCount val="1"/>
                <c:pt idx="0">
                  <c:v>2013</c:v>
                </c:pt>
              </c:strCache>
            </c:strRef>
          </c:tx>
          <c:spPr>
            <a:ln w="12700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co2pfad_ets!$AA$10:$AB$10</c:f>
              <c:numCache>
                <c:formatCode>General</c:formatCode>
                <c:ptCount val="2"/>
                <c:pt idx="0">
                  <c:v>9</c:v>
                </c:pt>
                <c:pt idx="1">
                  <c:v>9</c:v>
                </c:pt>
              </c:numCache>
            </c:numRef>
          </c:xVal>
          <c:yVal>
            <c:numRef>
              <c:f>co2pfad_ets!$AA$11:$AB$11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A63C-406B-8D24-D9B8762FB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486784"/>
        <c:axId val="364486224"/>
      </c:scatterChart>
      <c:catAx>
        <c:axId val="364485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364485664"/>
        <c:crosses val="autoZero"/>
        <c:auto val="1"/>
        <c:lblAlgn val="ctr"/>
        <c:lblOffset val="100"/>
        <c:noMultiLvlLbl val="0"/>
      </c:catAx>
      <c:valAx>
        <c:axId val="364485664"/>
        <c:scaling>
          <c:orientation val="minMax"/>
          <c:max val="12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364485104"/>
        <c:crosses val="autoZero"/>
        <c:crossBetween val="between"/>
      </c:valAx>
      <c:valAx>
        <c:axId val="36448622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364486784"/>
        <c:crosses val="max"/>
        <c:crossBetween val="midCat"/>
      </c:valAx>
      <c:valAx>
        <c:axId val="36448678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364486224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co2pfad_ets!$A$12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co2pfad_ets!$B$12:$K$12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95.635447922924882</c:v>
                </c:pt>
                <c:pt idx="2">
                  <c:v>82.586943254643558</c:v>
                </c:pt>
                <c:pt idx="3">
                  <c:v>66.996641036647304</c:v>
                </c:pt>
                <c:pt idx="4">
                  <c:v>54.349389059644118</c:v>
                </c:pt>
                <c:pt idx="5">
                  <c:v>44.089614724726239</c:v>
                </c:pt>
                <c:pt idx="6">
                  <c:v>35.766623327477127</c:v>
                </c:pt>
                <c:pt idx="7">
                  <c:v>29.014799794387951</c:v>
                </c:pt>
                <c:pt idx="8">
                  <c:v>23.53754782497656</c:v>
                </c:pt>
                <c:pt idx="9">
                  <c:v>19.094260913019177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E32-4F4E-9D16-F5C2CE45E6E4}"/>
            </c:ext>
          </c:extLst>
        </c:ser>
        <c:ser>
          <c:idx val="2"/>
          <c:order val="1"/>
          <c:tx>
            <c:strRef>
              <c:f>co2pfad_ets!$A$13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co2pfad_ets!$B$13:$K$13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93.372896045778504</c:v>
                </c:pt>
                <c:pt idx="2">
                  <c:v>90.438903998437965</c:v>
                </c:pt>
                <c:pt idx="3">
                  <c:v>72.640246291201422</c:v>
                </c:pt>
                <c:pt idx="4">
                  <c:v>58.344419801212275</c:v>
                </c:pt>
                <c:pt idx="5">
                  <c:v>46.862056445868774</c:v>
                </c:pt>
                <c:pt idx="6">
                  <c:v>37.639457926191646</c:v>
                </c:pt>
                <c:pt idx="7">
                  <c:v>30.231895491271072</c:v>
                </c:pt>
                <c:pt idx="8">
                  <c:v>24.282164392148335</c:v>
                </c:pt>
                <c:pt idx="9">
                  <c:v>19.50335888590115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E32-4F4E-9D16-F5C2CE45E6E4}"/>
            </c:ext>
          </c:extLst>
        </c:ser>
        <c:ser>
          <c:idx val="3"/>
          <c:order val="2"/>
          <c:tx>
            <c:strRef>
              <c:f>co2pfad_ets!$A$14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co2pfad_ets!$B$14:$K$14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77.272393253344333</c:v>
                </c:pt>
                <c:pt idx="2">
                  <c:v>68.515256131224461</c:v>
                </c:pt>
                <c:pt idx="3">
                  <c:v>57.459288510458975</c:v>
                </c:pt>
                <c:pt idx="4">
                  <c:v>48.187367639767707</c:v>
                </c:pt>
                <c:pt idx="5">
                  <c:v>40.411610729002831</c:v>
                </c:pt>
                <c:pt idx="6">
                  <c:v>33.890589208378032</c:v>
                </c:pt>
                <c:pt idx="7">
                  <c:v>28.421832640952271</c:v>
                </c:pt>
                <c:pt idx="8">
                  <c:v>23.83554224163813</c:v>
                </c:pt>
                <c:pt idx="9">
                  <c:v>19.989318814519642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E32-4F4E-9D16-F5C2CE45E6E4}"/>
            </c:ext>
          </c:extLst>
        </c:ser>
        <c:ser>
          <c:idx val="4"/>
          <c:order val="3"/>
          <c:tx>
            <c:strRef>
              <c:f>co2pfad_ets!$A$15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co2pfad_ets!$B$15:$K$15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87.602791846624214</c:v>
                </c:pt>
                <c:pt idx="2">
                  <c:v>77.419991306726317</c:v>
                </c:pt>
                <c:pt idx="3">
                  <c:v>61.079916767289944</c:v>
                </c:pt>
                <c:pt idx="4">
                  <c:v>48.188538507042381</c:v>
                </c:pt>
                <c:pt idx="5">
                  <c:v>38.0179831005971</c:v>
                </c:pt>
                <c:pt idx="6">
                  <c:v>29.994000312461388</c:v>
                </c:pt>
                <c:pt idx="7">
                  <c:v>23.663539761261156</c:v>
                </c:pt>
                <c:pt idx="8">
                  <c:v>18.669170774134574</c:v>
                </c:pt>
                <c:pt idx="9">
                  <c:v>14.728901124268026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E32-4F4E-9D16-F5C2CE45E6E4}"/>
            </c:ext>
          </c:extLst>
        </c:ser>
        <c:ser>
          <c:idx val="5"/>
          <c:order val="4"/>
          <c:tx>
            <c:strRef>
              <c:f>co2pfad_ets!$A$16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co2pfad_ets!$B$16:$K$16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91.263038525384971</c:v>
                </c:pt>
                <c:pt idx="2">
                  <c:v>75.301281399030287</c:v>
                </c:pt>
                <c:pt idx="3">
                  <c:v>62.629158351999727</c:v>
                </c:pt>
                <c:pt idx="4">
                  <c:v>52.08957142567786</c:v>
                </c:pt>
                <c:pt idx="5">
                  <c:v>43.32364545058843</c:v>
                </c:pt>
                <c:pt idx="6">
                  <c:v>36.03289878870158</c:v>
                </c:pt>
                <c:pt idx="7">
                  <c:v>29.96907997037394</c:v>
                </c:pt>
                <c:pt idx="8">
                  <c:v>24.92571467917228</c:v>
                </c:pt>
                <c:pt idx="9">
                  <c:v>20.731075257621683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2E32-4F4E-9D16-F5C2CE45E6E4}"/>
            </c:ext>
          </c:extLst>
        </c:ser>
        <c:ser>
          <c:idx val="6"/>
          <c:order val="5"/>
          <c:tx>
            <c:strRef>
              <c:f>co2pfad_ets!$A$17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co2pfad_ets!$B$17:$K$17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97.381051964551972</c:v>
                </c:pt>
                <c:pt idx="2">
                  <c:v>86.702226497718513</c:v>
                </c:pt>
                <c:pt idx="3">
                  <c:v>70.814324056043461</c:v>
                </c:pt>
                <c:pt idx="4">
                  <c:v>57.837828324354433</c:v>
                </c:pt>
                <c:pt idx="5">
                  <c:v>47.239233444211727</c:v>
                </c:pt>
                <c:pt idx="6">
                  <c:v>38.582796779336711</c:v>
                </c:pt>
                <c:pt idx="7">
                  <c:v>31.512624121507603</c:v>
                </c:pt>
                <c:pt idx="8">
                  <c:v>25.738037724503567</c:v>
                </c:pt>
                <c:pt idx="9">
                  <c:v>21.021625598480188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2E32-4F4E-9D16-F5C2CE45E6E4}"/>
            </c:ext>
          </c:extLst>
        </c:ser>
        <c:ser>
          <c:idx val="7"/>
          <c:order val="6"/>
          <c:tx>
            <c:strRef>
              <c:f>co2pfad_ets!$A$18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ot"/>
            </a:ln>
          </c:spPr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co2pfad_ets!$B$18:$K$18</c:f>
              <c:numCache>
                <c:formatCode>0.0</c:formatCode>
                <c:ptCount val="10"/>
                <c:pt idx="0" formatCode="General">
                  <c:v>99.999999999999986</c:v>
                </c:pt>
                <c:pt idx="1">
                  <c:v>89.243942903166996</c:v>
                </c:pt>
                <c:pt idx="2">
                  <c:v>80.205363776766688</c:v>
                </c:pt>
                <c:pt idx="3">
                  <c:v>64.961496992728627</c:v>
                </c:pt>
                <c:pt idx="4">
                  <c:v>52.679922307274424</c:v>
                </c:pt>
                <c:pt idx="5">
                  <c:v>42.774198841121311</c:v>
                </c:pt>
                <c:pt idx="6">
                  <c:v>34.775733524514244</c:v>
                </c:pt>
                <c:pt idx="7">
                  <c:v>28.309817614853873</c:v>
                </c:pt>
                <c:pt idx="8">
                  <c:v>23.07658146032237</c:v>
                </c:pt>
                <c:pt idx="9">
                  <c:v>18.835850618287072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2E32-4F4E-9D16-F5C2CE45E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4982608"/>
        <c:axId val="364983168"/>
      </c:lineChart>
      <c:catAx>
        <c:axId val="364982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4983168"/>
        <c:crosses val="autoZero"/>
        <c:auto val="1"/>
        <c:lblAlgn val="ctr"/>
        <c:lblOffset val="100"/>
        <c:noMultiLvlLbl val="0"/>
      </c:catAx>
      <c:valAx>
        <c:axId val="364983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49826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908776547726291"/>
          <c:y val="0.18860911758723886"/>
          <c:w val="0.19091223452273706"/>
          <c:h val="0.6227817648255222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co2pfad_ets!$A$22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co2pfad_ets!$B$22:$K$22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0.95635447922924888</c:v>
                </c:pt>
                <c:pt idx="2">
                  <c:v>0.82586943254643552</c:v>
                </c:pt>
                <c:pt idx="3">
                  <c:v>0.66996641036647309</c:v>
                </c:pt>
                <c:pt idx="4">
                  <c:v>0.54349389059644115</c:v>
                </c:pt>
                <c:pt idx="5">
                  <c:v>0.44089614724726239</c:v>
                </c:pt>
                <c:pt idx="6">
                  <c:v>0.35766623327477126</c:v>
                </c:pt>
                <c:pt idx="7">
                  <c:v>0.29014799794387952</c:v>
                </c:pt>
                <c:pt idx="8">
                  <c:v>0.2353754782497656</c:v>
                </c:pt>
                <c:pt idx="9">
                  <c:v>0.19094260913019176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409-48D6-83A1-7D9651F27729}"/>
            </c:ext>
          </c:extLst>
        </c:ser>
        <c:ser>
          <c:idx val="2"/>
          <c:order val="1"/>
          <c:tx>
            <c:strRef>
              <c:f>co2pfad_ets!$A$23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co2pfad_ets!$B$23:$K$23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0.93372896045778508</c:v>
                </c:pt>
                <c:pt idx="2">
                  <c:v>0.90438903998437969</c:v>
                </c:pt>
                <c:pt idx="3">
                  <c:v>0.72640246291201427</c:v>
                </c:pt>
                <c:pt idx="4">
                  <c:v>0.58344419801212277</c:v>
                </c:pt>
                <c:pt idx="5">
                  <c:v>0.46862056445868772</c:v>
                </c:pt>
                <c:pt idx="6">
                  <c:v>0.37639457926191644</c:v>
                </c:pt>
                <c:pt idx="7">
                  <c:v>0.30231895491271071</c:v>
                </c:pt>
                <c:pt idx="8">
                  <c:v>0.24282164392148334</c:v>
                </c:pt>
                <c:pt idx="9">
                  <c:v>0.19503358885901151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409-48D6-83A1-7D9651F27729}"/>
            </c:ext>
          </c:extLst>
        </c:ser>
        <c:ser>
          <c:idx val="3"/>
          <c:order val="2"/>
          <c:tx>
            <c:strRef>
              <c:f>co2pfad_ets!$A$24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co2pfad_ets!$B$24:$K$24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0.77272393253344329</c:v>
                </c:pt>
                <c:pt idx="2">
                  <c:v>0.68515256131224467</c:v>
                </c:pt>
                <c:pt idx="3">
                  <c:v>0.57459288510458972</c:v>
                </c:pt>
                <c:pt idx="4">
                  <c:v>0.48187367639767709</c:v>
                </c:pt>
                <c:pt idx="5">
                  <c:v>0.40411610729002834</c:v>
                </c:pt>
                <c:pt idx="6">
                  <c:v>0.3389058920837803</c:v>
                </c:pt>
                <c:pt idx="7">
                  <c:v>0.28421832640952271</c:v>
                </c:pt>
                <c:pt idx="8">
                  <c:v>0.2383554224163813</c:v>
                </c:pt>
                <c:pt idx="9">
                  <c:v>0.19989318814519641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409-48D6-83A1-7D9651F27729}"/>
            </c:ext>
          </c:extLst>
        </c:ser>
        <c:ser>
          <c:idx val="4"/>
          <c:order val="3"/>
          <c:tx>
            <c:strRef>
              <c:f>co2pfad_ets!$A$25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co2pfad_ets!$B$25:$K$25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0.87602791846624217</c:v>
                </c:pt>
                <c:pt idx="2">
                  <c:v>0.77419991306726321</c:v>
                </c:pt>
                <c:pt idx="3">
                  <c:v>0.61079916767289943</c:v>
                </c:pt>
                <c:pt idx="4">
                  <c:v>0.48188538507042383</c:v>
                </c:pt>
                <c:pt idx="5">
                  <c:v>0.38017983100597097</c:v>
                </c:pt>
                <c:pt idx="6">
                  <c:v>0.29994000312461389</c:v>
                </c:pt>
                <c:pt idx="7">
                  <c:v>0.23663539761261154</c:v>
                </c:pt>
                <c:pt idx="8">
                  <c:v>0.18669170774134575</c:v>
                </c:pt>
                <c:pt idx="9">
                  <c:v>0.14728901124268026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409-48D6-83A1-7D9651F27729}"/>
            </c:ext>
          </c:extLst>
        </c:ser>
        <c:ser>
          <c:idx val="5"/>
          <c:order val="4"/>
          <c:tx>
            <c:strRef>
              <c:f>co2pfad_ets!$A$26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co2pfad_ets!$B$26:$K$26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0.91263038525384976</c:v>
                </c:pt>
                <c:pt idx="2">
                  <c:v>0.75301281399030284</c:v>
                </c:pt>
                <c:pt idx="3">
                  <c:v>0.62629158351999725</c:v>
                </c:pt>
                <c:pt idx="4">
                  <c:v>0.52089571425677861</c:v>
                </c:pt>
                <c:pt idx="5">
                  <c:v>0.43323645450588427</c:v>
                </c:pt>
                <c:pt idx="6">
                  <c:v>0.36032898788701578</c:v>
                </c:pt>
                <c:pt idx="7">
                  <c:v>0.29969079970373941</c:v>
                </c:pt>
                <c:pt idx="8">
                  <c:v>0.24925714679172281</c:v>
                </c:pt>
                <c:pt idx="9">
                  <c:v>0.20731075257621684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409-48D6-83A1-7D9651F27729}"/>
            </c:ext>
          </c:extLst>
        </c:ser>
        <c:ser>
          <c:idx val="6"/>
          <c:order val="5"/>
          <c:tx>
            <c:strRef>
              <c:f>co2pfad_ets!$A$27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co2pfad_ets!$B$27:$K$27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0.97381051964551968</c:v>
                </c:pt>
                <c:pt idx="2">
                  <c:v>0.86702226497718515</c:v>
                </c:pt>
                <c:pt idx="3">
                  <c:v>0.70814324056043465</c:v>
                </c:pt>
                <c:pt idx="4">
                  <c:v>0.57837828324354434</c:v>
                </c:pt>
                <c:pt idx="5">
                  <c:v>0.47239233444211726</c:v>
                </c:pt>
                <c:pt idx="6">
                  <c:v>0.38582796779336709</c:v>
                </c:pt>
                <c:pt idx="7">
                  <c:v>0.31512624121507604</c:v>
                </c:pt>
                <c:pt idx="8">
                  <c:v>0.25738037724503565</c:v>
                </c:pt>
                <c:pt idx="9">
                  <c:v>0.21021625598480187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7409-48D6-83A1-7D9651F27729}"/>
            </c:ext>
          </c:extLst>
        </c:ser>
        <c:ser>
          <c:idx val="7"/>
          <c:order val="6"/>
          <c:tx>
            <c:strRef>
              <c:f>co2pfad_ets!$A$28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ot"/>
            </a:ln>
          </c:spPr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co2pfad_ets!$B$28:$K$28</c:f>
              <c:numCache>
                <c:formatCode>0.00</c:formatCode>
                <c:ptCount val="10"/>
                <c:pt idx="0" formatCode="General">
                  <c:v>0.99999999999999989</c:v>
                </c:pt>
                <c:pt idx="1">
                  <c:v>0.89243942903166995</c:v>
                </c:pt>
                <c:pt idx="2">
                  <c:v>0.80205363776766692</c:v>
                </c:pt>
                <c:pt idx="3">
                  <c:v>0.64961496992728629</c:v>
                </c:pt>
                <c:pt idx="4">
                  <c:v>0.52679922307274429</c:v>
                </c:pt>
                <c:pt idx="5">
                  <c:v>0.42774198841121314</c:v>
                </c:pt>
                <c:pt idx="6">
                  <c:v>0.34775733524514246</c:v>
                </c:pt>
                <c:pt idx="7">
                  <c:v>0.28309817614853872</c:v>
                </c:pt>
                <c:pt idx="8">
                  <c:v>0.23076581460322371</c:v>
                </c:pt>
                <c:pt idx="9">
                  <c:v>0.18835850618287073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409-48D6-83A1-7D9651F27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4989328"/>
        <c:axId val="364989888"/>
      </c:lineChart>
      <c:catAx>
        <c:axId val="364989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4989888"/>
        <c:crosses val="autoZero"/>
        <c:auto val="1"/>
        <c:lblAlgn val="ctr"/>
        <c:lblOffset val="100"/>
        <c:noMultiLvlLbl val="0"/>
      </c:catAx>
      <c:valAx>
        <c:axId val="364989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4989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co2pfad_ets!$A$41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co2pfad_ets!$B$41:$K$41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95.635447922924882</c:v>
                </c:pt>
                <c:pt idx="2">
                  <c:v>85.973843512175009</c:v>
                </c:pt>
                <c:pt idx="3">
                  <c:v>76.419617426581326</c:v>
                </c:pt>
                <c:pt idx="4">
                  <c:v>66.865391340987657</c:v>
                </c:pt>
                <c:pt idx="5">
                  <c:v>57.311165255393995</c:v>
                </c:pt>
                <c:pt idx="6">
                  <c:v>47.756939169800319</c:v>
                </c:pt>
                <c:pt idx="7">
                  <c:v>38.202713084206607</c:v>
                </c:pt>
                <c:pt idx="8">
                  <c:v>28.64848699861291</c:v>
                </c:pt>
                <c:pt idx="9">
                  <c:v>19.09426091301922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4DA-45BF-B871-26BCF46892A3}"/>
            </c:ext>
          </c:extLst>
        </c:ser>
        <c:ser>
          <c:idx val="2"/>
          <c:order val="1"/>
          <c:tx>
            <c:strRef>
              <c:f>co2pfad_ets!$A$42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co2pfad_ets!$B$42:$K$42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93.372896045778504</c:v>
                </c:pt>
                <c:pt idx="2">
                  <c:v>94.44260747604325</c:v>
                </c:pt>
                <c:pt idx="3">
                  <c:v>83.737000534594358</c:v>
                </c:pt>
                <c:pt idx="4">
                  <c:v>73.031393593145467</c:v>
                </c:pt>
                <c:pt idx="5">
                  <c:v>62.325786651696561</c:v>
                </c:pt>
                <c:pt idx="6">
                  <c:v>51.620179710247683</c:v>
                </c:pt>
                <c:pt idx="7">
                  <c:v>40.914572768798813</c:v>
                </c:pt>
                <c:pt idx="8">
                  <c:v>30.208965827349942</c:v>
                </c:pt>
                <c:pt idx="9">
                  <c:v>19.503358885901068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4DA-45BF-B871-26BCF46892A3}"/>
            </c:ext>
          </c:extLst>
        </c:ser>
        <c:ser>
          <c:idx val="3"/>
          <c:order val="2"/>
          <c:tx>
            <c:strRef>
              <c:f>co2pfad_ets!$A$43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co2pfad_ets!$B$43:$K$43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77.272393253344333</c:v>
                </c:pt>
                <c:pt idx="2">
                  <c:v>70.618860273461692</c:v>
                </c:pt>
                <c:pt idx="3">
                  <c:v>63.386068636469957</c:v>
                </c:pt>
                <c:pt idx="4">
                  <c:v>56.15327699947823</c:v>
                </c:pt>
                <c:pt idx="5">
                  <c:v>48.920485362486481</c:v>
                </c:pt>
                <c:pt idx="6">
                  <c:v>41.687693725494753</c:v>
                </c:pt>
                <c:pt idx="7">
                  <c:v>34.454902088503012</c:v>
                </c:pt>
                <c:pt idx="8">
                  <c:v>27.222110451511274</c:v>
                </c:pt>
                <c:pt idx="9">
                  <c:v>19.98931881451955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4DA-45BF-B871-26BCF46892A3}"/>
            </c:ext>
          </c:extLst>
        </c:ser>
        <c:ser>
          <c:idx val="4"/>
          <c:order val="3"/>
          <c:tx>
            <c:strRef>
              <c:f>co2pfad_ets!$A$44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co2pfad_ets!$B$44:$K$44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87.602791846624214</c:v>
                </c:pt>
                <c:pt idx="2">
                  <c:v>81.315701640417899</c:v>
                </c:pt>
                <c:pt idx="3">
                  <c:v>71.803301566682194</c:v>
                </c:pt>
                <c:pt idx="4">
                  <c:v>62.290901492946503</c:v>
                </c:pt>
                <c:pt idx="5">
                  <c:v>52.778501419210798</c:v>
                </c:pt>
                <c:pt idx="6">
                  <c:v>43.2661013454751</c:v>
                </c:pt>
                <c:pt idx="7">
                  <c:v>33.753701271739409</c:v>
                </c:pt>
                <c:pt idx="8">
                  <c:v>24.241301198003708</c:v>
                </c:pt>
                <c:pt idx="9">
                  <c:v>14.728901124268013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4DA-45BF-B871-26BCF46892A3}"/>
            </c:ext>
          </c:extLst>
        </c:ser>
        <c:ser>
          <c:idx val="5"/>
          <c:order val="4"/>
          <c:tx>
            <c:strRef>
              <c:f>co2pfad_ets!$A$45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co2pfad_ets!$B$45:$K$45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91.263038525384971</c:v>
                </c:pt>
                <c:pt idx="2">
                  <c:v>77.800051179512579</c:v>
                </c:pt>
                <c:pt idx="3">
                  <c:v>69.647340333528149</c:v>
                </c:pt>
                <c:pt idx="4">
                  <c:v>61.494629487543726</c:v>
                </c:pt>
                <c:pt idx="5">
                  <c:v>53.341918641559303</c:v>
                </c:pt>
                <c:pt idx="6">
                  <c:v>45.189207795574873</c:v>
                </c:pt>
                <c:pt idx="7">
                  <c:v>37.03649694959045</c:v>
                </c:pt>
                <c:pt idx="8">
                  <c:v>28.883786103606017</c:v>
                </c:pt>
                <c:pt idx="9">
                  <c:v>20.731075257621605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D4DA-45BF-B871-26BCF46892A3}"/>
            </c:ext>
          </c:extLst>
        </c:ser>
        <c:ser>
          <c:idx val="6"/>
          <c:order val="5"/>
          <c:tx>
            <c:strRef>
              <c:f>co2pfad_ets!$A$46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co2pfad_ets!$B$46:$K$46</c:f>
              <c:numCache>
                <c:formatCode>0.0</c:formatCode>
                <c:ptCount val="10"/>
                <c:pt idx="0" formatCode="General">
                  <c:v>100</c:v>
                </c:pt>
                <c:pt idx="1">
                  <c:v>97.381051964551972</c:v>
                </c:pt>
                <c:pt idx="2">
                  <c:v>90.068747559045605</c:v>
                </c:pt>
                <c:pt idx="3">
                  <c:v>80.204872993250547</c:v>
                </c:pt>
                <c:pt idx="4">
                  <c:v>70.340998427455489</c:v>
                </c:pt>
                <c:pt idx="5">
                  <c:v>60.477123861660452</c:v>
                </c:pt>
                <c:pt idx="6">
                  <c:v>50.613249295865401</c:v>
                </c:pt>
                <c:pt idx="7">
                  <c:v>40.749374730070357</c:v>
                </c:pt>
                <c:pt idx="8">
                  <c:v>30.88550016427531</c:v>
                </c:pt>
                <c:pt idx="9">
                  <c:v>21.021625598480256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D4DA-45BF-B871-26BCF46892A3}"/>
            </c:ext>
          </c:extLst>
        </c:ser>
        <c:ser>
          <c:idx val="7"/>
          <c:order val="6"/>
          <c:tx>
            <c:strRef>
              <c:f>co2pfad_ets!$A$47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ot"/>
            </a:ln>
          </c:spPr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co2pfad_ets!$B$47:$K$47</c:f>
              <c:numCache>
                <c:formatCode>0.0</c:formatCode>
                <c:ptCount val="10"/>
                <c:pt idx="0" formatCode="General">
                  <c:v>99.999999999999986</c:v>
                </c:pt>
                <c:pt idx="1">
                  <c:v>89.243942903166996</c:v>
                </c:pt>
                <c:pt idx="2">
                  <c:v>83.566831076759669</c:v>
                </c:pt>
                <c:pt idx="3">
                  <c:v>74.259231969204578</c:v>
                </c:pt>
                <c:pt idx="4">
                  <c:v>64.957443719605507</c:v>
                </c:pt>
                <c:pt idx="5">
                  <c:v>55.664356082429265</c:v>
                </c:pt>
                <c:pt idx="6">
                  <c:v>46.38515566549632</c:v>
                </c:pt>
                <c:pt idx="7">
                  <c:v>37.130173825480874</c:v>
                </c:pt>
                <c:pt idx="8">
                  <c:v>27.923369227690102</c:v>
                </c:pt>
                <c:pt idx="9">
                  <c:v>18.835850618287036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D4DA-45BF-B871-26BCF4689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127328"/>
        <c:axId val="365127888"/>
      </c:lineChart>
      <c:catAx>
        <c:axId val="365127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5127888"/>
        <c:crosses val="autoZero"/>
        <c:auto val="1"/>
        <c:lblAlgn val="ctr"/>
        <c:lblOffset val="100"/>
        <c:noMultiLvlLbl val="0"/>
      </c:catAx>
      <c:valAx>
        <c:axId val="365127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5127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co2pfad_ets!$A$51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co2pfad_ets!$B$51:$K$51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0.95635447922924888</c:v>
                </c:pt>
                <c:pt idx="2">
                  <c:v>0.85973843512175008</c:v>
                </c:pt>
                <c:pt idx="3">
                  <c:v>0.76419617426581321</c:v>
                </c:pt>
                <c:pt idx="4">
                  <c:v>0.66865391340987657</c:v>
                </c:pt>
                <c:pt idx="5">
                  <c:v>0.57311165255393992</c:v>
                </c:pt>
                <c:pt idx="6">
                  <c:v>0.47756939169800317</c:v>
                </c:pt>
                <c:pt idx="7">
                  <c:v>0.38202713084206608</c:v>
                </c:pt>
                <c:pt idx="8">
                  <c:v>0.2864848699861291</c:v>
                </c:pt>
                <c:pt idx="9">
                  <c:v>0.1909426091301922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B97-4A52-8EB4-E8AE0CD589D2}"/>
            </c:ext>
          </c:extLst>
        </c:ser>
        <c:ser>
          <c:idx val="2"/>
          <c:order val="1"/>
          <c:tx>
            <c:strRef>
              <c:f>co2pfad_ets!$A$52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co2pfad_ets!$B$52:$K$52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0.93372896045778508</c:v>
                </c:pt>
                <c:pt idx="2">
                  <c:v>0.9444260747604325</c:v>
                </c:pt>
                <c:pt idx="3">
                  <c:v>0.83737000534594364</c:v>
                </c:pt>
                <c:pt idx="4">
                  <c:v>0.73031393593145466</c:v>
                </c:pt>
                <c:pt idx="5">
                  <c:v>0.62325786651696558</c:v>
                </c:pt>
                <c:pt idx="6">
                  <c:v>0.51620179710247682</c:v>
                </c:pt>
                <c:pt idx="7">
                  <c:v>0.40914572768798813</c:v>
                </c:pt>
                <c:pt idx="8">
                  <c:v>0.30208965827349943</c:v>
                </c:pt>
                <c:pt idx="9">
                  <c:v>0.19503358885901068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B97-4A52-8EB4-E8AE0CD589D2}"/>
            </c:ext>
          </c:extLst>
        </c:ser>
        <c:ser>
          <c:idx val="3"/>
          <c:order val="2"/>
          <c:tx>
            <c:strRef>
              <c:f>co2pfad_ets!$A$53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co2pfad_ets!$B$53:$K$53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0.77272393253344329</c:v>
                </c:pt>
                <c:pt idx="2">
                  <c:v>0.70618860273461692</c:v>
                </c:pt>
                <c:pt idx="3">
                  <c:v>0.63386068636469961</c:v>
                </c:pt>
                <c:pt idx="4">
                  <c:v>0.5615327699947823</c:v>
                </c:pt>
                <c:pt idx="5">
                  <c:v>0.48920485362486482</c:v>
                </c:pt>
                <c:pt idx="6">
                  <c:v>0.41687693725494751</c:v>
                </c:pt>
                <c:pt idx="7">
                  <c:v>0.34454902088503014</c:v>
                </c:pt>
                <c:pt idx="8">
                  <c:v>0.27222110451511272</c:v>
                </c:pt>
                <c:pt idx="9">
                  <c:v>0.19989318814519549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B97-4A52-8EB4-E8AE0CD589D2}"/>
            </c:ext>
          </c:extLst>
        </c:ser>
        <c:ser>
          <c:idx val="4"/>
          <c:order val="3"/>
          <c:tx>
            <c:strRef>
              <c:f>co2pfad_ets!$A$54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co2pfad_ets!$B$54:$K$54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0.87602791846624217</c:v>
                </c:pt>
                <c:pt idx="2">
                  <c:v>0.81315701640417903</c:v>
                </c:pt>
                <c:pt idx="3">
                  <c:v>0.71803301566682198</c:v>
                </c:pt>
                <c:pt idx="4">
                  <c:v>0.62290901492946504</c:v>
                </c:pt>
                <c:pt idx="5">
                  <c:v>0.52778501419210799</c:v>
                </c:pt>
                <c:pt idx="6">
                  <c:v>0.432661013454751</c:v>
                </c:pt>
                <c:pt idx="7">
                  <c:v>0.33753701271739411</c:v>
                </c:pt>
                <c:pt idx="8">
                  <c:v>0.24241301198003706</c:v>
                </c:pt>
                <c:pt idx="9">
                  <c:v>0.14728901124268012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B97-4A52-8EB4-E8AE0CD589D2}"/>
            </c:ext>
          </c:extLst>
        </c:ser>
        <c:ser>
          <c:idx val="5"/>
          <c:order val="4"/>
          <c:tx>
            <c:strRef>
              <c:f>co2pfad_ets!$A$55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co2pfad_ets!$B$55:$K$55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0.91263038525384976</c:v>
                </c:pt>
                <c:pt idx="2">
                  <c:v>0.77800051179512575</c:v>
                </c:pt>
                <c:pt idx="3">
                  <c:v>0.69647340333528152</c:v>
                </c:pt>
                <c:pt idx="4">
                  <c:v>0.61494629487543728</c:v>
                </c:pt>
                <c:pt idx="5">
                  <c:v>0.53341918641559305</c:v>
                </c:pt>
                <c:pt idx="6">
                  <c:v>0.45189207795574871</c:v>
                </c:pt>
                <c:pt idx="7">
                  <c:v>0.37036496949590453</c:v>
                </c:pt>
                <c:pt idx="8">
                  <c:v>0.28883786103606018</c:v>
                </c:pt>
                <c:pt idx="9">
                  <c:v>0.20731075257621603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BB97-4A52-8EB4-E8AE0CD589D2}"/>
            </c:ext>
          </c:extLst>
        </c:ser>
        <c:ser>
          <c:idx val="6"/>
          <c:order val="5"/>
          <c:tx>
            <c:strRef>
              <c:f>co2pfad_ets!$A$56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co2pfad_ets!$B$56:$K$56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0.97381051964551968</c:v>
                </c:pt>
                <c:pt idx="2">
                  <c:v>0.90068747559045603</c:v>
                </c:pt>
                <c:pt idx="3">
                  <c:v>0.80204872993250542</c:v>
                </c:pt>
                <c:pt idx="4">
                  <c:v>0.70340998427455492</c:v>
                </c:pt>
                <c:pt idx="5">
                  <c:v>0.60477123861660453</c:v>
                </c:pt>
                <c:pt idx="6">
                  <c:v>0.50613249295865403</c:v>
                </c:pt>
                <c:pt idx="7">
                  <c:v>0.40749374730070359</c:v>
                </c:pt>
                <c:pt idx="8">
                  <c:v>0.30885500164275309</c:v>
                </c:pt>
                <c:pt idx="9">
                  <c:v>0.21021625598480256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BB97-4A52-8EB4-E8AE0CD589D2}"/>
            </c:ext>
          </c:extLst>
        </c:ser>
        <c:ser>
          <c:idx val="7"/>
          <c:order val="6"/>
          <c:tx>
            <c:strRef>
              <c:f>co2pfad_ets!$A$57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ot"/>
            </a:ln>
          </c:spPr>
          <c:marker>
            <c:symbol val="none"/>
          </c:marker>
          <c:cat>
            <c:numRef>
              <c:f>co2pfad_ets!$B$11:$K$11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co2pfad_ets!$B$57:$K$57</c:f>
              <c:numCache>
                <c:formatCode>0.00</c:formatCode>
                <c:ptCount val="10"/>
                <c:pt idx="0" formatCode="General">
                  <c:v>0.99999999999999989</c:v>
                </c:pt>
                <c:pt idx="1">
                  <c:v>0.89243942903166995</c:v>
                </c:pt>
                <c:pt idx="2">
                  <c:v>0.83566831076759673</c:v>
                </c:pt>
                <c:pt idx="3">
                  <c:v>0.74259231969204575</c:v>
                </c:pt>
                <c:pt idx="4">
                  <c:v>0.64957443719605512</c:v>
                </c:pt>
                <c:pt idx="5">
                  <c:v>0.55664356082429267</c:v>
                </c:pt>
                <c:pt idx="6">
                  <c:v>0.46385155665496319</c:v>
                </c:pt>
                <c:pt idx="7">
                  <c:v>0.37130173825480872</c:v>
                </c:pt>
                <c:pt idx="8">
                  <c:v>0.27923369227690104</c:v>
                </c:pt>
                <c:pt idx="9">
                  <c:v>0.18835850618287037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BB97-4A52-8EB4-E8AE0CD58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134048"/>
        <c:axId val="365134608"/>
      </c:lineChart>
      <c:catAx>
        <c:axId val="365134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5134608"/>
        <c:crosses val="autoZero"/>
        <c:auto val="1"/>
        <c:lblAlgn val="ctr"/>
        <c:lblOffset val="100"/>
        <c:noMultiLvlLbl val="0"/>
      </c:catAx>
      <c:valAx>
        <c:axId val="365134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51340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co2pfad_ets!$A$32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co2pfad_ets!$B$32:$AU$32</c:f>
              <c:numCache>
                <c:formatCode>0.0</c:formatCode>
                <c:ptCount val="46"/>
                <c:pt idx="0">
                  <c:v>95.471304565095764</c:v>
                </c:pt>
                <c:pt idx="1">
                  <c:v>99.850434150896248</c:v>
                </c:pt>
                <c:pt idx="2" formatCode="0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87.954374129884414</c:v>
                </c:pt>
                <c:pt idx="7">
                  <c:v>86.596952554602041</c:v>
                </c:pt>
                <c:pt idx="8">
                  <c:v>89.795533946412476</c:v>
                </c:pt>
                <c:pt idx="9">
                  <c:v>87.884688729293742</c:v>
                </c:pt>
                <c:pt idx="10">
                  <c:v>85.973843512175009</c:v>
                </c:pt>
                <c:pt idx="11">
                  <c:v>84.062998295056275</c:v>
                </c:pt>
                <c:pt idx="12">
                  <c:v>82.152153077937555</c:v>
                </c:pt>
                <c:pt idx="13">
                  <c:v>80.241307860818807</c:v>
                </c:pt>
                <c:pt idx="14">
                  <c:v>78.330462643700073</c:v>
                </c:pt>
                <c:pt idx="15">
                  <c:v>76.419617426581326</c:v>
                </c:pt>
                <c:pt idx="16">
                  <c:v>74.508772209462592</c:v>
                </c:pt>
                <c:pt idx="17">
                  <c:v>72.597926992343858</c:v>
                </c:pt>
                <c:pt idx="18">
                  <c:v>70.687081775225124</c:v>
                </c:pt>
                <c:pt idx="19">
                  <c:v>68.77623655810639</c:v>
                </c:pt>
                <c:pt idx="20">
                  <c:v>66.865391340987657</c:v>
                </c:pt>
                <c:pt idx="21">
                  <c:v>64.954546123868923</c:v>
                </c:pt>
                <c:pt idx="22">
                  <c:v>63.043700906750189</c:v>
                </c:pt>
                <c:pt idx="23">
                  <c:v>61.132855689631462</c:v>
                </c:pt>
                <c:pt idx="24">
                  <c:v>59.222010472512721</c:v>
                </c:pt>
                <c:pt idx="25">
                  <c:v>57.311165255393995</c:v>
                </c:pt>
                <c:pt idx="26">
                  <c:v>55.400320038275261</c:v>
                </c:pt>
                <c:pt idx="27">
                  <c:v>53.489474821156527</c:v>
                </c:pt>
                <c:pt idx="28">
                  <c:v>51.578629604037793</c:v>
                </c:pt>
                <c:pt idx="29">
                  <c:v>49.667784386919045</c:v>
                </c:pt>
                <c:pt idx="30">
                  <c:v>47.756939169800319</c:v>
                </c:pt>
                <c:pt idx="31">
                  <c:v>45.846093952681578</c:v>
                </c:pt>
                <c:pt idx="32">
                  <c:v>43.935248735562823</c:v>
                </c:pt>
                <c:pt idx="33">
                  <c:v>42.024403518444089</c:v>
                </c:pt>
                <c:pt idx="34">
                  <c:v>40.113558301325348</c:v>
                </c:pt>
                <c:pt idx="35">
                  <c:v>38.202713084206607</c:v>
                </c:pt>
                <c:pt idx="36">
                  <c:v>36.291867867087866</c:v>
                </c:pt>
                <c:pt idx="37">
                  <c:v>34.381022649969125</c:v>
                </c:pt>
                <c:pt idx="38">
                  <c:v>32.470177432850392</c:v>
                </c:pt>
                <c:pt idx="39">
                  <c:v>30.559332215731651</c:v>
                </c:pt>
                <c:pt idx="40">
                  <c:v>28.64848699861291</c:v>
                </c:pt>
                <c:pt idx="41">
                  <c:v>26.737641781494169</c:v>
                </c:pt>
                <c:pt idx="42">
                  <c:v>24.826796564375432</c:v>
                </c:pt>
                <c:pt idx="43">
                  <c:v>22.915951347256698</c:v>
                </c:pt>
                <c:pt idx="44">
                  <c:v>21.005106130137953</c:v>
                </c:pt>
                <c:pt idx="45">
                  <c:v>19.09426091301922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460-4337-8EF8-81D0668104AD}"/>
            </c:ext>
          </c:extLst>
        </c:ser>
        <c:ser>
          <c:idx val="2"/>
          <c:order val="1"/>
          <c:tx>
            <c:strRef>
              <c:f>co2pfad_ets!$A$33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co2pfad_ets!$B$33:$AU$33</c:f>
              <c:numCache>
                <c:formatCode>0.0</c:formatCode>
                <c:ptCount val="46"/>
                <c:pt idx="0">
                  <c:v>97.516794429505623</c:v>
                </c:pt>
                <c:pt idx="1">
                  <c:v>98.13741286967749</c:v>
                </c:pt>
                <c:pt idx="2" formatCode="0">
                  <c:v>100</c:v>
                </c:pt>
                <c:pt idx="3">
                  <c:v>97.065597041683588</c:v>
                </c:pt>
                <c:pt idx="4">
                  <c:v>87.918686352253317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98.724850252622815</c:v>
                </c:pt>
                <c:pt idx="9">
                  <c:v>96.583728864333025</c:v>
                </c:pt>
                <c:pt idx="10">
                  <c:v>94.44260747604325</c:v>
                </c:pt>
                <c:pt idx="11">
                  <c:v>92.301486087753474</c:v>
                </c:pt>
                <c:pt idx="12">
                  <c:v>90.160364699463685</c:v>
                </c:pt>
                <c:pt idx="13">
                  <c:v>88.019243311173909</c:v>
                </c:pt>
                <c:pt idx="14">
                  <c:v>85.878121922884134</c:v>
                </c:pt>
                <c:pt idx="15">
                  <c:v>83.737000534594358</c:v>
                </c:pt>
                <c:pt idx="16">
                  <c:v>81.595879146304583</c:v>
                </c:pt>
                <c:pt idx="17">
                  <c:v>79.454757758014807</c:v>
                </c:pt>
                <c:pt idx="18">
                  <c:v>77.313636369725032</c:v>
                </c:pt>
                <c:pt idx="19">
                  <c:v>75.172514981435242</c:v>
                </c:pt>
                <c:pt idx="20">
                  <c:v>73.031393593145467</c:v>
                </c:pt>
                <c:pt idx="21">
                  <c:v>70.890272204855691</c:v>
                </c:pt>
                <c:pt idx="22">
                  <c:v>68.749150816565901</c:v>
                </c:pt>
                <c:pt idx="23">
                  <c:v>66.608029428276126</c:v>
                </c:pt>
                <c:pt idx="24">
                  <c:v>64.46690803998635</c:v>
                </c:pt>
                <c:pt idx="25">
                  <c:v>62.325786651696561</c:v>
                </c:pt>
                <c:pt idx="26">
                  <c:v>60.184665263406778</c:v>
                </c:pt>
                <c:pt idx="27">
                  <c:v>58.043543875116995</c:v>
                </c:pt>
                <c:pt idx="28">
                  <c:v>55.90242248682722</c:v>
                </c:pt>
                <c:pt idx="29">
                  <c:v>53.761301098537437</c:v>
                </c:pt>
                <c:pt idx="30">
                  <c:v>51.620179710247683</c:v>
                </c:pt>
                <c:pt idx="31">
                  <c:v>49.479058321957901</c:v>
                </c:pt>
                <c:pt idx="32">
                  <c:v>47.337936933668132</c:v>
                </c:pt>
                <c:pt idx="33">
                  <c:v>45.196815545378357</c:v>
                </c:pt>
                <c:pt idx="34">
                  <c:v>43.055694157088588</c:v>
                </c:pt>
                <c:pt idx="35">
                  <c:v>40.914572768798813</c:v>
                </c:pt>
                <c:pt idx="36">
                  <c:v>38.77345138050903</c:v>
                </c:pt>
                <c:pt idx="37">
                  <c:v>36.632329992219269</c:v>
                </c:pt>
                <c:pt idx="38">
                  <c:v>34.491208603929493</c:v>
                </c:pt>
                <c:pt idx="39">
                  <c:v>32.350087215639718</c:v>
                </c:pt>
                <c:pt idx="40">
                  <c:v>30.208965827349942</c:v>
                </c:pt>
                <c:pt idx="41">
                  <c:v>28.067844439060174</c:v>
                </c:pt>
                <c:pt idx="42">
                  <c:v>25.926723050770395</c:v>
                </c:pt>
                <c:pt idx="43">
                  <c:v>23.785601662480619</c:v>
                </c:pt>
                <c:pt idx="44">
                  <c:v>21.64448027419084</c:v>
                </c:pt>
                <c:pt idx="45">
                  <c:v>19.503358885901068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460-4337-8EF8-81D0668104AD}"/>
            </c:ext>
          </c:extLst>
        </c:ser>
        <c:ser>
          <c:idx val="3"/>
          <c:order val="2"/>
          <c:tx>
            <c:strRef>
              <c:f>co2pfad_ets!$A$34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co2pfad_ets!$B$34:$AU$34</c:f>
              <c:numCache>
                <c:formatCode>0.0</c:formatCode>
                <c:ptCount val="46"/>
                <c:pt idx="0">
                  <c:v>99.946594072598032</c:v>
                </c:pt>
                <c:pt idx="1">
                  <c:v>98.671232612944195</c:v>
                </c:pt>
                <c:pt idx="2" formatCode="0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78.937203877060824</c:v>
                </c:pt>
                <c:pt idx="7">
                  <c:v>77.891501835634827</c:v>
                </c:pt>
                <c:pt idx="8">
                  <c:v>73.511976928258377</c:v>
                </c:pt>
                <c:pt idx="9">
                  <c:v>72.065418600860042</c:v>
                </c:pt>
                <c:pt idx="10">
                  <c:v>70.618860273461692</c:v>
                </c:pt>
                <c:pt idx="11">
                  <c:v>69.172301946063342</c:v>
                </c:pt>
                <c:pt idx="12">
                  <c:v>67.725743618665007</c:v>
                </c:pt>
                <c:pt idx="13">
                  <c:v>66.279185291266657</c:v>
                </c:pt>
                <c:pt idx="14">
                  <c:v>64.832626963868307</c:v>
                </c:pt>
                <c:pt idx="15">
                  <c:v>63.386068636469957</c:v>
                </c:pt>
                <c:pt idx="16">
                  <c:v>61.939510309071608</c:v>
                </c:pt>
                <c:pt idx="17">
                  <c:v>60.492951981673258</c:v>
                </c:pt>
                <c:pt idx="18">
                  <c:v>59.046393654274922</c:v>
                </c:pt>
                <c:pt idx="19">
                  <c:v>57.599835326876573</c:v>
                </c:pt>
                <c:pt idx="20">
                  <c:v>56.15327699947823</c:v>
                </c:pt>
                <c:pt idx="21">
                  <c:v>54.706718672079866</c:v>
                </c:pt>
                <c:pt idx="22">
                  <c:v>53.260160344681516</c:v>
                </c:pt>
                <c:pt idx="23">
                  <c:v>51.813602017283181</c:v>
                </c:pt>
                <c:pt idx="24">
                  <c:v>50.367043689884824</c:v>
                </c:pt>
                <c:pt idx="25">
                  <c:v>48.920485362486481</c:v>
                </c:pt>
                <c:pt idx="26">
                  <c:v>47.473927035088138</c:v>
                </c:pt>
                <c:pt idx="27">
                  <c:v>46.027368707689789</c:v>
                </c:pt>
                <c:pt idx="28">
                  <c:v>44.580810380291439</c:v>
                </c:pt>
                <c:pt idx="29">
                  <c:v>43.134252052893096</c:v>
                </c:pt>
                <c:pt idx="30">
                  <c:v>41.687693725494753</c:v>
                </c:pt>
                <c:pt idx="31">
                  <c:v>40.241135398096404</c:v>
                </c:pt>
                <c:pt idx="32">
                  <c:v>38.794577070698054</c:v>
                </c:pt>
                <c:pt idx="33">
                  <c:v>37.348018743299704</c:v>
                </c:pt>
                <c:pt idx="34">
                  <c:v>35.901460415901354</c:v>
                </c:pt>
                <c:pt idx="35">
                  <c:v>34.454902088503012</c:v>
                </c:pt>
                <c:pt idx="36">
                  <c:v>33.008343761104662</c:v>
                </c:pt>
                <c:pt idx="37">
                  <c:v>31.561785433706319</c:v>
                </c:pt>
                <c:pt idx="38">
                  <c:v>30.11522710630797</c:v>
                </c:pt>
                <c:pt idx="39">
                  <c:v>28.668668778909623</c:v>
                </c:pt>
                <c:pt idx="40">
                  <c:v>27.222110451511274</c:v>
                </c:pt>
                <c:pt idx="41">
                  <c:v>25.77555212411292</c:v>
                </c:pt>
                <c:pt idx="42">
                  <c:v>24.328993796714578</c:v>
                </c:pt>
                <c:pt idx="43">
                  <c:v>22.882435469316238</c:v>
                </c:pt>
                <c:pt idx="44">
                  <c:v>21.435877141917896</c:v>
                </c:pt>
                <c:pt idx="45">
                  <c:v>19.98931881451955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460-4337-8EF8-81D0668104AD}"/>
            </c:ext>
          </c:extLst>
        </c:ser>
        <c:ser>
          <c:idx val="4"/>
          <c:order val="3"/>
          <c:tx>
            <c:strRef>
              <c:f>co2pfad_ets!$A$35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co2pfad_ets!$B$35:$AU$35</c:f>
              <c:numCache>
                <c:formatCode>0.0</c:formatCode>
                <c:ptCount val="46"/>
                <c:pt idx="0">
                  <c:v>73.644505621340059</c:v>
                </c:pt>
                <c:pt idx="1">
                  <c:v>75.312505998682312</c:v>
                </c:pt>
                <c:pt idx="2" formatCode="0">
                  <c:v>100</c:v>
                </c:pt>
                <c:pt idx="3">
                  <c:v>95.978854008934462</c:v>
                </c:pt>
                <c:pt idx="4">
                  <c:v>85.23412876720306</c:v>
                </c:pt>
                <c:pt idx="5">
                  <c:v>87.602791846624214</c:v>
                </c:pt>
                <c:pt idx="6">
                  <c:v>90.284548773740823</c:v>
                </c:pt>
                <c:pt idx="7">
                  <c:v>85.457944302577843</c:v>
                </c:pt>
                <c:pt idx="8">
                  <c:v>85.120661669912181</c:v>
                </c:pt>
                <c:pt idx="9">
                  <c:v>83.21818165516504</c:v>
                </c:pt>
                <c:pt idx="10">
                  <c:v>81.315701640417899</c:v>
                </c:pt>
                <c:pt idx="11">
                  <c:v>79.413221625670744</c:v>
                </c:pt>
                <c:pt idx="12">
                  <c:v>77.510741610923603</c:v>
                </c:pt>
                <c:pt idx="13">
                  <c:v>75.608261596176476</c:v>
                </c:pt>
                <c:pt idx="14">
                  <c:v>73.705781581429335</c:v>
                </c:pt>
                <c:pt idx="15">
                  <c:v>71.803301566682194</c:v>
                </c:pt>
                <c:pt idx="16">
                  <c:v>69.900821551935039</c:v>
                </c:pt>
                <c:pt idx="17">
                  <c:v>67.998341537187912</c:v>
                </c:pt>
                <c:pt idx="18">
                  <c:v>66.095861522440771</c:v>
                </c:pt>
                <c:pt idx="19">
                  <c:v>64.19338150769363</c:v>
                </c:pt>
                <c:pt idx="20">
                  <c:v>62.290901492946503</c:v>
                </c:pt>
                <c:pt idx="21">
                  <c:v>60.388421478199362</c:v>
                </c:pt>
                <c:pt idx="22">
                  <c:v>58.485941463452221</c:v>
                </c:pt>
                <c:pt idx="23">
                  <c:v>56.583461448705073</c:v>
                </c:pt>
                <c:pt idx="24">
                  <c:v>54.680981433957939</c:v>
                </c:pt>
                <c:pt idx="25">
                  <c:v>52.778501419210798</c:v>
                </c:pt>
                <c:pt idx="26">
                  <c:v>50.876021404463664</c:v>
                </c:pt>
                <c:pt idx="27">
                  <c:v>48.973541389716523</c:v>
                </c:pt>
                <c:pt idx="28">
                  <c:v>47.071061374969382</c:v>
                </c:pt>
                <c:pt idx="29">
                  <c:v>45.168581360222234</c:v>
                </c:pt>
                <c:pt idx="30">
                  <c:v>43.2661013454751</c:v>
                </c:pt>
                <c:pt idx="31">
                  <c:v>41.363621330727959</c:v>
                </c:pt>
                <c:pt idx="32">
                  <c:v>39.461141315980825</c:v>
                </c:pt>
                <c:pt idx="33">
                  <c:v>37.558661301233684</c:v>
                </c:pt>
                <c:pt idx="34">
                  <c:v>35.65618128648655</c:v>
                </c:pt>
                <c:pt idx="35">
                  <c:v>33.753701271739409</c:v>
                </c:pt>
                <c:pt idx="36">
                  <c:v>31.851221256992261</c:v>
                </c:pt>
                <c:pt idx="37">
                  <c:v>29.948741242245131</c:v>
                </c:pt>
                <c:pt idx="38">
                  <c:v>28.046261227497986</c:v>
                </c:pt>
                <c:pt idx="39">
                  <c:v>26.143781212750845</c:v>
                </c:pt>
                <c:pt idx="40">
                  <c:v>24.241301198003708</c:v>
                </c:pt>
                <c:pt idx="41">
                  <c:v>22.33882118325657</c:v>
                </c:pt>
                <c:pt idx="42">
                  <c:v>20.436341168509429</c:v>
                </c:pt>
                <c:pt idx="43">
                  <c:v>18.533861153762288</c:v>
                </c:pt>
                <c:pt idx="44">
                  <c:v>16.631381139015151</c:v>
                </c:pt>
                <c:pt idx="45">
                  <c:v>14.728901124268013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4460-4337-8EF8-81D0668104AD}"/>
            </c:ext>
          </c:extLst>
        </c:ser>
        <c:ser>
          <c:idx val="5"/>
          <c:order val="4"/>
          <c:tx>
            <c:strRef>
              <c:f>co2pfad_ets!$A$36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co2pfad_ets!$B$36:$AU$36</c:f>
              <c:numCache>
                <c:formatCode>0.0</c:formatCode>
                <c:ptCount val="46"/>
                <c:pt idx="0">
                  <c:v>103.65537628810844</c:v>
                </c:pt>
                <c:pt idx="1">
                  <c:v>100.27183835661624</c:v>
                </c:pt>
                <c:pt idx="2" formatCode="0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83.375783349942111</c:v>
                </c:pt>
                <c:pt idx="7">
                  <c:v>81.858089341386872</c:v>
                </c:pt>
                <c:pt idx="8">
                  <c:v>81.061135517906351</c:v>
                </c:pt>
                <c:pt idx="9">
                  <c:v>79.430593348709465</c:v>
                </c:pt>
                <c:pt idx="10">
                  <c:v>77.800051179512579</c:v>
                </c:pt>
                <c:pt idx="11">
                  <c:v>76.169509010315693</c:v>
                </c:pt>
                <c:pt idx="12">
                  <c:v>74.538966841118807</c:v>
                </c:pt>
                <c:pt idx="13">
                  <c:v>72.908424671921921</c:v>
                </c:pt>
                <c:pt idx="14">
                  <c:v>71.277882502725049</c:v>
                </c:pt>
                <c:pt idx="15">
                  <c:v>69.647340333528149</c:v>
                </c:pt>
                <c:pt idx="16">
                  <c:v>68.016798164331277</c:v>
                </c:pt>
                <c:pt idx="17">
                  <c:v>66.386255995134363</c:v>
                </c:pt>
                <c:pt idx="18">
                  <c:v>64.755713825937505</c:v>
                </c:pt>
                <c:pt idx="19">
                  <c:v>63.125171656740605</c:v>
                </c:pt>
                <c:pt idx="20">
                  <c:v>61.494629487543726</c:v>
                </c:pt>
                <c:pt idx="21">
                  <c:v>59.864087318346847</c:v>
                </c:pt>
                <c:pt idx="22">
                  <c:v>58.233545149149954</c:v>
                </c:pt>
                <c:pt idx="23">
                  <c:v>56.603002979953075</c:v>
                </c:pt>
                <c:pt idx="24">
                  <c:v>54.972460810756182</c:v>
                </c:pt>
                <c:pt idx="25">
                  <c:v>53.341918641559303</c:v>
                </c:pt>
                <c:pt idx="26">
                  <c:v>51.711376472362417</c:v>
                </c:pt>
                <c:pt idx="27">
                  <c:v>50.080834303165531</c:v>
                </c:pt>
                <c:pt idx="28">
                  <c:v>48.450292133968645</c:v>
                </c:pt>
                <c:pt idx="29">
                  <c:v>46.819749964771759</c:v>
                </c:pt>
                <c:pt idx="30">
                  <c:v>45.189207795574873</c:v>
                </c:pt>
                <c:pt idx="31">
                  <c:v>43.558665626377994</c:v>
                </c:pt>
                <c:pt idx="32">
                  <c:v>41.928123457181108</c:v>
                </c:pt>
                <c:pt idx="33">
                  <c:v>40.297581287984215</c:v>
                </c:pt>
                <c:pt idx="34">
                  <c:v>38.667039118787336</c:v>
                </c:pt>
                <c:pt idx="35">
                  <c:v>37.03649694959045</c:v>
                </c:pt>
                <c:pt idx="36">
                  <c:v>35.405954780393564</c:v>
                </c:pt>
                <c:pt idx="37">
                  <c:v>33.775412611196678</c:v>
                </c:pt>
                <c:pt idx="38">
                  <c:v>32.144870441999792</c:v>
                </c:pt>
                <c:pt idx="39">
                  <c:v>30.514328272802903</c:v>
                </c:pt>
                <c:pt idx="40">
                  <c:v>28.883786103606017</c:v>
                </c:pt>
                <c:pt idx="41">
                  <c:v>27.253243934409138</c:v>
                </c:pt>
                <c:pt idx="42">
                  <c:v>25.622701765212252</c:v>
                </c:pt>
                <c:pt idx="43">
                  <c:v>23.99215959601537</c:v>
                </c:pt>
                <c:pt idx="44">
                  <c:v>22.361617426818491</c:v>
                </c:pt>
                <c:pt idx="45">
                  <c:v>20.731075257621605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4460-4337-8EF8-81D0668104AD}"/>
            </c:ext>
          </c:extLst>
        </c:ser>
        <c:ser>
          <c:idx val="6"/>
          <c:order val="5"/>
          <c:tx>
            <c:strRef>
              <c:f>co2pfad_ets!$A$37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co2pfad_ets!$B$31:$AU$31</c:f>
              <c:numCache>
                <c:formatCode>General</c:formatCode>
                <c:ptCount val="4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  <c:pt idx="26">
                  <c:v>2031</c:v>
                </c:pt>
                <c:pt idx="27">
                  <c:v>2032</c:v>
                </c:pt>
                <c:pt idx="28">
                  <c:v>2033</c:v>
                </c:pt>
                <c:pt idx="29">
                  <c:v>2034</c:v>
                </c:pt>
                <c:pt idx="30">
                  <c:v>2035</c:v>
                </c:pt>
                <c:pt idx="31">
                  <c:v>2036</c:v>
                </c:pt>
                <c:pt idx="32">
                  <c:v>2037</c:v>
                </c:pt>
                <c:pt idx="33">
                  <c:v>2038</c:v>
                </c:pt>
                <c:pt idx="34">
                  <c:v>2039</c:v>
                </c:pt>
                <c:pt idx="35">
                  <c:v>2040</c:v>
                </c:pt>
                <c:pt idx="36">
                  <c:v>2041</c:v>
                </c:pt>
                <c:pt idx="37">
                  <c:v>2042</c:v>
                </c:pt>
                <c:pt idx="38">
                  <c:v>2043</c:v>
                </c:pt>
                <c:pt idx="39">
                  <c:v>2044</c:v>
                </c:pt>
                <c:pt idx="40">
                  <c:v>2045</c:v>
                </c:pt>
                <c:pt idx="41">
                  <c:v>2046</c:v>
                </c:pt>
                <c:pt idx="42">
                  <c:v>2047</c:v>
                </c:pt>
                <c:pt idx="43">
                  <c:v>2048</c:v>
                </c:pt>
                <c:pt idx="44">
                  <c:v>2049</c:v>
                </c:pt>
                <c:pt idx="45">
                  <c:v>2050</c:v>
                </c:pt>
              </c:numCache>
            </c:numRef>
          </c:cat>
          <c:val>
            <c:numRef>
              <c:f>co2pfad_ets!$B$37:$AU$37</c:f>
              <c:numCache>
                <c:formatCode>0.0</c:formatCode>
                <c:ptCount val="46"/>
                <c:pt idx="0">
                  <c:v>105.10812799240095</c:v>
                </c:pt>
                <c:pt idx="1">
                  <c:v>101.99397441235405</c:v>
                </c:pt>
                <c:pt idx="2" formatCode="0">
                  <c:v>100</c:v>
                </c:pt>
                <c:pt idx="3">
                  <c:v>101.03212911865546</c:v>
                </c:pt>
                <c:pt idx="4">
                  <c:v>86.169282730827064</c:v>
                </c:pt>
                <c:pt idx="5">
                  <c:v>97.381051964551972</c:v>
                </c:pt>
                <c:pt idx="6">
                  <c:v>96.372295146712318</c:v>
                </c:pt>
                <c:pt idx="7">
                  <c:v>89.404514970429545</c:v>
                </c:pt>
                <c:pt idx="8">
                  <c:v>94.014297385363605</c:v>
                </c:pt>
                <c:pt idx="9">
                  <c:v>92.041522472204605</c:v>
                </c:pt>
                <c:pt idx="10">
                  <c:v>90.068747559045605</c:v>
                </c:pt>
                <c:pt idx="11">
                  <c:v>88.09597264588659</c:v>
                </c:pt>
                <c:pt idx="12">
                  <c:v>86.123197732727576</c:v>
                </c:pt>
                <c:pt idx="13">
                  <c:v>84.150422819568576</c:v>
                </c:pt>
                <c:pt idx="14">
                  <c:v>82.177647906409561</c:v>
                </c:pt>
                <c:pt idx="15">
                  <c:v>80.204872993250547</c:v>
                </c:pt>
                <c:pt idx="16">
                  <c:v>78.232098080091532</c:v>
                </c:pt>
                <c:pt idx="17">
                  <c:v>76.259323166932532</c:v>
                </c:pt>
                <c:pt idx="18">
                  <c:v>74.286548253773518</c:v>
                </c:pt>
                <c:pt idx="19">
                  <c:v>72.313773340614503</c:v>
                </c:pt>
                <c:pt idx="20">
                  <c:v>70.340998427455489</c:v>
                </c:pt>
                <c:pt idx="21">
                  <c:v>68.368223514296474</c:v>
                </c:pt>
                <c:pt idx="22">
                  <c:v>66.395448601137488</c:v>
                </c:pt>
                <c:pt idx="23">
                  <c:v>64.422673687978474</c:v>
                </c:pt>
                <c:pt idx="24">
                  <c:v>62.449898774819466</c:v>
                </c:pt>
                <c:pt idx="25">
                  <c:v>60.477123861660452</c:v>
                </c:pt>
                <c:pt idx="26">
                  <c:v>58.504348948501438</c:v>
                </c:pt>
                <c:pt idx="27">
                  <c:v>56.531574035342437</c:v>
                </c:pt>
                <c:pt idx="28">
                  <c:v>54.558799122183423</c:v>
                </c:pt>
                <c:pt idx="29">
                  <c:v>52.586024209024409</c:v>
                </c:pt>
                <c:pt idx="30">
                  <c:v>50.613249295865401</c:v>
                </c:pt>
                <c:pt idx="31">
                  <c:v>48.640474382706387</c:v>
                </c:pt>
                <c:pt idx="32">
                  <c:v>46.667699469547387</c:v>
                </c:pt>
                <c:pt idx="33">
                  <c:v>44.694924556388372</c:v>
                </c:pt>
                <c:pt idx="34">
                  <c:v>42.722149643229365</c:v>
                </c:pt>
                <c:pt idx="35">
                  <c:v>40.749374730070357</c:v>
                </c:pt>
                <c:pt idx="36">
                  <c:v>38.776599816911343</c:v>
                </c:pt>
                <c:pt idx="37">
                  <c:v>36.803824903752343</c:v>
                </c:pt>
                <c:pt idx="38">
                  <c:v>34.831049990593328</c:v>
                </c:pt>
                <c:pt idx="39">
                  <c:v>32.858275077434321</c:v>
                </c:pt>
                <c:pt idx="40">
                  <c:v>30.88550016427531</c:v>
                </c:pt>
                <c:pt idx="41">
                  <c:v>28.912725251116299</c:v>
                </c:pt>
                <c:pt idx="42">
                  <c:v>26.939950337957285</c:v>
                </c:pt>
                <c:pt idx="43">
                  <c:v>24.967175424798281</c:v>
                </c:pt>
                <c:pt idx="44">
                  <c:v>22.994400511639267</c:v>
                </c:pt>
                <c:pt idx="45">
                  <c:v>21.021625598480256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4460-4337-8EF8-81D066810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140768"/>
        <c:axId val="365141328"/>
      </c:lineChart>
      <c:scatterChart>
        <c:scatterStyle val="lineMarker"/>
        <c:varyColors val="0"/>
        <c:ser>
          <c:idx val="0"/>
          <c:order val="6"/>
          <c:tx>
            <c:strRef>
              <c:f>co2pfad_ets!$Z$40</c:f>
              <c:strCache>
                <c:ptCount val="1"/>
                <c:pt idx="0">
                  <c:v>2013</c:v>
                </c:pt>
              </c:strCache>
            </c:strRef>
          </c:tx>
          <c:spPr>
            <a:ln w="9525"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xVal>
            <c:numRef>
              <c:f>co2pfad_ets!$AA$39:$AB$39</c:f>
              <c:numCache>
                <c:formatCode>General</c:formatCode>
                <c:ptCount val="2"/>
                <c:pt idx="0">
                  <c:v>9</c:v>
                </c:pt>
                <c:pt idx="1">
                  <c:v>9</c:v>
                </c:pt>
              </c:numCache>
            </c:numRef>
          </c:xVal>
          <c:yVal>
            <c:numRef>
              <c:f>co2pfad_ets!$AA$40:$AB$40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4460-4337-8EF8-81D066810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142448"/>
        <c:axId val="365141888"/>
      </c:scatterChart>
      <c:catAx>
        <c:axId val="365140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365141328"/>
        <c:crosses val="autoZero"/>
        <c:auto val="1"/>
        <c:lblAlgn val="ctr"/>
        <c:lblOffset val="100"/>
        <c:noMultiLvlLbl val="0"/>
      </c:catAx>
      <c:valAx>
        <c:axId val="365141328"/>
        <c:scaling>
          <c:orientation val="minMax"/>
          <c:max val="12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365140768"/>
        <c:crosses val="autoZero"/>
        <c:crossBetween val="between"/>
      </c:valAx>
      <c:valAx>
        <c:axId val="36514188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365142448"/>
        <c:crosses val="max"/>
        <c:crossBetween val="midCat"/>
      </c:valAx>
      <c:valAx>
        <c:axId val="36514244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365141888"/>
        <c:crosses val="max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co2pfad_nonets!$B$3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co2pfad_nonets!$C$3:$L$3</c:f>
              <c:numCache>
                <c:formatCode>0.00</c:formatCode>
                <c:ptCount val="10"/>
                <c:pt idx="0">
                  <c:v>1</c:v>
                </c:pt>
                <c:pt idx="1">
                  <c:v>0.95755681848889374</c:v>
                </c:pt>
                <c:pt idx="2">
                  <c:v>0.95626490988398227</c:v>
                </c:pt>
                <c:pt idx="3">
                  <c:v>0.9181406778760548</c:v>
                </c:pt>
                <c:pt idx="4">
                  <c:v>0.88794280509723889</c:v>
                </c:pt>
                <c:pt idx="5">
                  <c:v>0.8762424039651221</c:v>
                </c:pt>
                <c:pt idx="6">
                  <c:v>0.85398160883121255</c:v>
                </c:pt>
                <c:pt idx="7">
                  <c:v>0.831720813697303</c:v>
                </c:pt>
                <c:pt idx="8">
                  <c:v>0.80514921837104736</c:v>
                </c:pt>
                <c:pt idx="9">
                  <c:v>0.77857762304479194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F52-4357-BB3C-A29398AD266A}"/>
            </c:ext>
          </c:extLst>
        </c:ser>
        <c:ser>
          <c:idx val="2"/>
          <c:order val="1"/>
          <c:tx>
            <c:strRef>
              <c:f>co2pfad_nonets!$B$4</c:f>
              <c:strCache>
                <c:ptCount val="1"/>
                <c:pt idx="0">
                  <c:v>FRA 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co2pfad_nonets!$C$4:$L$4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F52-4357-BB3C-A29398AD266A}"/>
            </c:ext>
          </c:extLst>
        </c:ser>
        <c:ser>
          <c:idx val="3"/>
          <c:order val="2"/>
          <c:tx>
            <c:strRef>
              <c:f>co2pfad_nonets!$B$5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co2pfad_nonets!$C$5:$L$5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F52-4357-BB3C-A29398AD266A}"/>
            </c:ext>
          </c:extLst>
        </c:ser>
        <c:ser>
          <c:idx val="4"/>
          <c:order val="3"/>
          <c:tx>
            <c:strRef>
              <c:f>co2pfad_nonets!$B$6</c:f>
              <c:strCache>
                <c:ptCount val="1"/>
                <c:pt idx="0">
                  <c:v>SWZ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co2pfad_nonets!$C$6:$L$6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F52-4357-BB3C-A29398AD266A}"/>
            </c:ext>
          </c:extLst>
        </c:ser>
        <c:ser>
          <c:idx val="5"/>
          <c:order val="4"/>
          <c:tx>
            <c:strRef>
              <c:f>co2pfad_nonets!$B$7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co2pfad_nonets!$C$7:$L$7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AF52-4357-BB3C-A29398AD266A}"/>
            </c:ext>
          </c:extLst>
        </c:ser>
        <c:ser>
          <c:idx val="6"/>
          <c:order val="5"/>
          <c:tx>
            <c:strRef>
              <c:f>co2pfad_nonets!$B$8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co2pfad_nonets!$C$8:$L$8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AF52-4357-BB3C-A29398AD266A}"/>
            </c:ext>
          </c:extLst>
        </c:ser>
        <c:ser>
          <c:idx val="7"/>
          <c:order val="6"/>
          <c:tx>
            <c:strRef>
              <c:f>co2pfad_nonets!$B$9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co2pfad_nonets!$C$9:$L$9</c:f>
              <c:numCache>
                <c:formatCode>0.00</c:formatCode>
                <c:ptCount val="10"/>
                <c:pt idx="0">
                  <c:v>1</c:v>
                </c:pt>
                <c:pt idx="1">
                  <c:v>1.0675767845615654</c:v>
                </c:pt>
                <c:pt idx="2">
                  <c:v>1.1454651384122507</c:v>
                </c:pt>
                <c:pt idx="3">
                  <c:v>1.1560836898852946</c:v>
                </c:pt>
                <c:pt idx="4">
                  <c:v>1.201573422521941</c:v>
                </c:pt>
                <c:pt idx="5">
                  <c:v>1.2733463109486085</c:v>
                </c:pt>
                <c:pt idx="6">
                  <c:v>1.3120788719161181</c:v>
                </c:pt>
                <c:pt idx="7">
                  <c:v>1.3508114328836272</c:v>
                </c:pt>
                <c:pt idx="8">
                  <c:v>1.363038899460782</c:v>
                </c:pt>
                <c:pt idx="9">
                  <c:v>1.3752663660379372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AF52-4357-BB3C-A29398AD266A}"/>
            </c:ext>
          </c:extLst>
        </c:ser>
        <c:ser>
          <c:idx val="8"/>
          <c:order val="7"/>
          <c:tx>
            <c:strRef>
              <c:f>co2pfad_nonets!$B$10</c:f>
              <c:strCache>
                <c:ptCount val="1"/>
                <c:pt idx="0">
                  <c:v>USA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co2pfad_nonets!$C$10:$L$10</c:f>
              <c:numCache>
                <c:formatCode>0.00</c:formatCode>
                <c:ptCount val="10"/>
                <c:pt idx="0">
                  <c:v>1</c:v>
                </c:pt>
                <c:pt idx="1">
                  <c:v>0.96437060742893743</c:v>
                </c:pt>
                <c:pt idx="2">
                  <c:v>0.92280551020053803</c:v>
                </c:pt>
                <c:pt idx="3">
                  <c:v>0.8812404129721384</c:v>
                </c:pt>
                <c:pt idx="4">
                  <c:v>0.84154749497165737</c:v>
                </c:pt>
                <c:pt idx="5">
                  <c:v>0.80364242931680252</c:v>
                </c:pt>
                <c:pt idx="6">
                  <c:v>0.76744468738506955</c:v>
                </c:pt>
                <c:pt idx="7">
                  <c:v>0.73287736773214818</c:v>
                </c:pt>
                <c:pt idx="8">
                  <c:v>0.69986703271620243</c:v>
                </c:pt>
                <c:pt idx="9">
                  <c:v>0.66834355248093713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AF52-4357-BB3C-A29398AD266A}"/>
            </c:ext>
          </c:extLst>
        </c:ser>
        <c:ser>
          <c:idx val="9"/>
          <c:order val="8"/>
          <c:tx>
            <c:strRef>
              <c:f>co2pfad_nonets!$B$11</c:f>
              <c:strCache>
                <c:ptCount val="1"/>
                <c:pt idx="0">
                  <c:v>BRZ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co2pfad_nonets!$C$11:$L$11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AF52-4357-BB3C-A29398AD266A}"/>
            </c:ext>
          </c:extLst>
        </c:ser>
        <c:ser>
          <c:idx val="10"/>
          <c:order val="9"/>
          <c:tx>
            <c:strRef>
              <c:f>co2pfad_nonets!$B$12</c:f>
              <c:strCache>
                <c:ptCount val="1"/>
                <c:pt idx="0">
                  <c:v>RUS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co2pfad_nonets!$C$12:$L$12</c:f>
              <c:numCache>
                <c:formatCode>0.00</c:formatCode>
                <c:ptCount val="10"/>
                <c:pt idx="0">
                  <c:v>1</c:v>
                </c:pt>
                <c:pt idx="1">
                  <c:v>1.3</c:v>
                </c:pt>
                <c:pt idx="2">
                  <c:v>1.6419710205058919</c:v>
                </c:pt>
                <c:pt idx="3">
                  <c:v>1.6419710205058919</c:v>
                </c:pt>
                <c:pt idx="4">
                  <c:v>1.6419710205058919</c:v>
                </c:pt>
                <c:pt idx="5">
                  <c:v>1.6419710205058919</c:v>
                </c:pt>
                <c:pt idx="6">
                  <c:v>1.6419710205058919</c:v>
                </c:pt>
                <c:pt idx="7">
                  <c:v>1.6419710205058919</c:v>
                </c:pt>
                <c:pt idx="8">
                  <c:v>1.6419710205058919</c:v>
                </c:pt>
                <c:pt idx="9">
                  <c:v>1.6419710205058919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AF52-4357-BB3C-A29398AD266A}"/>
            </c:ext>
          </c:extLst>
        </c:ser>
        <c:ser>
          <c:idx val="11"/>
          <c:order val="10"/>
          <c:tx>
            <c:strRef>
              <c:f>co2pfad_nonets!$B$13</c:f>
              <c:strCache>
                <c:ptCount val="1"/>
                <c:pt idx="0">
                  <c:v>IND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co2pfad_nonets!$C$13:$L$13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AF52-4357-BB3C-A29398AD266A}"/>
            </c:ext>
          </c:extLst>
        </c:ser>
        <c:ser>
          <c:idx val="12"/>
          <c:order val="11"/>
          <c:tx>
            <c:strRef>
              <c:f>co2pfad_nonets!$B$14</c:f>
              <c:strCache>
                <c:ptCount val="1"/>
                <c:pt idx="0">
                  <c:v>CHI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co2pfad_nonets!$C$14:$L$14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AF52-4357-BB3C-A29398AD266A}"/>
            </c:ext>
          </c:extLst>
        </c:ser>
        <c:ser>
          <c:idx val="13"/>
          <c:order val="12"/>
          <c:tx>
            <c:strRef>
              <c:f>co2pfad_nonets!$B$15</c:f>
              <c:strCache>
                <c:ptCount val="1"/>
                <c:pt idx="0">
                  <c:v>RSA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co2pfad_nonets!$C$15:$L$15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AF52-4357-BB3C-A29398AD266A}"/>
            </c:ext>
          </c:extLst>
        </c:ser>
        <c:ser>
          <c:idx val="14"/>
          <c:order val="13"/>
          <c:tx>
            <c:strRef>
              <c:f>co2pfad_nonets!$B$16</c:f>
              <c:strCache>
                <c:ptCount val="1"/>
                <c:pt idx="0">
                  <c:v>OEC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co2pfad_nonets!$C$16:$L$16</c:f>
              <c:numCache>
                <c:formatCode>0.00</c:formatCode>
                <c:ptCount val="10"/>
                <c:pt idx="0">
                  <c:v>1</c:v>
                </c:pt>
                <c:pt idx="1">
                  <c:v>0.95447601552200689</c:v>
                </c:pt>
                <c:pt idx="2">
                  <c:v>0.9059220070695071</c:v>
                </c:pt>
                <c:pt idx="3">
                  <c:v>0.85736799861700763</c:v>
                </c:pt>
                <c:pt idx="4">
                  <c:v>0.81449959868615729</c:v>
                </c:pt>
                <c:pt idx="5">
                  <c:v>0.77163119875530672</c:v>
                </c:pt>
                <c:pt idx="6">
                  <c:v>0.73101903039976435</c:v>
                </c:pt>
                <c:pt idx="7">
                  <c:v>0.69254434458925029</c:v>
                </c:pt>
                <c:pt idx="8">
                  <c:v>0.65609464224244751</c:v>
                </c:pt>
                <c:pt idx="9">
                  <c:v>0.6215633452823186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AF52-4357-BB3C-A29398AD266A}"/>
            </c:ext>
          </c:extLst>
        </c:ser>
        <c:ser>
          <c:idx val="15"/>
          <c:order val="14"/>
          <c:tx>
            <c:strRef>
              <c:f>co2pfad_nonets!$B$17</c:f>
              <c:strCache>
                <c:ptCount val="1"/>
                <c:pt idx="0">
                  <c:v>ARB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co2pfad_nonets!$C$17:$L$17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AF52-4357-BB3C-A29398AD266A}"/>
            </c:ext>
          </c:extLst>
        </c:ser>
        <c:ser>
          <c:idx val="16"/>
          <c:order val="15"/>
          <c:tx>
            <c:strRef>
              <c:f>co2pfad_nonets!$B$18</c:f>
              <c:strCache>
                <c:ptCount val="1"/>
                <c:pt idx="0">
                  <c:v>OPE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co2pfad_nonets!$C$18:$L$18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F-AF52-4357-BB3C-A29398AD266A}"/>
            </c:ext>
          </c:extLst>
        </c:ser>
        <c:ser>
          <c:idx val="17"/>
          <c:order val="16"/>
          <c:tx>
            <c:strRef>
              <c:f>co2pfad_nonets!$B$19</c:f>
              <c:strCache>
                <c:ptCount val="1"/>
                <c:pt idx="0">
                  <c:v>ROW</c:v>
                </c:pt>
              </c:strCache>
            </c:strRef>
          </c:tx>
          <c:marker>
            <c:symbol val="none"/>
          </c:marker>
          <c:cat>
            <c:numRef>
              <c:f>co2pfad_nonets!$C$2:$L$2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co2pfad_nonets!$C$19:$L$19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0-AF52-4357-BB3C-A29398AD2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854944"/>
        <c:axId val="365855504"/>
      </c:lineChart>
      <c:catAx>
        <c:axId val="365854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5855504"/>
        <c:crosses val="autoZero"/>
        <c:auto val="1"/>
        <c:lblAlgn val="ctr"/>
        <c:lblOffset val="100"/>
        <c:noMultiLvlLbl val="0"/>
      </c:catAx>
      <c:valAx>
        <c:axId val="36585550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658549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411089238845149"/>
          <c:y val="2.7103382910469535E-3"/>
          <c:w val="0.1392224409448819"/>
          <c:h val="0.99728966170895306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co2pfad_nonets_vorher!$B$3</c:f>
              <c:strCache>
                <c:ptCount val="1"/>
                <c:pt idx="0">
                  <c:v>BAW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co2pfad_nonets_vorher!$C$3:$L$3</c:f>
              <c:numCache>
                <c:formatCode>0.00</c:formatCode>
                <c:ptCount val="10"/>
                <c:pt idx="0">
                  <c:v>1</c:v>
                </c:pt>
                <c:pt idx="1">
                  <c:v>0.95755681848889374</c:v>
                </c:pt>
                <c:pt idx="2">
                  <c:v>0.95626490988398227</c:v>
                </c:pt>
                <c:pt idx="3">
                  <c:v>0.9181406778760548</c:v>
                </c:pt>
                <c:pt idx="4">
                  <c:v>0.88794280509723889</c:v>
                </c:pt>
                <c:pt idx="5">
                  <c:v>0.8762424039651221</c:v>
                </c:pt>
                <c:pt idx="6">
                  <c:v>0.85398160883121255</c:v>
                </c:pt>
                <c:pt idx="7">
                  <c:v>0.831720813697303</c:v>
                </c:pt>
                <c:pt idx="8">
                  <c:v>0.80514921837104736</c:v>
                </c:pt>
                <c:pt idx="9">
                  <c:v>0.77857762304479194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0AB-4532-B5E9-AA2BBBDEC624}"/>
            </c:ext>
          </c:extLst>
        </c:ser>
        <c:ser>
          <c:idx val="1"/>
          <c:order val="1"/>
          <c:tx>
            <c:strRef>
              <c:f>co2pfad_nonets_vorher!$B$4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co2pfad_nonets_vorher!$C$4:$L$4</c:f>
              <c:numCache>
                <c:formatCode>0.00</c:formatCode>
                <c:ptCount val="10"/>
                <c:pt idx="0">
                  <c:v>1</c:v>
                </c:pt>
                <c:pt idx="1">
                  <c:v>0.95755681848889374</c:v>
                </c:pt>
                <c:pt idx="2">
                  <c:v>0.95626490988398227</c:v>
                </c:pt>
                <c:pt idx="3">
                  <c:v>0.9181406778760548</c:v>
                </c:pt>
                <c:pt idx="4">
                  <c:v>0.88794280509723889</c:v>
                </c:pt>
                <c:pt idx="5">
                  <c:v>0.8762424039651221</c:v>
                </c:pt>
                <c:pt idx="6">
                  <c:v>0.85398160883121255</c:v>
                </c:pt>
                <c:pt idx="7">
                  <c:v>0.831720813697303</c:v>
                </c:pt>
                <c:pt idx="8">
                  <c:v>0.80514921837104736</c:v>
                </c:pt>
                <c:pt idx="9">
                  <c:v>0.77857762304479194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0AB-4532-B5E9-AA2BBBDEC624}"/>
            </c:ext>
          </c:extLst>
        </c:ser>
        <c:ser>
          <c:idx val="2"/>
          <c:order val="2"/>
          <c:tx>
            <c:strRef>
              <c:f>co2pfad_nonets_vorher!$B$5</c:f>
              <c:strCache>
                <c:ptCount val="1"/>
                <c:pt idx="0">
                  <c:v>FRA 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co2pfad_nonets_vorher!$C$5:$L$5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0AB-4532-B5E9-AA2BBBDEC624}"/>
            </c:ext>
          </c:extLst>
        </c:ser>
        <c:ser>
          <c:idx val="3"/>
          <c:order val="3"/>
          <c:tx>
            <c:strRef>
              <c:f>co2pfad_nonets_vorher!$B$6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co2pfad_nonets_vorher!$C$6:$L$6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0AB-4532-B5E9-AA2BBBDEC624}"/>
            </c:ext>
          </c:extLst>
        </c:ser>
        <c:ser>
          <c:idx val="4"/>
          <c:order val="4"/>
          <c:tx>
            <c:strRef>
              <c:f>co2pfad_nonets_vorher!$B$7</c:f>
              <c:strCache>
                <c:ptCount val="1"/>
                <c:pt idx="0">
                  <c:v>SWZ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co2pfad_nonets_vorher!$C$7:$L$7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B0AB-4532-B5E9-AA2BBBDEC624}"/>
            </c:ext>
          </c:extLst>
        </c:ser>
        <c:ser>
          <c:idx val="5"/>
          <c:order val="5"/>
          <c:tx>
            <c:strRef>
              <c:f>co2pfad_nonets_vorher!$B$8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co2pfad_nonets_vorher!$C$8:$L$8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B0AB-4532-B5E9-AA2BBBDEC624}"/>
            </c:ext>
          </c:extLst>
        </c:ser>
        <c:ser>
          <c:idx val="6"/>
          <c:order val="6"/>
          <c:tx>
            <c:strRef>
              <c:f>co2pfad_nonets_vorher!$B$9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co2pfad_nonets_vorher!$C$9:$L$9</c:f>
              <c:numCache>
                <c:formatCode>0.00</c:formatCode>
                <c:ptCount val="10"/>
                <c:pt idx="0">
                  <c:v>1</c:v>
                </c:pt>
                <c:pt idx="1">
                  <c:v>0.99509108110636313</c:v>
                </c:pt>
                <c:pt idx="2">
                  <c:v>1.0255697620662914</c:v>
                </c:pt>
                <c:pt idx="3">
                  <c:v>1.0046243440100648</c:v>
                </c:pt>
                <c:pt idx="4">
                  <c:v>0.99677305995293408</c:v>
                </c:pt>
                <c:pt idx="5">
                  <c:v>1.0029458937396274</c:v>
                </c:pt>
                <c:pt idx="6">
                  <c:v>1.0080646877812618</c:v>
                </c:pt>
                <c:pt idx="7">
                  <c:v>1.0131834818228966</c:v>
                </c:pt>
                <c:pt idx="8">
                  <c:v>1.0032905689966833</c:v>
                </c:pt>
                <c:pt idx="9">
                  <c:v>0.99339765617046993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B0AB-4532-B5E9-AA2BBBDEC624}"/>
            </c:ext>
          </c:extLst>
        </c:ser>
        <c:ser>
          <c:idx val="7"/>
          <c:order val="7"/>
          <c:tx>
            <c:strRef>
              <c:f>co2pfad_nonets_vorher!$B$10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co2pfad_nonets_vorher!$C$10:$L$10</c:f>
              <c:numCache>
                <c:formatCode>0.00</c:formatCode>
                <c:ptCount val="10"/>
                <c:pt idx="0">
                  <c:v>1</c:v>
                </c:pt>
                <c:pt idx="1">
                  <c:v>1.0675767845615654</c:v>
                </c:pt>
                <c:pt idx="2">
                  <c:v>1.1454651384122507</c:v>
                </c:pt>
                <c:pt idx="3">
                  <c:v>1.1560836898852946</c:v>
                </c:pt>
                <c:pt idx="4">
                  <c:v>1.201573422521941</c:v>
                </c:pt>
                <c:pt idx="5">
                  <c:v>1.2733463109486085</c:v>
                </c:pt>
                <c:pt idx="6">
                  <c:v>1.3120788719161181</c:v>
                </c:pt>
                <c:pt idx="7">
                  <c:v>1.3508114328836272</c:v>
                </c:pt>
                <c:pt idx="8">
                  <c:v>1.363038899460782</c:v>
                </c:pt>
                <c:pt idx="9">
                  <c:v>1.3752663660379372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B0AB-4532-B5E9-AA2BBBDEC624}"/>
            </c:ext>
          </c:extLst>
        </c:ser>
        <c:ser>
          <c:idx val="8"/>
          <c:order val="8"/>
          <c:tx>
            <c:strRef>
              <c:f>co2pfad_nonets_vorher!$B$11</c:f>
              <c:strCache>
                <c:ptCount val="1"/>
                <c:pt idx="0">
                  <c:v>USA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co2pfad_nonets_vorher!$C$11:$L$11</c:f>
              <c:numCache>
                <c:formatCode>0.00</c:formatCode>
                <c:ptCount val="10"/>
                <c:pt idx="0">
                  <c:v>1</c:v>
                </c:pt>
                <c:pt idx="1">
                  <c:v>0.96437060742893743</c:v>
                </c:pt>
                <c:pt idx="2">
                  <c:v>0.92280551020053803</c:v>
                </c:pt>
                <c:pt idx="3">
                  <c:v>0.8812404129721384</c:v>
                </c:pt>
                <c:pt idx="4">
                  <c:v>0.84154749497165737</c:v>
                </c:pt>
                <c:pt idx="5">
                  <c:v>0.80364242931680252</c:v>
                </c:pt>
                <c:pt idx="6">
                  <c:v>0.76744468738506955</c:v>
                </c:pt>
                <c:pt idx="7">
                  <c:v>0.73287736773214818</c:v>
                </c:pt>
                <c:pt idx="8">
                  <c:v>0.69986703271620243</c:v>
                </c:pt>
                <c:pt idx="9">
                  <c:v>0.66834355248093713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B0AB-4532-B5E9-AA2BBBDEC624}"/>
            </c:ext>
          </c:extLst>
        </c:ser>
        <c:ser>
          <c:idx val="9"/>
          <c:order val="9"/>
          <c:tx>
            <c:strRef>
              <c:f>co2pfad_nonets_vorher!$B$12</c:f>
              <c:strCache>
                <c:ptCount val="1"/>
                <c:pt idx="0">
                  <c:v>BRZ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co2pfad_nonets_vorher!$C$12:$L$12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B0AB-4532-B5E9-AA2BBBDEC624}"/>
            </c:ext>
          </c:extLst>
        </c:ser>
        <c:ser>
          <c:idx val="10"/>
          <c:order val="10"/>
          <c:tx>
            <c:strRef>
              <c:f>co2pfad_nonets_vorher!$B$13</c:f>
              <c:strCache>
                <c:ptCount val="1"/>
                <c:pt idx="0">
                  <c:v>RUS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co2pfad_nonets_vorher!$C$13:$L$13</c:f>
              <c:numCache>
                <c:formatCode>0.00</c:formatCode>
                <c:ptCount val="10"/>
                <c:pt idx="0">
                  <c:v>1</c:v>
                </c:pt>
                <c:pt idx="1">
                  <c:v>1.3</c:v>
                </c:pt>
                <c:pt idx="2">
                  <c:v>1.6419710205058919</c:v>
                </c:pt>
                <c:pt idx="3">
                  <c:v>1.6419710205058919</c:v>
                </c:pt>
                <c:pt idx="4">
                  <c:v>1.6419710205058919</c:v>
                </c:pt>
                <c:pt idx="5">
                  <c:v>1.6419710205058919</c:v>
                </c:pt>
                <c:pt idx="6">
                  <c:v>1.6419710205058919</c:v>
                </c:pt>
                <c:pt idx="7">
                  <c:v>1.6419710205058919</c:v>
                </c:pt>
                <c:pt idx="8">
                  <c:v>1.6419710205058919</c:v>
                </c:pt>
                <c:pt idx="9">
                  <c:v>1.6419710205058919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A-B0AB-4532-B5E9-AA2BBBDEC624}"/>
            </c:ext>
          </c:extLst>
        </c:ser>
        <c:ser>
          <c:idx val="11"/>
          <c:order val="11"/>
          <c:tx>
            <c:strRef>
              <c:f>co2pfad_nonets_vorher!$B$14</c:f>
              <c:strCache>
                <c:ptCount val="1"/>
                <c:pt idx="0">
                  <c:v>IND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co2pfad_nonets_vorher!$C$14:$L$14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B-B0AB-4532-B5E9-AA2BBBDEC624}"/>
            </c:ext>
          </c:extLst>
        </c:ser>
        <c:ser>
          <c:idx val="12"/>
          <c:order val="12"/>
          <c:tx>
            <c:strRef>
              <c:f>co2pfad_nonets_vorher!$B$15</c:f>
              <c:strCache>
                <c:ptCount val="1"/>
                <c:pt idx="0">
                  <c:v>CHI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co2pfad_nonets_vorher!$C$15:$L$15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C-B0AB-4532-B5E9-AA2BBBDEC624}"/>
            </c:ext>
          </c:extLst>
        </c:ser>
        <c:ser>
          <c:idx val="13"/>
          <c:order val="13"/>
          <c:tx>
            <c:strRef>
              <c:f>co2pfad_nonets_vorher!$B$16</c:f>
              <c:strCache>
                <c:ptCount val="1"/>
                <c:pt idx="0">
                  <c:v>RSA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co2pfad_nonets_vorher!$C$16:$L$16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D-B0AB-4532-B5E9-AA2BBBDEC624}"/>
            </c:ext>
          </c:extLst>
        </c:ser>
        <c:ser>
          <c:idx val="14"/>
          <c:order val="14"/>
          <c:tx>
            <c:strRef>
              <c:f>co2pfad_nonets_vorher!$B$17</c:f>
              <c:strCache>
                <c:ptCount val="1"/>
                <c:pt idx="0">
                  <c:v>OEC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co2pfad_nonets_vorher!$C$17:$L$17</c:f>
              <c:numCache>
                <c:formatCode>0.00</c:formatCode>
                <c:ptCount val="10"/>
                <c:pt idx="0">
                  <c:v>1</c:v>
                </c:pt>
                <c:pt idx="1">
                  <c:v>0.95447601552200689</c:v>
                </c:pt>
                <c:pt idx="2">
                  <c:v>0.9059220070695071</c:v>
                </c:pt>
                <c:pt idx="3">
                  <c:v>0.85736799861700763</c:v>
                </c:pt>
                <c:pt idx="4">
                  <c:v>0.81449959868615729</c:v>
                </c:pt>
                <c:pt idx="5">
                  <c:v>0.77163119875530672</c:v>
                </c:pt>
                <c:pt idx="6">
                  <c:v>0.73101903039976435</c:v>
                </c:pt>
                <c:pt idx="7">
                  <c:v>0.69254434458925029</c:v>
                </c:pt>
                <c:pt idx="8">
                  <c:v>0.65609464224244751</c:v>
                </c:pt>
                <c:pt idx="9">
                  <c:v>0.6215633452823186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B0AB-4532-B5E9-AA2BBBDEC624}"/>
            </c:ext>
          </c:extLst>
        </c:ser>
        <c:ser>
          <c:idx val="15"/>
          <c:order val="15"/>
          <c:tx>
            <c:strRef>
              <c:f>co2pfad_nonets_vorher!$B$18</c:f>
              <c:strCache>
                <c:ptCount val="1"/>
                <c:pt idx="0">
                  <c:v>ARB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co2pfad_nonets_vorher!$C$18:$L$18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F-B0AB-4532-B5E9-AA2BBBDEC624}"/>
            </c:ext>
          </c:extLst>
        </c:ser>
        <c:ser>
          <c:idx val="16"/>
          <c:order val="16"/>
          <c:tx>
            <c:strRef>
              <c:f>co2pfad_nonets_vorher!$B$19</c:f>
              <c:strCache>
                <c:ptCount val="1"/>
                <c:pt idx="0">
                  <c:v>OPE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co2pfad_nonets_vorher!$C$19:$L$19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0-B0AB-4532-B5E9-AA2BBBDEC624}"/>
            </c:ext>
          </c:extLst>
        </c:ser>
        <c:ser>
          <c:idx val="17"/>
          <c:order val="17"/>
          <c:tx>
            <c:strRef>
              <c:f>co2pfad_nonets_vorher!$B$20</c:f>
              <c:strCache>
                <c:ptCount val="1"/>
                <c:pt idx="0">
                  <c:v>ROW</c:v>
                </c:pt>
              </c:strCache>
            </c:strRef>
          </c:tx>
          <c:marker>
            <c:symbol val="none"/>
          </c:marker>
          <c:cat>
            <c:numRef>
              <c:f>co2pfad_nonets_vorher!$C$2:$L$2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co2pfad_nonets_vorher!$C$20:$L$20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11-B0AB-4532-B5E9-AA2BBBDEC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459168"/>
        <c:axId val="366459728"/>
      </c:lineChart>
      <c:catAx>
        <c:axId val="366459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6459728"/>
        <c:crosses val="autoZero"/>
        <c:auto val="1"/>
        <c:lblAlgn val="ctr"/>
        <c:lblOffset val="100"/>
        <c:noMultiLvlLbl val="0"/>
      </c:catAx>
      <c:valAx>
        <c:axId val="3664597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664591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411089238845149"/>
          <c:y val="2.7103382910469535E-3"/>
          <c:w val="0.1392224409448819"/>
          <c:h val="0.99728966170895306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BMWi_exp!$B$6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BMWi_exp!$C$6:$L$6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0.95635447922924888</c:v>
                </c:pt>
                <c:pt idx="2">
                  <c:v>0.82586943254643552</c:v>
                </c:pt>
                <c:pt idx="3">
                  <c:v>0.66996641036647309</c:v>
                </c:pt>
                <c:pt idx="4">
                  <c:v>0.54349389059644115</c:v>
                </c:pt>
                <c:pt idx="5">
                  <c:v>0.44089614724726239</c:v>
                </c:pt>
                <c:pt idx="6">
                  <c:v>0.35766623327477126</c:v>
                </c:pt>
                <c:pt idx="7">
                  <c:v>0.29014799794387952</c:v>
                </c:pt>
                <c:pt idx="8">
                  <c:v>0.2353754782497656</c:v>
                </c:pt>
                <c:pt idx="9">
                  <c:v>0.19094260913019176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052-4468-9D07-93C7FD243EB6}"/>
            </c:ext>
          </c:extLst>
        </c:ser>
        <c:ser>
          <c:idx val="1"/>
          <c:order val="1"/>
          <c:tx>
            <c:strRef>
              <c:f>BMWi_exp!$B$7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BMWi_exp!$C$7:$L$7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0.93372896045778508</c:v>
                </c:pt>
                <c:pt idx="2">
                  <c:v>0.90438903998437969</c:v>
                </c:pt>
                <c:pt idx="3">
                  <c:v>0.72640246291201427</c:v>
                </c:pt>
                <c:pt idx="4">
                  <c:v>0.58344419801212277</c:v>
                </c:pt>
                <c:pt idx="5">
                  <c:v>0.46862056445868772</c:v>
                </c:pt>
                <c:pt idx="6">
                  <c:v>0.37639457926191644</c:v>
                </c:pt>
                <c:pt idx="7">
                  <c:v>0.30231895491271071</c:v>
                </c:pt>
                <c:pt idx="8">
                  <c:v>0.24282164392148334</c:v>
                </c:pt>
                <c:pt idx="9">
                  <c:v>0.19503358885901151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052-4468-9D07-93C7FD243EB6}"/>
            </c:ext>
          </c:extLst>
        </c:ser>
        <c:ser>
          <c:idx val="2"/>
          <c:order val="2"/>
          <c:tx>
            <c:strRef>
              <c:f>BMWi_exp!$B$8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BMWi_exp!$C$8:$L$8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0.77272393253344329</c:v>
                </c:pt>
                <c:pt idx="2">
                  <c:v>0.68515256131224467</c:v>
                </c:pt>
                <c:pt idx="3">
                  <c:v>0.57459288510458972</c:v>
                </c:pt>
                <c:pt idx="4">
                  <c:v>0.48187367639767709</c:v>
                </c:pt>
                <c:pt idx="5">
                  <c:v>0.40411610729002834</c:v>
                </c:pt>
                <c:pt idx="6">
                  <c:v>0.3389058920837803</c:v>
                </c:pt>
                <c:pt idx="7">
                  <c:v>0.28421832640952271</c:v>
                </c:pt>
                <c:pt idx="8">
                  <c:v>0.2383554224163813</c:v>
                </c:pt>
                <c:pt idx="9">
                  <c:v>0.19989318814519641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052-4468-9D07-93C7FD243EB6}"/>
            </c:ext>
          </c:extLst>
        </c:ser>
        <c:ser>
          <c:idx val="3"/>
          <c:order val="3"/>
          <c:tx>
            <c:strRef>
              <c:f>BMWi_exp!$B$9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BMWi_exp!$C$9:$L$9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0.87602791846624217</c:v>
                </c:pt>
                <c:pt idx="2">
                  <c:v>0.77419991306726321</c:v>
                </c:pt>
                <c:pt idx="3">
                  <c:v>0.61079916767289943</c:v>
                </c:pt>
                <c:pt idx="4">
                  <c:v>0.48188538507042383</c:v>
                </c:pt>
                <c:pt idx="5">
                  <c:v>0.38017983100597097</c:v>
                </c:pt>
                <c:pt idx="6">
                  <c:v>0.29994000312461389</c:v>
                </c:pt>
                <c:pt idx="7">
                  <c:v>0.23663539761261154</c:v>
                </c:pt>
                <c:pt idx="8">
                  <c:v>0.18669170774134575</c:v>
                </c:pt>
                <c:pt idx="9">
                  <c:v>0.14728901124268026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5052-4468-9D07-93C7FD243EB6}"/>
            </c:ext>
          </c:extLst>
        </c:ser>
        <c:ser>
          <c:idx val="4"/>
          <c:order val="4"/>
          <c:tx>
            <c:strRef>
              <c:f>BMWi_exp!$B$10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BMWi_exp!$C$10:$L$10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0.91263038525384976</c:v>
                </c:pt>
                <c:pt idx="2">
                  <c:v>0.75301281399030284</c:v>
                </c:pt>
                <c:pt idx="3">
                  <c:v>0.62629158351999725</c:v>
                </c:pt>
                <c:pt idx="4">
                  <c:v>0.52089571425677861</c:v>
                </c:pt>
                <c:pt idx="5">
                  <c:v>0.43323645450588427</c:v>
                </c:pt>
                <c:pt idx="6">
                  <c:v>0.36032898788701578</c:v>
                </c:pt>
                <c:pt idx="7">
                  <c:v>0.29969079970373941</c:v>
                </c:pt>
                <c:pt idx="8">
                  <c:v>0.24925714679172281</c:v>
                </c:pt>
                <c:pt idx="9">
                  <c:v>0.20731075257621684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5052-4468-9D07-93C7FD243EB6}"/>
            </c:ext>
          </c:extLst>
        </c:ser>
        <c:ser>
          <c:idx val="5"/>
          <c:order val="5"/>
          <c:tx>
            <c:strRef>
              <c:f>BMWi_exp!$B$11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BMWi_exp!$C$11:$L$11</c:f>
              <c:numCache>
                <c:formatCode>0.00</c:formatCode>
                <c:ptCount val="10"/>
                <c:pt idx="0" formatCode="General">
                  <c:v>1</c:v>
                </c:pt>
                <c:pt idx="1">
                  <c:v>0.97381051964551968</c:v>
                </c:pt>
                <c:pt idx="2">
                  <c:v>0.86702226497718515</c:v>
                </c:pt>
                <c:pt idx="3">
                  <c:v>0.70814324056043465</c:v>
                </c:pt>
                <c:pt idx="4">
                  <c:v>0.57837828324354434</c:v>
                </c:pt>
                <c:pt idx="5">
                  <c:v>0.47239233444211726</c:v>
                </c:pt>
                <c:pt idx="6">
                  <c:v>0.38582796779336709</c:v>
                </c:pt>
                <c:pt idx="7">
                  <c:v>0.31512624121507604</c:v>
                </c:pt>
                <c:pt idx="8">
                  <c:v>0.25738037724503565</c:v>
                </c:pt>
                <c:pt idx="9">
                  <c:v>0.21021625598480187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5052-4468-9D07-93C7FD243EB6}"/>
            </c:ext>
          </c:extLst>
        </c:ser>
        <c:ser>
          <c:idx val="6"/>
          <c:order val="6"/>
          <c:tx>
            <c:strRef>
              <c:f>BMWi_exp!$B$12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BMWi_exp!$C$5:$L$5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BMWi_exp!$C$12:$L$12</c:f>
              <c:numCache>
                <c:formatCode>0.00</c:formatCode>
                <c:ptCount val="10"/>
                <c:pt idx="0" formatCode="General">
                  <c:v>0.99999999999999989</c:v>
                </c:pt>
                <c:pt idx="1">
                  <c:v>0.89243942903166995</c:v>
                </c:pt>
                <c:pt idx="2">
                  <c:v>0.80205363776766692</c:v>
                </c:pt>
                <c:pt idx="3">
                  <c:v>0.64961496992728629</c:v>
                </c:pt>
                <c:pt idx="4">
                  <c:v>0.52679922307274429</c:v>
                </c:pt>
                <c:pt idx="5">
                  <c:v>0.42774198841121314</c:v>
                </c:pt>
                <c:pt idx="6">
                  <c:v>0.34775733524514246</c:v>
                </c:pt>
                <c:pt idx="7">
                  <c:v>0.28309817614853872</c:v>
                </c:pt>
                <c:pt idx="8">
                  <c:v>0.23076581460322371</c:v>
                </c:pt>
                <c:pt idx="9">
                  <c:v>0.18835850618287073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5052-4468-9D07-93C7FD243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465888"/>
        <c:axId val="366466448"/>
      </c:lineChart>
      <c:catAx>
        <c:axId val="366465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6466448"/>
        <c:crosses val="autoZero"/>
        <c:auto val="1"/>
        <c:lblAlgn val="ctr"/>
        <c:lblOffset val="100"/>
        <c:noMultiLvlLbl val="0"/>
      </c:catAx>
      <c:valAx>
        <c:axId val="366466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6465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BMWi_exp!$B$16</c:f>
              <c:strCache>
                <c:ptCount val="1"/>
                <c:pt idx="0">
                  <c:v>EU-CAP-1</c:v>
                </c:pt>
              </c:strCache>
            </c:strRef>
          </c:tx>
          <c:marker>
            <c:symbol val="none"/>
          </c:marker>
          <c:cat>
            <c:numRef>
              <c:f>BMWi_exp!$D$15:$H$15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BMWi_exp!$D$16:$H$16</c:f>
              <c:numCache>
                <c:formatCode>0.00</c:formatCode>
                <c:ptCount val="5"/>
                <c:pt idx="0">
                  <c:v>0.89243942903166995</c:v>
                </c:pt>
                <c:pt idx="1">
                  <c:v>0.80205363776766692</c:v>
                </c:pt>
                <c:pt idx="2">
                  <c:v>0.64961496992728629</c:v>
                </c:pt>
                <c:pt idx="3">
                  <c:v>0.52679922307274429</c:v>
                </c:pt>
                <c:pt idx="4">
                  <c:v>0.42774198841121314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02B-4F38-A779-591CE9099955}"/>
            </c:ext>
          </c:extLst>
        </c:ser>
        <c:ser>
          <c:idx val="1"/>
          <c:order val="1"/>
          <c:tx>
            <c:strRef>
              <c:f>BMWi_exp!$B$17</c:f>
              <c:strCache>
                <c:ptCount val="1"/>
                <c:pt idx="0">
                  <c:v>EU-CAP-2</c:v>
                </c:pt>
              </c:strCache>
            </c:strRef>
          </c:tx>
          <c:marker>
            <c:symbol val="none"/>
          </c:marker>
          <c:cat>
            <c:numRef>
              <c:f>BMWi_exp!$D$15:$H$15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BMWi_exp!$D$17:$H$17</c:f>
              <c:numCache>
                <c:formatCode>0.00</c:formatCode>
                <c:ptCount val="5"/>
                <c:pt idx="0">
                  <c:v>0.89243942903166995</c:v>
                </c:pt>
                <c:pt idx="1">
                  <c:v>0.82</c:v>
                </c:pt>
                <c:pt idx="2">
                  <c:v>0.73072584235648508</c:v>
                </c:pt>
                <c:pt idx="3">
                  <c:v>0.42774198841121314</c:v>
                </c:pt>
                <c:pt idx="4">
                  <c:v>0.42774198841121314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02B-4F38-A779-591CE9099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061440"/>
        <c:axId val="367062000"/>
      </c:lineChart>
      <c:catAx>
        <c:axId val="367061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7062000"/>
        <c:crosses val="autoZero"/>
        <c:auto val="1"/>
        <c:lblAlgn val="ctr"/>
        <c:lblOffset val="100"/>
        <c:noMultiLvlLbl val="0"/>
      </c:catAx>
      <c:valAx>
        <c:axId val="3670620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67061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BMWi_exp!$B$23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BMWi_exp!$C$23:$H$23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0.95635447922924888</c:v>
                </c:pt>
                <c:pt idx="2">
                  <c:v>0.84441391458505066</c:v>
                </c:pt>
                <c:pt idx="3">
                  <c:v>0.75361836199739973</c:v>
                </c:pt>
                <c:pt idx="4">
                  <c:v>0.4412974569268987</c:v>
                </c:pt>
                <c:pt idx="5">
                  <c:v>0.44089614724726239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838-40DF-8720-0C13B9E1F604}"/>
            </c:ext>
          </c:extLst>
        </c:ser>
        <c:ser>
          <c:idx val="1"/>
          <c:order val="1"/>
          <c:tx>
            <c:strRef>
              <c:f>BMWi_exp!$B$24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BMWi_exp!$C$24:$H$24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0.93372896045778508</c:v>
                </c:pt>
                <c:pt idx="2">
                  <c:v>0.923399018296852</c:v>
                </c:pt>
                <c:pt idx="3">
                  <c:v>0.81710101548402037</c:v>
                </c:pt>
                <c:pt idx="4">
                  <c:v>0.47373566712764376</c:v>
                </c:pt>
                <c:pt idx="5">
                  <c:v>0.46862056445868772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838-40DF-8720-0C13B9E1F604}"/>
            </c:ext>
          </c:extLst>
        </c:ser>
        <c:ser>
          <c:idx val="2"/>
          <c:order val="2"/>
          <c:tx>
            <c:strRef>
              <c:f>BMWi_exp!$B$25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BMWi_exp!$C$25:$H$25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0.77272393253344329</c:v>
                </c:pt>
                <c:pt idx="2">
                  <c:v>0.70401855351256792</c:v>
                </c:pt>
                <c:pt idx="3">
                  <c:v>0.64633650611083038</c:v>
                </c:pt>
                <c:pt idx="4">
                  <c:v>0.39126406319111373</c:v>
                </c:pt>
                <c:pt idx="5">
                  <c:v>0.40411610729002834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838-40DF-8720-0C13B9E1F604}"/>
            </c:ext>
          </c:extLst>
        </c:ser>
        <c:ser>
          <c:idx val="3"/>
          <c:order val="3"/>
          <c:tx>
            <c:strRef>
              <c:f>BMWi_exp!$B$26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BMWi_exp!$C$26:$H$26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0.87602791846624217</c:v>
                </c:pt>
                <c:pt idx="2">
                  <c:v>0.78854739341657176</c:v>
                </c:pt>
                <c:pt idx="3">
                  <c:v>0.6870635021824979</c:v>
                </c:pt>
                <c:pt idx="4">
                  <c:v>0.39127357021151732</c:v>
                </c:pt>
                <c:pt idx="5">
                  <c:v>0.38017983100597097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E838-40DF-8720-0C13B9E1F604}"/>
            </c:ext>
          </c:extLst>
        </c:ser>
        <c:ser>
          <c:idx val="4"/>
          <c:order val="4"/>
          <c:tx>
            <c:strRef>
              <c:f>BMWi_exp!$B$27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BMWi_exp!$C$27:$H$27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0.91263038525384976</c:v>
                </c:pt>
                <c:pt idx="2">
                  <c:v>0.77276125999428791</c:v>
                </c:pt>
                <c:pt idx="3">
                  <c:v>0.70449029981506273</c:v>
                </c:pt>
                <c:pt idx="4">
                  <c:v>0.42294855195772846</c:v>
                </c:pt>
                <c:pt idx="5">
                  <c:v>0.43323645450588427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E838-40DF-8720-0C13B9E1F604}"/>
            </c:ext>
          </c:extLst>
        </c:ser>
        <c:ser>
          <c:idx val="5"/>
          <c:order val="5"/>
          <c:tx>
            <c:strRef>
              <c:f>BMWi_exp!$B$28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BMWi_exp!$C$28:$H$28</c:f>
              <c:numCache>
                <c:formatCode>0.00</c:formatCode>
                <c:ptCount val="6"/>
                <c:pt idx="0" formatCode="General">
                  <c:v>1</c:v>
                </c:pt>
                <c:pt idx="1">
                  <c:v>0.97381051964551968</c:v>
                </c:pt>
                <c:pt idx="2">
                  <c:v>0.88735951380792655</c:v>
                </c:pt>
                <c:pt idx="3">
                  <c:v>0.79656194811134906</c:v>
                </c:pt>
                <c:pt idx="4">
                  <c:v>0.46962232686188898</c:v>
                </c:pt>
                <c:pt idx="5">
                  <c:v>0.47239233444211726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E838-40DF-8720-0C13B9E1F604}"/>
            </c:ext>
          </c:extLst>
        </c:ser>
        <c:ser>
          <c:idx val="6"/>
          <c:order val="6"/>
          <c:tx>
            <c:strRef>
              <c:f>BMWi_exp!$B$29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BMWi_exp!$C$22:$H$22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BMWi_exp!$C$29:$H$29</c:f>
              <c:numCache>
                <c:formatCode>0.00</c:formatCode>
                <c:ptCount val="6"/>
                <c:pt idx="0" formatCode="General">
                  <c:v>0.99999999999999989</c:v>
                </c:pt>
                <c:pt idx="1">
                  <c:v>0.89243942903166995</c:v>
                </c:pt>
                <c:pt idx="2">
                  <c:v>0.81999999999999962</c:v>
                </c:pt>
                <c:pt idx="3">
                  <c:v>0.73072584235648497</c:v>
                </c:pt>
                <c:pt idx="4">
                  <c:v>0.42774198841121314</c:v>
                </c:pt>
                <c:pt idx="5">
                  <c:v>0.42774198841121314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E838-40DF-8720-0C13B9E1F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068160"/>
        <c:axId val="367068720"/>
      </c:lineChart>
      <c:catAx>
        <c:axId val="367068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7068720"/>
        <c:crosses val="autoZero"/>
        <c:auto val="1"/>
        <c:lblAlgn val="ctr"/>
        <c:lblOffset val="100"/>
        <c:noMultiLvlLbl val="0"/>
      </c:catAx>
      <c:valAx>
        <c:axId val="367068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7068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BMWi_exp!$B$18</c:f>
              <c:strCache>
                <c:ptCount val="1"/>
                <c:pt idx="0">
                  <c:v>Differenz</c:v>
                </c:pt>
              </c:strCache>
            </c:strRef>
          </c:tx>
          <c:marker>
            <c:symbol val="none"/>
          </c:marker>
          <c:cat>
            <c:numRef>
              <c:f>BMWi_exp!$D$15:$H$15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BMWi_exp!$D$18:$H$18</c:f>
              <c:numCache>
                <c:formatCode>0.00</c:formatCode>
                <c:ptCount val="5"/>
                <c:pt idx="0" formatCode="General">
                  <c:v>1</c:v>
                </c:pt>
                <c:pt idx="1">
                  <c:v>1.0223755137901782</c:v>
                </c:pt>
                <c:pt idx="2">
                  <c:v>1.124859918850512</c:v>
                </c:pt>
                <c:pt idx="3">
                  <c:v>0.8119639697193467</c:v>
                </c:pt>
                <c:pt idx="4" formatCode="General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7E3-4249-863F-D75713803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071520"/>
        <c:axId val="367072080"/>
      </c:lineChart>
      <c:catAx>
        <c:axId val="367071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7072080"/>
        <c:crosses val="autoZero"/>
        <c:auto val="1"/>
        <c:lblAlgn val="ctr"/>
        <c:lblOffset val="100"/>
        <c:noMultiLvlLbl val="0"/>
      </c:catAx>
      <c:valAx>
        <c:axId val="367072080"/>
        <c:scaling>
          <c:orientation val="minMax"/>
          <c:max val="1.2"/>
          <c:min val="0.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7071520"/>
        <c:crosses val="autoZero"/>
        <c:crossBetween val="between"/>
        <c:majorUnit val="0.1"/>
        <c:minorUnit val="4.0000000000000008E-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BMWi_exp!$B$33</c:f>
              <c:strCache>
                <c:ptCount val="1"/>
                <c:pt idx="0">
                  <c:v>EU-CAP-1</c:v>
                </c:pt>
              </c:strCache>
            </c:strRef>
          </c:tx>
          <c:marker>
            <c:symbol val="none"/>
          </c:marker>
          <c:cat>
            <c:numRef>
              <c:f>BMWi_exp!$D$15:$L$15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BMWi_exp!$D$33:$L$33</c:f>
              <c:numCache>
                <c:formatCode>0%</c:formatCode>
                <c:ptCount val="9"/>
                <c:pt idx="0">
                  <c:v>1</c:v>
                </c:pt>
                <c:pt idx="1">
                  <c:v>0.89872053124986306</c:v>
                </c:pt>
                <c:pt idx="2">
                  <c:v>0.72790931103541978</c:v>
                </c:pt>
                <c:pt idx="3">
                  <c:v>0.5902912914149715</c:v>
                </c:pt>
                <c:pt idx="4">
                  <c:v>0.47929526026806002</c:v>
                </c:pt>
                <c:pt idx="5">
                  <c:v>0.38967051872917824</c:v>
                </c:pt>
                <c:pt idx="6">
                  <c:v>0.31721836456252361</c:v>
                </c:pt>
                <c:pt idx="7">
                  <c:v>0.25857868567462694</c:v>
                </c:pt>
                <c:pt idx="8">
                  <c:v>0.21106026925238694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579-4CCB-868A-305A3AD90F43}"/>
            </c:ext>
          </c:extLst>
        </c:ser>
        <c:ser>
          <c:idx val="1"/>
          <c:order val="1"/>
          <c:tx>
            <c:strRef>
              <c:f>BMWi_exp!$B$34</c:f>
              <c:strCache>
                <c:ptCount val="1"/>
                <c:pt idx="0">
                  <c:v>EU-CAP-2</c:v>
                </c:pt>
              </c:strCache>
            </c:strRef>
          </c:tx>
          <c:marker>
            <c:symbol val="none"/>
          </c:marker>
          <c:cat>
            <c:numRef>
              <c:f>BMWi_exp!$D$15:$L$15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BMWi_exp!$D$34:$L$34</c:f>
              <c:numCache>
                <c:formatCode>0%</c:formatCode>
                <c:ptCount val="9"/>
                <c:pt idx="0">
                  <c:v>1</c:v>
                </c:pt>
                <c:pt idx="1">
                  <c:v>0.91882986489036067</c:v>
                </c:pt>
                <c:pt idx="2">
                  <c:v>0.81879600854183443</c:v>
                </c:pt>
                <c:pt idx="3">
                  <c:v>0.47929526026806002</c:v>
                </c:pt>
                <c:pt idx="4">
                  <c:v>0.47929526026806002</c:v>
                </c:pt>
                <c:pt idx="5">
                  <c:v>0.38967051872917824</c:v>
                </c:pt>
                <c:pt idx="6">
                  <c:v>0.31721836456252361</c:v>
                </c:pt>
                <c:pt idx="7">
                  <c:v>0.25857868567462694</c:v>
                </c:pt>
                <c:pt idx="8">
                  <c:v>0.21106026925238694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579-4CCB-868A-305A3AD90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074880"/>
        <c:axId val="367075440"/>
      </c:lineChart>
      <c:catAx>
        <c:axId val="367074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7075440"/>
        <c:crosses val="autoZero"/>
        <c:auto val="1"/>
        <c:lblAlgn val="ctr"/>
        <c:lblOffset val="100"/>
        <c:noMultiLvlLbl val="0"/>
      </c:catAx>
      <c:valAx>
        <c:axId val="3670754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67074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BMWi_lin!$B$6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BMWi_lin!$C$6:$L$6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95.635447922924882</c:v>
                </c:pt>
                <c:pt idx="2">
                  <c:v>85.973843512175009</c:v>
                </c:pt>
                <c:pt idx="3">
                  <c:v>76.419617426581326</c:v>
                </c:pt>
                <c:pt idx="4">
                  <c:v>66.865391340987657</c:v>
                </c:pt>
                <c:pt idx="5">
                  <c:v>57.311165255393995</c:v>
                </c:pt>
                <c:pt idx="6">
                  <c:v>47.756939169800319</c:v>
                </c:pt>
                <c:pt idx="7">
                  <c:v>38.202713084206607</c:v>
                </c:pt>
                <c:pt idx="8">
                  <c:v>28.64848699861291</c:v>
                </c:pt>
                <c:pt idx="9">
                  <c:v>19.09426091301922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4A3-4AFA-B278-AB5C186088A3}"/>
            </c:ext>
          </c:extLst>
        </c:ser>
        <c:ser>
          <c:idx val="1"/>
          <c:order val="1"/>
          <c:tx>
            <c:strRef>
              <c:f>BMWi_lin!$B$7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BMWi_lin!$C$7:$L$7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93.372896045778504</c:v>
                </c:pt>
                <c:pt idx="2">
                  <c:v>94.44260747604325</c:v>
                </c:pt>
                <c:pt idx="3">
                  <c:v>83.737000534594358</c:v>
                </c:pt>
                <c:pt idx="4">
                  <c:v>73.031393593145467</c:v>
                </c:pt>
                <c:pt idx="5">
                  <c:v>62.325786651696561</c:v>
                </c:pt>
                <c:pt idx="6">
                  <c:v>51.620179710247683</c:v>
                </c:pt>
                <c:pt idx="7">
                  <c:v>40.914572768798813</c:v>
                </c:pt>
                <c:pt idx="8">
                  <c:v>30.208965827349942</c:v>
                </c:pt>
                <c:pt idx="9">
                  <c:v>19.503358885901068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4A3-4AFA-B278-AB5C186088A3}"/>
            </c:ext>
          </c:extLst>
        </c:ser>
        <c:ser>
          <c:idx val="2"/>
          <c:order val="2"/>
          <c:tx>
            <c:strRef>
              <c:f>BMWi_lin!$B$8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BMWi_lin!$C$8:$L$8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77.272393253344333</c:v>
                </c:pt>
                <c:pt idx="2">
                  <c:v>70.618860273461692</c:v>
                </c:pt>
                <c:pt idx="3">
                  <c:v>63.386068636469957</c:v>
                </c:pt>
                <c:pt idx="4">
                  <c:v>56.15327699947823</c:v>
                </c:pt>
                <c:pt idx="5">
                  <c:v>48.920485362486481</c:v>
                </c:pt>
                <c:pt idx="6">
                  <c:v>41.687693725494753</c:v>
                </c:pt>
                <c:pt idx="7">
                  <c:v>34.454902088503012</c:v>
                </c:pt>
                <c:pt idx="8">
                  <c:v>27.222110451511274</c:v>
                </c:pt>
                <c:pt idx="9">
                  <c:v>19.98931881451955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4A3-4AFA-B278-AB5C186088A3}"/>
            </c:ext>
          </c:extLst>
        </c:ser>
        <c:ser>
          <c:idx val="3"/>
          <c:order val="3"/>
          <c:tx>
            <c:strRef>
              <c:f>BMWi_lin!$B$9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BMWi_lin!$C$9:$L$9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87.602791846624214</c:v>
                </c:pt>
                <c:pt idx="2">
                  <c:v>81.315701640417899</c:v>
                </c:pt>
                <c:pt idx="3">
                  <c:v>71.803301566682194</c:v>
                </c:pt>
                <c:pt idx="4">
                  <c:v>62.290901492946503</c:v>
                </c:pt>
                <c:pt idx="5">
                  <c:v>52.778501419210798</c:v>
                </c:pt>
                <c:pt idx="6">
                  <c:v>43.2661013454751</c:v>
                </c:pt>
                <c:pt idx="7">
                  <c:v>33.753701271739409</c:v>
                </c:pt>
                <c:pt idx="8">
                  <c:v>24.241301198003708</c:v>
                </c:pt>
                <c:pt idx="9">
                  <c:v>14.728901124268013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4A3-4AFA-B278-AB5C186088A3}"/>
            </c:ext>
          </c:extLst>
        </c:ser>
        <c:ser>
          <c:idx val="4"/>
          <c:order val="4"/>
          <c:tx>
            <c:strRef>
              <c:f>BMWi_lin!$B$10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BMWi_lin!$C$10:$L$10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91.263038525384971</c:v>
                </c:pt>
                <c:pt idx="2">
                  <c:v>77.800051179512579</c:v>
                </c:pt>
                <c:pt idx="3">
                  <c:v>69.647340333528149</c:v>
                </c:pt>
                <c:pt idx="4">
                  <c:v>61.494629487543726</c:v>
                </c:pt>
                <c:pt idx="5">
                  <c:v>53.341918641559303</c:v>
                </c:pt>
                <c:pt idx="6">
                  <c:v>45.189207795574873</c:v>
                </c:pt>
                <c:pt idx="7">
                  <c:v>37.03649694959045</c:v>
                </c:pt>
                <c:pt idx="8">
                  <c:v>28.883786103606017</c:v>
                </c:pt>
                <c:pt idx="9">
                  <c:v>20.731075257621605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14A3-4AFA-B278-AB5C186088A3}"/>
            </c:ext>
          </c:extLst>
        </c:ser>
        <c:ser>
          <c:idx val="5"/>
          <c:order val="5"/>
          <c:tx>
            <c:strRef>
              <c:f>BMWi_lin!$B$11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BMWi_lin!$C$11:$L$11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97.381051964551972</c:v>
                </c:pt>
                <c:pt idx="2">
                  <c:v>90.068747559045605</c:v>
                </c:pt>
                <c:pt idx="3">
                  <c:v>80.204872993250547</c:v>
                </c:pt>
                <c:pt idx="4">
                  <c:v>70.340998427455489</c:v>
                </c:pt>
                <c:pt idx="5">
                  <c:v>60.477123861660452</c:v>
                </c:pt>
                <c:pt idx="6">
                  <c:v>50.613249295865401</c:v>
                </c:pt>
                <c:pt idx="7">
                  <c:v>40.749374730070357</c:v>
                </c:pt>
                <c:pt idx="8">
                  <c:v>30.88550016427531</c:v>
                </c:pt>
                <c:pt idx="9">
                  <c:v>21.021625598480256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14A3-4AFA-B278-AB5C186088A3}"/>
            </c:ext>
          </c:extLst>
        </c:ser>
        <c:ser>
          <c:idx val="6"/>
          <c:order val="6"/>
          <c:tx>
            <c:strRef>
              <c:f>BMWi_lin!$B$12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BMWi_lin!$C$5:$L$5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BMWi_lin!$C$12:$L$12</c:f>
              <c:numCache>
                <c:formatCode>0.00</c:formatCode>
                <c:ptCount val="10"/>
                <c:pt idx="0" formatCode="General">
                  <c:v>99.999999999999986</c:v>
                </c:pt>
                <c:pt idx="1">
                  <c:v>89.243942903166996</c:v>
                </c:pt>
                <c:pt idx="2">
                  <c:v>83.566831076759669</c:v>
                </c:pt>
                <c:pt idx="3">
                  <c:v>74.259231969204578</c:v>
                </c:pt>
                <c:pt idx="4">
                  <c:v>64.957443719605507</c:v>
                </c:pt>
                <c:pt idx="5">
                  <c:v>55.664356082429265</c:v>
                </c:pt>
                <c:pt idx="6">
                  <c:v>46.38515566549632</c:v>
                </c:pt>
                <c:pt idx="7">
                  <c:v>37.130173825480874</c:v>
                </c:pt>
                <c:pt idx="8">
                  <c:v>27.923369227690102</c:v>
                </c:pt>
                <c:pt idx="9">
                  <c:v>18.835850618287036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14A3-4AFA-B278-AB5C18608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081600"/>
        <c:axId val="367082160"/>
      </c:lineChart>
      <c:catAx>
        <c:axId val="367081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7082160"/>
        <c:crosses val="autoZero"/>
        <c:auto val="1"/>
        <c:lblAlgn val="ctr"/>
        <c:lblOffset val="100"/>
        <c:noMultiLvlLbl val="0"/>
      </c:catAx>
      <c:valAx>
        <c:axId val="367082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7081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BMWi_lin!$B$16</c:f>
              <c:strCache>
                <c:ptCount val="1"/>
                <c:pt idx="0">
                  <c:v>EU-CAP-1</c:v>
                </c:pt>
              </c:strCache>
            </c:strRef>
          </c:tx>
          <c:marker>
            <c:symbol val="none"/>
          </c:marker>
          <c:cat>
            <c:numRef>
              <c:f>BMWi_lin!$D$15:$H$15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BMWi_lin!$D$16:$H$16</c:f>
              <c:numCache>
                <c:formatCode>0.0</c:formatCode>
                <c:ptCount val="5"/>
                <c:pt idx="0">
                  <c:v>89.243942903166996</c:v>
                </c:pt>
                <c:pt idx="1">
                  <c:v>83.566831076759669</c:v>
                </c:pt>
                <c:pt idx="2">
                  <c:v>74.259231969204578</c:v>
                </c:pt>
                <c:pt idx="3">
                  <c:v>64.957443719605507</c:v>
                </c:pt>
                <c:pt idx="4">
                  <c:v>55.664356082429265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10F-46E7-A954-ACBC61C1036A}"/>
            </c:ext>
          </c:extLst>
        </c:ser>
        <c:ser>
          <c:idx val="1"/>
          <c:order val="1"/>
          <c:tx>
            <c:strRef>
              <c:f>BMWi_lin!$B$17</c:f>
              <c:strCache>
                <c:ptCount val="1"/>
                <c:pt idx="0">
                  <c:v>EU-CAP-2</c:v>
                </c:pt>
              </c:strCache>
            </c:strRef>
          </c:tx>
          <c:marker>
            <c:symbol val="none"/>
          </c:marker>
          <c:cat>
            <c:numRef>
              <c:f>BMWi_lin!$D$15:$H$15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BMWi_lin!$D$17:$H$17</c:f>
              <c:numCache>
                <c:formatCode>0.0</c:formatCode>
                <c:ptCount val="5"/>
                <c:pt idx="0">
                  <c:v>89.243942903166996</c:v>
                </c:pt>
                <c:pt idx="1">
                  <c:v>86</c:v>
                </c:pt>
                <c:pt idx="2">
                  <c:v>81.11915068314056</c:v>
                </c:pt>
                <c:pt idx="3">
                  <c:v>55.664356082429265</c:v>
                </c:pt>
                <c:pt idx="4">
                  <c:v>55.664356082429265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10F-46E7-A954-ACBC61C10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085520"/>
        <c:axId val="367086080"/>
      </c:lineChart>
      <c:catAx>
        <c:axId val="367085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7086080"/>
        <c:crosses val="autoZero"/>
        <c:auto val="1"/>
        <c:lblAlgn val="ctr"/>
        <c:lblOffset val="100"/>
        <c:noMultiLvlLbl val="0"/>
      </c:catAx>
      <c:valAx>
        <c:axId val="36708608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367085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BMWi_lin!$B$23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BMWi_lin!$C$23:$H$23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95.635447922924882</c:v>
                </c:pt>
                <c:pt idx="2">
                  <c:v>88.480399451366438</c:v>
                </c:pt>
                <c:pt idx="3">
                  <c:v>83.479108210351271</c:v>
                </c:pt>
                <c:pt idx="4">
                  <c:v>57.299344618026232</c:v>
                </c:pt>
                <c:pt idx="5">
                  <c:v>57.311165255393995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2A4-44D7-87B3-74507B662231}"/>
            </c:ext>
          </c:extLst>
        </c:ser>
        <c:ser>
          <c:idx val="1"/>
          <c:order val="1"/>
          <c:tx>
            <c:strRef>
              <c:f>BMWi_lin!$B$24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BMWi_lin!$C$24:$H$24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93.372896045778504</c:v>
                </c:pt>
                <c:pt idx="2">
                  <c:v>97.155332715604999</c:v>
                </c:pt>
                <c:pt idx="3">
                  <c:v>91.47245647432652</c:v>
                </c:pt>
                <c:pt idx="4">
                  <c:v>62.583212413851761</c:v>
                </c:pt>
                <c:pt idx="5">
                  <c:v>62.325786651696561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2A4-44D7-87B3-74507B662231}"/>
            </c:ext>
          </c:extLst>
        </c:ser>
        <c:ser>
          <c:idx val="2"/>
          <c:order val="2"/>
          <c:tx>
            <c:strRef>
              <c:f>BMWi_lin!$B$25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BMWi_lin!$C$25:$H$25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77.272393253344333</c:v>
                </c:pt>
                <c:pt idx="2">
                  <c:v>72.796908724826707</c:v>
                </c:pt>
                <c:pt idx="3">
                  <c:v>69.241546358384355</c:v>
                </c:pt>
                <c:pt idx="4">
                  <c:v>48.119750826198683</c:v>
                </c:pt>
                <c:pt idx="5">
                  <c:v>48.920485362486481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2A4-44D7-87B3-74507B662231}"/>
            </c:ext>
          </c:extLst>
        </c:ser>
        <c:ser>
          <c:idx val="3"/>
          <c:order val="3"/>
          <c:tx>
            <c:strRef>
              <c:f>BMWi_lin!$B$26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BMWi_lin!$C$26:$H$26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87.602791846624214</c:v>
                </c:pt>
                <c:pt idx="2">
                  <c:v>83.594257631795742</c:v>
                </c:pt>
                <c:pt idx="3">
                  <c:v>78.436346362296831</c:v>
                </c:pt>
                <c:pt idx="4">
                  <c:v>53.379300705953902</c:v>
                </c:pt>
                <c:pt idx="5">
                  <c:v>52.778501419210798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2A4-44D7-87B3-74507B662231}"/>
            </c:ext>
          </c:extLst>
        </c:ser>
        <c:ser>
          <c:idx val="4"/>
          <c:order val="4"/>
          <c:tx>
            <c:strRef>
              <c:f>BMWi_lin!$B$27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BMWi_lin!$C$27:$H$27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91.263038525384971</c:v>
                </c:pt>
                <c:pt idx="2">
                  <c:v>80.163852486578136</c:v>
                </c:pt>
                <c:pt idx="3">
                  <c:v>76.081221760257321</c:v>
                </c:pt>
                <c:pt idx="4">
                  <c:v>52.696946753748847</c:v>
                </c:pt>
                <c:pt idx="5">
                  <c:v>53.341918641559303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D2A4-44D7-87B3-74507B662231}"/>
            </c:ext>
          </c:extLst>
        </c:ser>
        <c:ser>
          <c:idx val="5"/>
          <c:order val="5"/>
          <c:tx>
            <c:strRef>
              <c:f>BMWi_lin!$B$28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BMWi_lin!$C$28:$H$28</c:f>
              <c:numCache>
                <c:formatCode>0.00</c:formatCode>
                <c:ptCount val="6"/>
                <c:pt idx="0" formatCode="General">
                  <c:v>100</c:v>
                </c:pt>
                <c:pt idx="1">
                  <c:v>97.381051964551972</c:v>
                </c:pt>
                <c:pt idx="2">
                  <c:v>92.722864294382788</c:v>
                </c:pt>
                <c:pt idx="3">
                  <c:v>87.614038084311915</c:v>
                </c:pt>
                <c:pt idx="4">
                  <c:v>60.277716601056831</c:v>
                </c:pt>
                <c:pt idx="5">
                  <c:v>60.477123861660452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D2A4-44D7-87B3-74507B662231}"/>
            </c:ext>
          </c:extLst>
        </c:ser>
        <c:ser>
          <c:idx val="6"/>
          <c:order val="6"/>
          <c:tx>
            <c:strRef>
              <c:f>BMWi_lin!$B$29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BMWi_lin!$C$22:$H$22</c:f>
              <c:numCache>
                <c:formatCode>General</c:formatCode>
                <c:ptCount val="6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</c:numCache>
            </c:numRef>
          </c:cat>
          <c:val>
            <c:numRef>
              <c:f>BMWi_lin!$C$29:$H$29</c:f>
              <c:numCache>
                <c:formatCode>0.00</c:formatCode>
                <c:ptCount val="6"/>
                <c:pt idx="0" formatCode="General">
                  <c:v>99.999999999999986</c:v>
                </c:pt>
                <c:pt idx="1">
                  <c:v>89.243942903166996</c:v>
                </c:pt>
                <c:pt idx="2">
                  <c:v>85.999999999999957</c:v>
                </c:pt>
                <c:pt idx="3">
                  <c:v>81.11915068314056</c:v>
                </c:pt>
                <c:pt idx="4">
                  <c:v>55.664356082429265</c:v>
                </c:pt>
                <c:pt idx="5">
                  <c:v>55.664356082429265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D2A4-44D7-87B3-74507B662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817584"/>
        <c:axId val="367818144"/>
      </c:lineChart>
      <c:catAx>
        <c:axId val="367817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7818144"/>
        <c:crosses val="autoZero"/>
        <c:auto val="1"/>
        <c:lblAlgn val="ctr"/>
        <c:lblOffset val="100"/>
        <c:noMultiLvlLbl val="0"/>
      </c:catAx>
      <c:valAx>
        <c:axId val="367818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7817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BMWi_lin!$B$18</c:f>
              <c:strCache>
                <c:ptCount val="1"/>
                <c:pt idx="0">
                  <c:v>Differenz</c:v>
                </c:pt>
              </c:strCache>
            </c:strRef>
          </c:tx>
          <c:marker>
            <c:symbol val="none"/>
          </c:marker>
          <c:cat>
            <c:numRef>
              <c:f>BMWi_lin!$D$15:$H$15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BMWi_lin!$D$18:$H$18</c:f>
              <c:numCache>
                <c:formatCode>0.00</c:formatCode>
                <c:ptCount val="5"/>
                <c:pt idx="0" formatCode="General">
                  <c:v>1</c:v>
                </c:pt>
                <c:pt idx="1">
                  <c:v>1.029116443592379</c:v>
                </c:pt>
                <c:pt idx="2">
                  <c:v>1.0923779916924108</c:v>
                </c:pt>
                <c:pt idx="3">
                  <c:v>0.85693575508773612</c:v>
                </c:pt>
                <c:pt idx="4" formatCode="General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78C-411D-9184-87106D98C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820944"/>
        <c:axId val="367821504"/>
      </c:lineChart>
      <c:catAx>
        <c:axId val="36782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7821504"/>
        <c:crosses val="autoZero"/>
        <c:auto val="1"/>
        <c:lblAlgn val="ctr"/>
        <c:lblOffset val="100"/>
        <c:noMultiLvlLbl val="0"/>
      </c:catAx>
      <c:valAx>
        <c:axId val="367821504"/>
        <c:scaling>
          <c:orientation val="minMax"/>
          <c:max val="1.2"/>
          <c:min val="0.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7820944"/>
        <c:crosses val="autoZero"/>
        <c:crossBetween val="between"/>
        <c:majorUnit val="0.1"/>
        <c:minorUnit val="4.0000000000000008E-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BMWi_lin!$B$33</c:f>
              <c:strCache>
                <c:ptCount val="1"/>
                <c:pt idx="0">
                  <c:v>EU-CAP-1</c:v>
                </c:pt>
              </c:strCache>
            </c:strRef>
          </c:tx>
          <c:marker>
            <c:symbol val="none"/>
          </c:marker>
          <c:cat>
            <c:numRef>
              <c:f>BMWi_lin!$D$15:$L$15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BMWi_lin!$D$33:$L$33</c:f>
              <c:numCache>
                <c:formatCode>0%</c:formatCode>
                <c:ptCount val="9"/>
                <c:pt idx="0">
                  <c:v>1</c:v>
                </c:pt>
                <c:pt idx="1">
                  <c:v>0.93638658667774011</c:v>
                </c:pt>
                <c:pt idx="2">
                  <c:v>0.83209268386739266</c:v>
                </c:pt>
                <c:pt idx="3">
                  <c:v>0.72786389312815047</c:v>
                </c:pt>
                <c:pt idx="4">
                  <c:v>0.62373259485887089</c:v>
                </c:pt>
                <c:pt idx="5">
                  <c:v>0.5197569062566626</c:v>
                </c:pt>
                <c:pt idx="6">
                  <c:v>0.41605259267588052</c:v>
                </c:pt>
                <c:pt idx="7">
                  <c:v>0.31288811676539213</c:v>
                </c:pt>
                <c:pt idx="8">
                  <c:v>0.21106026925238652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824-4538-8490-8E91F7E456B8}"/>
            </c:ext>
          </c:extLst>
        </c:ser>
        <c:ser>
          <c:idx val="1"/>
          <c:order val="1"/>
          <c:tx>
            <c:strRef>
              <c:f>BMWi_lin!$B$34</c:f>
              <c:strCache>
                <c:ptCount val="1"/>
                <c:pt idx="0">
                  <c:v>EU-CAP-2</c:v>
                </c:pt>
              </c:strCache>
            </c:strRef>
          </c:tx>
          <c:marker>
            <c:symbol val="none"/>
          </c:marker>
          <c:cat>
            <c:numRef>
              <c:f>BMWi_lin!$D$15:$L$15</c:f>
              <c:numCache>
                <c:formatCode>General</c:formatCode>
                <c:ptCount val="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BMWi_lin!$D$34:$L$34</c:f>
              <c:numCache>
                <c:formatCode>0%</c:formatCode>
                <c:ptCount val="9"/>
                <c:pt idx="0">
                  <c:v>1</c:v>
                </c:pt>
                <c:pt idx="1">
                  <c:v>0.96365083390940276</c:v>
                </c:pt>
                <c:pt idx="2">
                  <c:v>0.90895973490501047</c:v>
                </c:pt>
                <c:pt idx="3">
                  <c:v>0.62373259485887089</c:v>
                </c:pt>
                <c:pt idx="4">
                  <c:v>0.62373259485887089</c:v>
                </c:pt>
                <c:pt idx="5">
                  <c:v>0.5197569062566626</c:v>
                </c:pt>
                <c:pt idx="6">
                  <c:v>0.41605259267588052</c:v>
                </c:pt>
                <c:pt idx="7">
                  <c:v>0.31288811676539213</c:v>
                </c:pt>
                <c:pt idx="8">
                  <c:v>0.21106026925238652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824-4538-8490-8E91F7E45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824304"/>
        <c:axId val="367824864"/>
      </c:lineChart>
      <c:catAx>
        <c:axId val="367824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7824864"/>
        <c:crosses val="autoZero"/>
        <c:auto val="1"/>
        <c:lblAlgn val="ctr"/>
        <c:lblOffset val="100"/>
        <c:noMultiLvlLbl val="0"/>
      </c:catAx>
      <c:valAx>
        <c:axId val="36782486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67824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Historische_Emissionen!$A$25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Historische_Emissionen!$B$25:$J$25</c:f>
              <c:numCache>
                <c:formatCode>#,##0</c:formatCode>
                <c:ptCount val="9"/>
                <c:pt idx="0">
                  <c:v>100</c:v>
                </c:pt>
                <c:pt idx="1">
                  <c:v>104.58685424458049</c:v>
                </c:pt>
                <c:pt idx="2">
                  <c:v>104.74351477183012</c:v>
                </c:pt>
                <c:pt idx="3">
                  <c:v>105.42980873552762</c:v>
                </c:pt>
                <c:pt idx="4">
                  <c:v>94.096278961998664</c:v>
                </c:pt>
                <c:pt idx="5">
                  <c:v>100.17192952225473</c:v>
                </c:pt>
                <c:pt idx="6">
                  <c:v>92.126502859206198</c:v>
                </c:pt>
                <c:pt idx="7">
                  <c:v>90.704691790984313</c:v>
                </c:pt>
                <c:pt idx="8">
                  <c:v>94.054998363604284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6EC-4306-B9DE-DCCE72678D0C}"/>
            </c:ext>
          </c:extLst>
        </c:ser>
        <c:ser>
          <c:idx val="2"/>
          <c:order val="1"/>
          <c:tx>
            <c:strRef>
              <c:f>Historische_Emissionen!$A$26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Historische_Emissionen!$B$26:$J$26</c:f>
              <c:numCache>
                <c:formatCode>#,##0</c:formatCode>
                <c:ptCount val="9"/>
                <c:pt idx="0">
                  <c:v>100</c:v>
                </c:pt>
                <c:pt idx="1">
                  <c:v>100.63642210944546</c:v>
                </c:pt>
                <c:pt idx="2">
                  <c:v>102.54643888267827</c:v>
                </c:pt>
                <c:pt idx="3">
                  <c:v>99.537313146456825</c:v>
                </c:pt>
                <c:pt idx="4">
                  <c:v>90.157481966667035</c:v>
                </c:pt>
                <c:pt idx="5">
                  <c:v>95.750579776570973</c:v>
                </c:pt>
                <c:pt idx="6">
                  <c:v>94.796712739808328</c:v>
                </c:pt>
                <c:pt idx="7">
                  <c:v>95.270901503349521</c:v>
                </c:pt>
                <c:pt idx="8">
                  <c:v>101.23881822632148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6EC-4306-B9DE-DCCE72678D0C}"/>
            </c:ext>
          </c:extLst>
        </c:ser>
        <c:ser>
          <c:idx val="3"/>
          <c:order val="2"/>
          <c:tx>
            <c:strRef>
              <c:f>Historische_Emissionen!$A$27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Historische_Emissionen!$B$27:$J$27</c:f>
              <c:numCache>
                <c:formatCode>#,##0</c:formatCode>
                <c:ptCount val="9"/>
                <c:pt idx="0">
                  <c:v>100</c:v>
                </c:pt>
                <c:pt idx="1">
                  <c:v>98.723957057778804</c:v>
                </c:pt>
                <c:pt idx="2">
                  <c:v>100.05343446457331</c:v>
                </c:pt>
                <c:pt idx="3">
                  <c:v>93.8618085275331</c:v>
                </c:pt>
                <c:pt idx="4">
                  <c:v>80.48807517054432</c:v>
                </c:pt>
                <c:pt idx="5">
                  <c:v>77.313683342942241</c:v>
                </c:pt>
                <c:pt idx="6">
                  <c:v>78.979383549301687</c:v>
                </c:pt>
                <c:pt idx="7">
                  <c:v>77.933122742588807</c:v>
                </c:pt>
                <c:pt idx="8">
                  <c:v>73.551257659527266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6EC-4306-B9DE-DCCE72678D0C}"/>
            </c:ext>
          </c:extLst>
        </c:ser>
        <c:ser>
          <c:idx val="4"/>
          <c:order val="3"/>
          <c:tx>
            <c:strRef>
              <c:f>Historische_Emissionen!$A$28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Historische_Emissionen!$B$28:$J$28</c:f>
              <c:numCache>
                <c:formatCode>#,##0</c:formatCode>
                <c:ptCount val="9"/>
                <c:pt idx="0">
                  <c:v>100</c:v>
                </c:pt>
                <c:pt idx="1">
                  <c:v>102.26493526335642</c:v>
                </c:pt>
                <c:pt idx="2">
                  <c:v>135.7874550943049</c:v>
                </c:pt>
                <c:pt idx="3">
                  <c:v>130.32724328741034</c:v>
                </c:pt>
                <c:pt idx="4">
                  <c:v>115.7372543247879</c:v>
                </c:pt>
                <c:pt idx="5">
                  <c:v>118.95360164009226</c:v>
                </c:pt>
                <c:pt idx="6">
                  <c:v>122.59509112323916</c:v>
                </c:pt>
                <c:pt idx="7">
                  <c:v>116.04116774437898</c:v>
                </c:pt>
                <c:pt idx="8">
                  <c:v>115.5831802410072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56EC-4306-B9DE-DCCE72678D0C}"/>
            </c:ext>
          </c:extLst>
        </c:ser>
        <c:ser>
          <c:idx val="5"/>
          <c:order val="4"/>
          <c:tx>
            <c:strRef>
              <c:f>Historische_Emissionen!$A$29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Historische_Emissionen!$B$29:$J$29</c:f>
              <c:numCache>
                <c:formatCode>#,##0</c:formatCode>
                <c:ptCount val="9"/>
                <c:pt idx="0">
                  <c:v>100</c:v>
                </c:pt>
                <c:pt idx="1">
                  <c:v>96.735781536224692</c:v>
                </c:pt>
                <c:pt idx="2">
                  <c:v>96.473529479118994</c:v>
                </c:pt>
                <c:pt idx="3">
                  <c:v>94.565151758450625</c:v>
                </c:pt>
                <c:pt idx="4">
                  <c:v>84.633051212888148</c:v>
                </c:pt>
                <c:pt idx="5">
                  <c:v>88.044674375326991</c:v>
                </c:pt>
                <c:pt idx="6">
                  <c:v>80.435560928552775</c:v>
                </c:pt>
                <c:pt idx="7">
                  <c:v>78.97138795180642</c:v>
                </c:pt>
                <c:pt idx="8">
                  <c:v>78.202538469975963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56EC-4306-B9DE-DCCE72678D0C}"/>
            </c:ext>
          </c:extLst>
        </c:ser>
        <c:ser>
          <c:idx val="6"/>
          <c:order val="5"/>
          <c:tx>
            <c:strRef>
              <c:f>Historische_Emissionen!$A$30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Historische_Emissionen!$B$30:$J$30</c:f>
              <c:numCache>
                <c:formatCode>#,##0</c:formatCode>
                <c:ptCount val="9"/>
                <c:pt idx="0">
                  <c:v>100</c:v>
                </c:pt>
                <c:pt idx="1">
                  <c:v>97.037190520344879</c:v>
                </c:pt>
                <c:pt idx="2">
                  <c:v>95.140120854621031</c:v>
                </c:pt>
                <c:pt idx="3">
                  <c:v>96.122089745485553</c:v>
                </c:pt>
                <c:pt idx="4">
                  <c:v>81.981559729668945</c:v>
                </c:pt>
                <c:pt idx="5">
                  <c:v>92.648450528576049</c:v>
                </c:pt>
                <c:pt idx="6">
                  <c:v>91.688718072954146</c:v>
                </c:pt>
                <c:pt idx="7">
                  <c:v>85.059563592354408</c:v>
                </c:pt>
                <c:pt idx="8">
                  <c:v>89.44531615305776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56EC-4306-B9DE-DCCE72678D0C}"/>
            </c:ext>
          </c:extLst>
        </c:ser>
        <c:ser>
          <c:idx val="7"/>
          <c:order val="6"/>
          <c:tx>
            <c:strRef>
              <c:f>Historische_Emissionen!$A$31</c:f>
              <c:strCache>
                <c:ptCount val="1"/>
                <c:pt idx="0">
                  <c:v>Summe</c:v>
                </c:pt>
              </c:strCache>
            </c:strRef>
          </c:tx>
          <c:spPr>
            <a:ln w="19050"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Historische_Emissionen!$B$31:$J$31</c:f>
              <c:numCache>
                <c:formatCode>#,##0</c:formatCode>
                <c:ptCount val="9"/>
                <c:pt idx="0">
                  <c:v>100</c:v>
                </c:pt>
                <c:pt idx="1">
                  <c:v>101.07802210420094</c:v>
                </c:pt>
                <c:pt idx="2">
                  <c:v>107.4801393189049</c:v>
                </c:pt>
                <c:pt idx="3">
                  <c:v>104.28173505436187</c:v>
                </c:pt>
                <c:pt idx="4">
                  <c:v>92.368968711438825</c:v>
                </c:pt>
                <c:pt idx="5">
                  <c:v>95.306553961233519</c:v>
                </c:pt>
                <c:pt idx="6">
                  <c:v>93.605414474637854</c:v>
                </c:pt>
                <c:pt idx="7">
                  <c:v>91.782447204500656</c:v>
                </c:pt>
                <c:pt idx="8">
                  <c:v>92.815115921667839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56EC-4306-B9DE-DCCE72678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831024"/>
        <c:axId val="367831584"/>
      </c:lineChart>
      <c:catAx>
        <c:axId val="367831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7831584"/>
        <c:crosses val="autoZero"/>
        <c:auto val="1"/>
        <c:lblAlgn val="ctr"/>
        <c:lblOffset val="100"/>
        <c:noMultiLvlLbl val="0"/>
      </c:catAx>
      <c:valAx>
        <c:axId val="36783158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3678310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73613946404846"/>
          <c:y val="5.1291280897580109E-2"/>
          <c:w val="0.26668772884870878"/>
          <c:h val="0.84613538692278845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Historische_Emissionen!$A$35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Historische_Emissionen!$B$35:$J$35</c:f>
              <c:numCache>
                <c:formatCode>#,##0</c:formatCode>
                <c:ptCount val="9"/>
                <c:pt idx="0">
                  <c:v>95.471304565095764</c:v>
                </c:pt>
                <c:pt idx="1">
                  <c:v>99.850434150896234</c:v>
                </c:pt>
                <c:pt idx="2">
                  <c:v>100</c:v>
                </c:pt>
                <c:pt idx="3">
                  <c:v>100.6552138002935</c:v>
                </c:pt>
                <c:pt idx="4">
                  <c:v>89.834945072231861</c:v>
                </c:pt>
                <c:pt idx="5">
                  <c:v>95.635447922924882</c:v>
                </c:pt>
                <c:pt idx="6">
                  <c:v>87.9543741298844</c:v>
                </c:pt>
                <c:pt idx="7">
                  <c:v>86.596952554602041</c:v>
                </c:pt>
                <c:pt idx="8">
                  <c:v>89.795533946412476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784-446A-B030-52239B12D5AE}"/>
            </c:ext>
          </c:extLst>
        </c:ser>
        <c:ser>
          <c:idx val="2"/>
          <c:order val="1"/>
          <c:tx>
            <c:strRef>
              <c:f>Historische_Emissionen!$A$36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Historische_Emissionen!$B$36:$J$36</c:f>
              <c:numCache>
                <c:formatCode>#,##0</c:formatCode>
                <c:ptCount val="9"/>
                <c:pt idx="0">
                  <c:v>97.516794429505623</c:v>
                </c:pt>
                <c:pt idx="1">
                  <c:v>98.13741286967749</c:v>
                </c:pt>
                <c:pt idx="2">
                  <c:v>100</c:v>
                </c:pt>
                <c:pt idx="3">
                  <c:v>97.065597041683588</c:v>
                </c:pt>
                <c:pt idx="4">
                  <c:v>87.918686352253289</c:v>
                </c:pt>
                <c:pt idx="5">
                  <c:v>93.372896045778504</c:v>
                </c:pt>
                <c:pt idx="6">
                  <c:v>92.442715488407856</c:v>
                </c:pt>
                <c:pt idx="7">
                  <c:v>92.905129170158148</c:v>
                </c:pt>
                <c:pt idx="8">
                  <c:v>98.724850252622801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784-446A-B030-52239B12D5AE}"/>
            </c:ext>
          </c:extLst>
        </c:ser>
        <c:ser>
          <c:idx val="3"/>
          <c:order val="2"/>
          <c:tx>
            <c:strRef>
              <c:f>Historische_Emissionen!$A$37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Historische_Emissionen!$B$37:$J$37</c:f>
              <c:numCache>
                <c:formatCode>#,##0</c:formatCode>
                <c:ptCount val="9"/>
                <c:pt idx="0">
                  <c:v>99.946594072598032</c:v>
                </c:pt>
                <c:pt idx="1">
                  <c:v>98.671232612944195</c:v>
                </c:pt>
                <c:pt idx="2">
                  <c:v>100</c:v>
                </c:pt>
                <c:pt idx="3">
                  <c:v>93.811680758212717</c:v>
                </c:pt>
                <c:pt idx="4">
                  <c:v>80.445089767551508</c:v>
                </c:pt>
                <c:pt idx="5">
                  <c:v>77.272393253344333</c:v>
                </c:pt>
                <c:pt idx="6">
                  <c:v>78.937203877060838</c:v>
                </c:pt>
                <c:pt idx="7">
                  <c:v>77.891501835634827</c:v>
                </c:pt>
                <c:pt idx="8">
                  <c:v>73.511976928258392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784-446A-B030-52239B12D5AE}"/>
            </c:ext>
          </c:extLst>
        </c:ser>
        <c:ser>
          <c:idx val="4"/>
          <c:order val="3"/>
          <c:tx>
            <c:strRef>
              <c:f>Historische_Emissionen!$A$38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Historische_Emissionen!$B$38:$J$38</c:f>
              <c:numCache>
                <c:formatCode>#,##0</c:formatCode>
                <c:ptCount val="9"/>
                <c:pt idx="0">
                  <c:v>73.644505621340073</c:v>
                </c:pt>
                <c:pt idx="1">
                  <c:v>75.312505998682298</c:v>
                </c:pt>
                <c:pt idx="2">
                  <c:v>100</c:v>
                </c:pt>
                <c:pt idx="3">
                  <c:v>95.978854008934462</c:v>
                </c:pt>
                <c:pt idx="4">
                  <c:v>85.234128767203075</c:v>
                </c:pt>
                <c:pt idx="5">
                  <c:v>87.602791846624214</c:v>
                </c:pt>
                <c:pt idx="6">
                  <c:v>90.284548773740852</c:v>
                </c:pt>
                <c:pt idx="7">
                  <c:v>85.457944302577843</c:v>
                </c:pt>
                <c:pt idx="8">
                  <c:v>85.120661669912181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784-446A-B030-52239B12D5AE}"/>
            </c:ext>
          </c:extLst>
        </c:ser>
        <c:ser>
          <c:idx val="5"/>
          <c:order val="4"/>
          <c:tx>
            <c:strRef>
              <c:f>Historische_Emissionen!$A$39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Historische_Emissionen!$B$39:$J$39</c:f>
              <c:numCache>
                <c:formatCode>#,##0</c:formatCode>
                <c:ptCount val="9"/>
                <c:pt idx="0">
                  <c:v>103.65537628810841</c:v>
                </c:pt>
                <c:pt idx="1">
                  <c:v>100.27183835661621</c:v>
                </c:pt>
                <c:pt idx="2">
                  <c:v>100</c:v>
                </c:pt>
                <c:pt idx="3">
                  <c:v>98.021863892642784</c:v>
                </c:pt>
                <c:pt idx="4">
                  <c:v>87.726707698826729</c:v>
                </c:pt>
                <c:pt idx="5">
                  <c:v>91.263038525384971</c:v>
                </c:pt>
                <c:pt idx="6">
                  <c:v>83.375783349942097</c:v>
                </c:pt>
                <c:pt idx="7">
                  <c:v>81.858089341386858</c:v>
                </c:pt>
                <c:pt idx="8">
                  <c:v>81.061135517906337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D784-446A-B030-52239B12D5AE}"/>
            </c:ext>
          </c:extLst>
        </c:ser>
        <c:ser>
          <c:idx val="6"/>
          <c:order val="5"/>
          <c:tx>
            <c:strRef>
              <c:f>Historische_Emissionen!$A$40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Historische_Emissionen!$B$40:$J$40</c:f>
              <c:numCache>
                <c:formatCode>#,##0</c:formatCode>
                <c:ptCount val="9"/>
                <c:pt idx="0">
                  <c:v>105.10812799240092</c:v>
                </c:pt>
                <c:pt idx="1">
                  <c:v>101.99397441235402</c:v>
                </c:pt>
                <c:pt idx="2">
                  <c:v>100</c:v>
                </c:pt>
                <c:pt idx="3">
                  <c:v>101.03212911865545</c:v>
                </c:pt>
                <c:pt idx="4">
                  <c:v>86.169282730827049</c:v>
                </c:pt>
                <c:pt idx="5">
                  <c:v>97.381051964551972</c:v>
                </c:pt>
                <c:pt idx="6">
                  <c:v>96.37229514671229</c:v>
                </c:pt>
                <c:pt idx="7">
                  <c:v>89.404514970429531</c:v>
                </c:pt>
                <c:pt idx="8">
                  <c:v>94.014297385363605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D784-446A-B030-52239B12D5AE}"/>
            </c:ext>
          </c:extLst>
        </c:ser>
        <c:ser>
          <c:idx val="7"/>
          <c:order val="6"/>
          <c:tx>
            <c:strRef>
              <c:f>Historische_Emissionen!$A$41</c:f>
              <c:strCache>
                <c:ptCount val="1"/>
                <c:pt idx="0">
                  <c:v>Summe</c:v>
                </c:pt>
              </c:strCache>
            </c:strRef>
          </c:tx>
          <c:spPr>
            <a:ln w="19050"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Historische_Emissionen!$B$41:$J$41</c:f>
              <c:numCache>
                <c:formatCode>#,##0</c:formatCode>
                <c:ptCount val="9"/>
                <c:pt idx="0">
                  <c:v>93.040445084732781</c:v>
                </c:pt>
                <c:pt idx="1">
                  <c:v>94.043441648593145</c:v>
                </c:pt>
                <c:pt idx="2">
                  <c:v>100</c:v>
                </c:pt>
                <c:pt idx="3">
                  <c:v>97.024190436660092</c:v>
                </c:pt>
                <c:pt idx="4">
                  <c:v>85.940499609300247</c:v>
                </c:pt>
                <c:pt idx="5">
                  <c:v>88.673642000452674</c:v>
                </c:pt>
                <c:pt idx="6">
                  <c:v>87.090894250611939</c:v>
                </c:pt>
                <c:pt idx="7">
                  <c:v>85.394797388727284</c:v>
                </c:pt>
                <c:pt idx="8">
                  <c:v>86.355596959430443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D784-446A-B030-52239B12D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837744"/>
        <c:axId val="367838304"/>
      </c:lineChart>
      <c:catAx>
        <c:axId val="367837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7838304"/>
        <c:crosses val="autoZero"/>
        <c:auto val="1"/>
        <c:lblAlgn val="ctr"/>
        <c:lblOffset val="100"/>
        <c:noMultiLvlLbl val="0"/>
      </c:catAx>
      <c:valAx>
        <c:axId val="36783830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3678377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73613946404846"/>
          <c:y val="5.1291280897580109E-2"/>
          <c:w val="0.26668772884870878"/>
          <c:h val="0.84613538692278845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Historische_Emissionen!$A$45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Historische_Emissionen!$B$45:$J$45</c:f>
              <c:numCache>
                <c:formatCode>#,##0</c:formatCode>
                <c:ptCount val="9"/>
                <c:pt idx="0">
                  <c:v>99.82836556800423</c:v>
                </c:pt>
                <c:pt idx="1">
                  <c:v>104.40734719135558</c:v>
                </c:pt>
                <c:pt idx="2">
                  <c:v>104.56373883519909</c:v>
                </c:pt>
                <c:pt idx="3">
                  <c:v>105.24885488215017</c:v>
                </c:pt>
                <c:pt idx="4">
                  <c:v>93.934777348073069</c:v>
                </c:pt>
                <c:pt idx="5">
                  <c:v>100</c:v>
                </c:pt>
                <c:pt idx="6">
                  <c:v>91.968382059306236</c:v>
                </c:pt>
                <c:pt idx="7">
                  <c:v>90.54901130843534</c:v>
                </c:pt>
                <c:pt idx="8">
                  <c:v>93.893567601399269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DD6-4E25-B989-C1BF7D9F854A}"/>
            </c:ext>
          </c:extLst>
        </c:ser>
        <c:ser>
          <c:idx val="2"/>
          <c:order val="1"/>
          <c:tx>
            <c:strRef>
              <c:f>Historische_Emissionen!$A$46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Historische_Emissionen!$B$46:$J$46</c:f>
              <c:numCache>
                <c:formatCode>#,##0</c:formatCode>
                <c:ptCount val="9"/>
                <c:pt idx="0">
                  <c:v>104.43800991424264</c:v>
                </c:pt>
                <c:pt idx="1">
                  <c:v>105.10267650000173</c:v>
                </c:pt>
                <c:pt idx="2">
                  <c:v>107.09746000699431</c:v>
                </c:pt>
                <c:pt idx="3">
                  <c:v>103.95478897226734</c:v>
                </c:pt>
                <c:pt idx="4">
                  <c:v>94.158679954779217</c:v>
                </c:pt>
                <c:pt idx="5">
                  <c:v>100</c:v>
                </c:pt>
                <c:pt idx="6">
                  <c:v>99.003800249577139</c:v>
                </c:pt>
                <c:pt idx="7">
                  <c:v>99.499033557456514</c:v>
                </c:pt>
                <c:pt idx="8">
                  <c:v>105.73180701626772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DD6-4E25-B989-C1BF7D9F854A}"/>
            </c:ext>
          </c:extLst>
        </c:ser>
        <c:ser>
          <c:idx val="3"/>
          <c:order val="2"/>
          <c:tx>
            <c:strRef>
              <c:f>Historische_Emissionen!$A$47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Historische_Emissionen!$B$47:$J$47</c:f>
              <c:numCache>
                <c:formatCode>#,##0</c:formatCode>
                <c:ptCount val="9"/>
                <c:pt idx="0">
                  <c:v>129.34321025222337</c:v>
                </c:pt>
                <c:pt idx="1">
                  <c:v>127.69273534655758</c:v>
                </c:pt>
                <c:pt idx="2">
                  <c:v>129.41232410408361</c:v>
                </c:pt>
                <c:pt idx="3">
                  <c:v>121.40387635030648</c:v>
                </c:pt>
                <c:pt idx="4">
                  <c:v>104.10586029580475</c:v>
                </c:pt>
                <c:pt idx="5">
                  <c:v>100</c:v>
                </c:pt>
                <c:pt idx="6">
                  <c:v>102.15447012008323</c:v>
                </c:pt>
                <c:pt idx="7">
                  <c:v>100.80120280506996</c:v>
                </c:pt>
                <c:pt idx="8">
                  <c:v>95.133557837716907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DD6-4E25-B989-C1BF7D9F854A}"/>
            </c:ext>
          </c:extLst>
        </c:ser>
        <c:ser>
          <c:idx val="4"/>
          <c:order val="3"/>
          <c:tx>
            <c:strRef>
              <c:f>Historische_Emissionen!$A$48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Historische_Emissionen!$B$48:$J$48</c:f>
              <c:numCache>
                <c:formatCode>#,##0</c:formatCode>
                <c:ptCount val="9"/>
                <c:pt idx="0">
                  <c:v>84.066391114883146</c:v>
                </c:pt>
                <c:pt idx="1">
                  <c:v>85.970440451875248</c:v>
                </c:pt>
                <c:pt idx="2">
                  <c:v>114.15161308452468</c:v>
                </c:pt>
                <c:pt idx="3">
                  <c:v>109.56141007123968</c:v>
                </c:pt>
                <c:pt idx="4">
                  <c:v>97.296132886303184</c:v>
                </c:pt>
                <c:pt idx="5">
                  <c:v>100</c:v>
                </c:pt>
                <c:pt idx="6">
                  <c:v>103.06126879130962</c:v>
                </c:pt>
                <c:pt idx="7">
                  <c:v>97.551621930267245</c:v>
                </c:pt>
                <c:pt idx="8">
                  <c:v>97.166608364425457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DD6-4E25-B989-C1BF7D9F854A}"/>
            </c:ext>
          </c:extLst>
        </c:ser>
        <c:ser>
          <c:idx val="5"/>
          <c:order val="4"/>
          <c:tx>
            <c:strRef>
              <c:f>Historische_Emissionen!$A$49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Historische_Emissionen!$B$49:$J$49</c:f>
              <c:numCache>
                <c:formatCode>#,##0</c:formatCode>
                <c:ptCount val="9"/>
                <c:pt idx="0">
                  <c:v>113.57870389037781</c:v>
                </c:pt>
                <c:pt idx="1">
                  <c:v>109.87124686707142</c:v>
                </c:pt>
                <c:pt idx="2">
                  <c:v>109.57338437968491</c:v>
                </c:pt>
                <c:pt idx="3">
                  <c:v>107.40587369921705</c:v>
                </c:pt>
                <c:pt idx="4">
                  <c:v>96.125122630478046</c:v>
                </c:pt>
                <c:pt idx="5">
                  <c:v>100</c:v>
                </c:pt>
                <c:pt idx="6">
                  <c:v>91.357667569605383</c:v>
                </c:pt>
                <c:pt idx="7">
                  <c:v>89.694678879903705</c:v>
                </c:pt>
                <c:pt idx="8">
                  <c:v>88.821429603572795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6DD6-4E25-B989-C1BF7D9F854A}"/>
            </c:ext>
          </c:extLst>
        </c:ser>
        <c:ser>
          <c:idx val="6"/>
          <c:order val="5"/>
          <c:tx>
            <c:strRef>
              <c:f>Historische_Emissionen!$A$50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Historische_Emissionen!$B$50:$J$50</c:f>
              <c:numCache>
                <c:formatCode>#,##0</c:formatCode>
                <c:ptCount val="9"/>
                <c:pt idx="0">
                  <c:v>107.93488658415984</c:v>
                </c:pt>
                <c:pt idx="1">
                  <c:v>104.73698153258933</c:v>
                </c:pt>
                <c:pt idx="2">
                  <c:v>102.68938154046781</c:v>
                </c:pt>
                <c:pt idx="3">
                  <c:v>103.74926854911418</c:v>
                </c:pt>
                <c:pt idx="4">
                  <c:v>88.486703514143429</c:v>
                </c:pt>
                <c:pt idx="5">
                  <c:v>100</c:v>
                </c:pt>
                <c:pt idx="6">
                  <c:v>98.96411386251313</c:v>
                </c:pt>
                <c:pt idx="7">
                  <c:v>91.808943492389034</c:v>
                </c:pt>
                <c:pt idx="8">
                  <c:v>96.542700544646081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6DD6-4E25-B989-C1BF7D9F854A}"/>
            </c:ext>
          </c:extLst>
        </c:ser>
        <c:ser>
          <c:idx val="7"/>
          <c:order val="6"/>
          <c:tx>
            <c:strRef>
              <c:f>Historische_Emissionen!$A$51</c:f>
              <c:strCache>
                <c:ptCount val="1"/>
                <c:pt idx="0">
                  <c:v>Summe</c:v>
                </c:pt>
              </c:strCache>
            </c:strRef>
          </c:tx>
          <c:spPr>
            <a:ln w="19050"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Historische_Emissionen!$B$51:$J$51</c:f>
              <c:numCache>
                <c:formatCode>#,##0</c:formatCode>
                <c:ptCount val="9"/>
                <c:pt idx="0">
                  <c:v>104.92457847198587</c:v>
                </c:pt>
                <c:pt idx="1">
                  <c:v>106.05568862065353</c:v>
                </c:pt>
                <c:pt idx="2">
                  <c:v>112.7730831214641</c:v>
                </c:pt>
                <c:pt idx="3">
                  <c:v>109.41717092906231</c:v>
                </c:pt>
                <c:pt idx="4">
                  <c:v>96.917751059397702</c:v>
                </c:pt>
                <c:pt idx="5">
                  <c:v>100</c:v>
                </c:pt>
                <c:pt idx="6">
                  <c:v>98.215086564469004</c:v>
                </c:pt>
                <c:pt idx="7">
                  <c:v>96.302345840595279</c:v>
                </c:pt>
                <c:pt idx="8">
                  <c:v>97.385869139095021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6DD6-4E25-B989-C1BF7D9F8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844464"/>
        <c:axId val="367845024"/>
      </c:lineChart>
      <c:catAx>
        <c:axId val="36784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7845024"/>
        <c:crosses val="autoZero"/>
        <c:auto val="1"/>
        <c:lblAlgn val="ctr"/>
        <c:lblOffset val="100"/>
        <c:noMultiLvlLbl val="0"/>
      </c:catAx>
      <c:valAx>
        <c:axId val="36784502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36784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73613946404846"/>
          <c:y val="5.1291280897580109E-2"/>
          <c:w val="0.26668772884870878"/>
          <c:h val="0.84613538692278845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Historische_Emissionen!$A$55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Historische_Emissionen!$B$55:$J$55</c:f>
              <c:numCache>
                <c:formatCode>#,##0</c:formatCode>
                <c:ptCount val="9"/>
                <c:pt idx="0">
                  <c:v>106.32077161217219</c:v>
                </c:pt>
                <c:pt idx="1">
                  <c:v>111.19755043773587</c:v>
                </c:pt>
                <c:pt idx="2">
                  <c:v>111.36411311911935</c:v>
                </c:pt>
                <c:pt idx="3">
                  <c:v>112.0937861568503</c:v>
                </c:pt>
                <c:pt idx="4">
                  <c:v>100.04388985073902</c:v>
                </c:pt>
                <c:pt idx="5">
                  <c:v>106.50356840686254</c:v>
                </c:pt>
                <c:pt idx="6">
                  <c:v>97.949608699217919</c:v>
                </c:pt>
                <c:pt idx="7">
                  <c:v>96.437928200617137</c:v>
                </c:pt>
                <c:pt idx="8">
                  <c:v>100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29B-4764-9329-E8E01359BED5}"/>
            </c:ext>
          </c:extLst>
        </c:ser>
        <c:ser>
          <c:idx val="2"/>
          <c:order val="1"/>
          <c:tx>
            <c:strRef>
              <c:f>Historische_Emissionen!$A$56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Historische_Emissionen!$B$56:$J$56</c:f>
              <c:numCache>
                <c:formatCode>#,##0</c:formatCode>
                <c:ptCount val="9"/>
                <c:pt idx="0">
                  <c:v>98.776340688260419</c:v>
                </c:pt>
                <c:pt idx="1">
                  <c:v>99.404975159301685</c:v>
                </c:pt>
                <c:pt idx="2">
                  <c:v>101.29161983443305</c:v>
                </c:pt>
                <c:pt idx="3">
                  <c:v>98.319315545484827</c:v>
                </c:pt>
                <c:pt idx="4">
                  <c:v>89.05426154335197</c:v>
                </c:pt>
                <c:pt idx="5">
                  <c:v>94.578918891090325</c:v>
                </c:pt>
                <c:pt idx="6">
                  <c:v>93.636723937144637</c:v>
                </c:pt>
                <c:pt idx="7">
                  <c:v>94.105110245725541</c:v>
                </c:pt>
                <c:pt idx="8">
                  <c:v>100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29B-4764-9329-E8E01359BED5}"/>
            </c:ext>
          </c:extLst>
        </c:ser>
        <c:ser>
          <c:idx val="3"/>
          <c:order val="2"/>
          <c:tx>
            <c:strRef>
              <c:f>Historische_Emissionen!$A$57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Historische_Emissionen!$B$57:$J$57</c:f>
              <c:numCache>
                <c:formatCode>#,##0</c:formatCode>
                <c:ptCount val="9"/>
                <c:pt idx="0">
                  <c:v>135.95960583421345</c:v>
                </c:pt>
                <c:pt idx="1">
                  <c:v>134.22470287969423</c:v>
                </c:pt>
                <c:pt idx="2">
                  <c:v>136.03225512162695</c:v>
                </c:pt>
                <c:pt idx="3">
                  <c:v>127.61414490289815</c:v>
                </c:pt>
                <c:pt idx="4">
                  <c:v>109.43126974541748</c:v>
                </c:pt>
                <c:pt idx="5">
                  <c:v>105.11537912897622</c:v>
                </c:pt>
                <c:pt idx="6">
                  <c:v>107.3800585639222</c:v>
                </c:pt>
                <c:pt idx="7">
                  <c:v>105.95756649511749</c:v>
                </c:pt>
                <c:pt idx="8">
                  <c:v>100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29B-4764-9329-E8E01359BED5}"/>
            </c:ext>
          </c:extLst>
        </c:ser>
        <c:ser>
          <c:idx val="4"/>
          <c:order val="3"/>
          <c:tx>
            <c:strRef>
              <c:f>Historische_Emissionen!$A$58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Historische_Emissionen!$B$58:$J$58</c:f>
              <c:numCache>
                <c:formatCode>#,##0</c:formatCode>
                <c:ptCount val="9"/>
                <c:pt idx="0">
                  <c:v>86.517778617516768</c:v>
                </c:pt>
                <c:pt idx="1">
                  <c:v>88.477350294497526</c:v>
                </c:pt>
                <c:pt idx="2">
                  <c:v>117.48028978885073</c:v>
                </c:pt>
                <c:pt idx="3">
                  <c:v>112.75623582571417</c:v>
                </c:pt>
                <c:pt idx="4">
                  <c:v>100.13330147471234</c:v>
                </c:pt>
                <c:pt idx="5">
                  <c:v>102.91601372453781</c:v>
                </c:pt>
                <c:pt idx="6">
                  <c:v>106.06654953394701</c:v>
                </c:pt>
                <c:pt idx="7">
                  <c:v>100.39624061426306</c:v>
                </c:pt>
                <c:pt idx="8">
                  <c:v>100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29B-4764-9329-E8E01359BED5}"/>
            </c:ext>
          </c:extLst>
        </c:ser>
        <c:ser>
          <c:idx val="5"/>
          <c:order val="4"/>
          <c:tx>
            <c:strRef>
              <c:f>Historische_Emissionen!$A$59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Historische_Emissionen!$B$59:$J$59</c:f>
              <c:numCache>
                <c:formatCode>#,##0</c:formatCode>
                <c:ptCount val="9"/>
                <c:pt idx="0">
                  <c:v>127.87308693104977</c:v>
                </c:pt>
                <c:pt idx="1">
                  <c:v>123.699030017247</c:v>
                </c:pt>
                <c:pt idx="2">
                  <c:v>123.36368021628574</c:v>
                </c:pt>
                <c:pt idx="3">
                  <c:v>120.92337871456272</c:v>
                </c:pt>
                <c:pt idx="4">
                  <c:v>108.22289514985634</c:v>
                </c:pt>
                <c:pt idx="5">
                  <c:v>112.58544300212159</c:v>
                </c:pt>
                <c:pt idx="6">
                  <c:v>102.85543474964578</c:v>
                </c:pt>
                <c:pt idx="7">
                  <c:v>100.98315156626998</c:v>
                </c:pt>
                <c:pt idx="8">
                  <c:v>100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B29B-4764-9329-E8E01359BED5}"/>
            </c:ext>
          </c:extLst>
        </c:ser>
        <c:ser>
          <c:idx val="6"/>
          <c:order val="5"/>
          <c:tx>
            <c:strRef>
              <c:f>Historische_Emissionen!$A$60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Historische_Emissionen!$B$60:$J$60</c:f>
              <c:numCache>
                <c:formatCode>#,##0</c:formatCode>
                <c:ptCount val="9"/>
                <c:pt idx="0">
                  <c:v>111.80015265291388</c:v>
                </c:pt>
                <c:pt idx="1">
                  <c:v>108.48772713184442</c:v>
                </c:pt>
                <c:pt idx="2">
                  <c:v>106.36680034963307</c:v>
                </c:pt>
                <c:pt idx="3">
                  <c:v>107.46464306862373</c:v>
                </c:pt>
                <c:pt idx="4">
                  <c:v>91.655508925009656</c:v>
                </c:pt>
                <c:pt idx="5">
                  <c:v>103.58110912150742</c:v>
                </c:pt>
                <c:pt idx="6">
                  <c:v>102.50812677106258</c:v>
                </c:pt>
                <c:pt idx="7">
                  <c:v>95.096721942154574</c:v>
                </c:pt>
                <c:pt idx="8">
                  <c:v>100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B29B-4764-9329-E8E01359BED5}"/>
            </c:ext>
          </c:extLst>
        </c:ser>
        <c:ser>
          <c:idx val="7"/>
          <c:order val="6"/>
          <c:tx>
            <c:strRef>
              <c:f>Historische_Emissionen!$A$61</c:f>
              <c:strCache>
                <c:ptCount val="1"/>
                <c:pt idx="0">
                  <c:v>Summe</c:v>
                </c:pt>
              </c:strCache>
            </c:strRef>
          </c:tx>
          <c:spPr>
            <a:ln w="19050"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cat>
            <c:numRef>
              <c:f>Historische_Emissionen!$B$24:$J$24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Historische_Emissionen!$B$61:$J$61</c:f>
              <c:numCache>
                <c:formatCode>#,##0</c:formatCode>
                <c:ptCount val="9"/>
                <c:pt idx="0">
                  <c:v>107.74107106044657</c:v>
                </c:pt>
                <c:pt idx="1">
                  <c:v>108.90254362178101</c:v>
                </c:pt>
                <c:pt idx="2">
                  <c:v>115.8002532794483</c:v>
                </c:pt>
                <c:pt idx="3">
                  <c:v>112.35425826798664</c:v>
                </c:pt>
                <c:pt idx="4">
                  <c:v>99.519316217192952</c:v>
                </c:pt>
                <c:pt idx="5">
                  <c:v>102.68430202863543</c:v>
                </c:pt>
                <c:pt idx="6">
                  <c:v>100.8514761255451</c:v>
                </c:pt>
                <c:pt idx="7">
                  <c:v>98.88739166361789</c:v>
                </c:pt>
                <c:pt idx="8">
                  <c:v>100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B29B-4764-9329-E8E01359B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566256"/>
        <c:axId val="368566816"/>
      </c:lineChart>
      <c:catAx>
        <c:axId val="368566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8566816"/>
        <c:crosses val="autoZero"/>
        <c:auto val="1"/>
        <c:lblAlgn val="ctr"/>
        <c:lblOffset val="100"/>
        <c:noMultiLvlLbl val="0"/>
      </c:catAx>
      <c:valAx>
        <c:axId val="36856681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368566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73613946404846"/>
          <c:y val="5.1291280897580109E-2"/>
          <c:w val="0.26668772884870878"/>
          <c:h val="0.84613538692278845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de-DE" sz="1200" baseline="0"/>
              <a:t>EU-Cap von 2005-2050 pro Szenario (Mio. Zertifikate)</a:t>
            </a:r>
            <a:endParaRPr lang="de-DE" sz="1200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0047102617926226"/>
          <c:y val="0.16238422434333596"/>
          <c:w val="0.5141124331759418"/>
          <c:h val="0.66871001234391392"/>
        </c:manualLayout>
      </c:layout>
      <c:lineChart>
        <c:grouping val="standard"/>
        <c:varyColors val="0"/>
        <c:ser>
          <c:idx val="0"/>
          <c:order val="0"/>
          <c:tx>
            <c:strRef>
              <c:f>DEHst_1vs4!$A$21</c:f>
              <c:strCache>
                <c:ptCount val="1"/>
                <c:pt idx="0">
                  <c:v>Szenario 1 - Status Quo</c:v>
                </c:pt>
              </c:strCache>
            </c:strRef>
          </c:tx>
          <c:spPr>
            <a:ln>
              <a:solidFill>
                <a:schemeClr val="accent1"/>
              </a:solidFill>
              <a:prstDash val="sysDash"/>
            </a:ln>
          </c:spPr>
          <c:marker>
            <c:symbol val="none"/>
          </c:marker>
          <c:cat>
            <c:numRef>
              <c:f>DEHst_1vs4!$B$20:$K$20</c:f>
              <c:numCache>
                <c:formatCode>General</c:formatCode>
                <c:ptCount val="10"/>
                <c:pt idx="0">
                  <c:v>2005</c:v>
                </c:pt>
                <c:pt idx="1">
                  <c:v>2013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DEHst_1vs4!$B$21:$K$21</c:f>
              <c:numCache>
                <c:formatCode>#,##0</c:formatCode>
                <c:ptCount val="10"/>
                <c:pt idx="0">
                  <c:v>2635.9492667459372</c:v>
                </c:pt>
                <c:pt idx="1">
                  <c:v>2149.4252873563219</c:v>
                </c:pt>
                <c:pt idx="2">
                  <c:v>2074.6252873563217</c:v>
                </c:pt>
                <c:pt idx="3">
                  <c:v>1887.6252873563217</c:v>
                </c:pt>
                <c:pt idx="4">
                  <c:v>1700.6252873563217</c:v>
                </c:pt>
                <c:pt idx="5">
                  <c:v>1513.6252873563217</c:v>
                </c:pt>
                <c:pt idx="6">
                  <c:v>1326.6252873563217</c:v>
                </c:pt>
                <c:pt idx="7">
                  <c:v>1139.6252873563217</c:v>
                </c:pt>
                <c:pt idx="8">
                  <c:v>952.62528735632168</c:v>
                </c:pt>
                <c:pt idx="9">
                  <c:v>765.62528735632168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89C-4EA2-B215-738EE9DF61C8}"/>
            </c:ext>
          </c:extLst>
        </c:ser>
        <c:ser>
          <c:idx val="3"/>
          <c:order val="1"/>
          <c:tx>
            <c:strRef>
              <c:f>DEHst_1vs4!$A$25</c:f>
              <c:strCache>
                <c:ptCount val="1"/>
                <c:pt idx="0">
                  <c:v>Szenario 1 - Status Quo (aktualisiert)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DEHst_1vs4!$B$20:$K$20</c:f>
              <c:numCache>
                <c:formatCode>General</c:formatCode>
                <c:ptCount val="10"/>
                <c:pt idx="0">
                  <c:v>2005</c:v>
                </c:pt>
                <c:pt idx="1">
                  <c:v>2013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DEHst_1vs4!$B$25:$K$25</c:f>
              <c:numCache>
                <c:formatCode>#,##0</c:formatCode>
                <c:ptCount val="10"/>
                <c:pt idx="0">
                  <c:v>2635.9492667459372</c:v>
                </c:pt>
                <c:pt idx="1">
                  <c:v>2149.4252873563219</c:v>
                </c:pt>
                <c:pt idx="2">
                  <c:v>2074.6252873563217</c:v>
                </c:pt>
                <c:pt idx="3">
                  <c:v>1887.6252873563217</c:v>
                </c:pt>
                <c:pt idx="4">
                  <c:v>1651.1885057471263</c:v>
                </c:pt>
                <c:pt idx="5">
                  <c:v>1414.751724137931</c:v>
                </c:pt>
                <c:pt idx="6">
                  <c:v>1178.3149425287356</c:v>
                </c:pt>
                <c:pt idx="7">
                  <c:v>941.87816091954028</c:v>
                </c:pt>
                <c:pt idx="8">
                  <c:v>705.44137931034493</c:v>
                </c:pt>
                <c:pt idx="9">
                  <c:v>469.00459770114958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89C-4EA2-B215-738EE9DF61C8}"/>
            </c:ext>
          </c:extLst>
        </c:ser>
        <c:ser>
          <c:idx val="6"/>
          <c:order val="2"/>
          <c:tx>
            <c:strRef>
              <c:f>DEHst_1vs4!$A$29:$A$32</c:f>
              <c:strCache>
                <c:ptCount val="1"/>
                <c:pt idx="0">
                  <c:v>Szenario 4 - ETS ambitioniert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DEHst_1vs4!$B$20:$K$20</c:f>
              <c:numCache>
                <c:formatCode>General</c:formatCode>
                <c:ptCount val="10"/>
                <c:pt idx="0">
                  <c:v>2005</c:v>
                </c:pt>
                <c:pt idx="1">
                  <c:v>2013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DEHst_1vs4!$B$29:$K$29</c:f>
              <c:numCache>
                <c:formatCode>#,##0</c:formatCode>
                <c:ptCount val="10"/>
                <c:pt idx="0">
                  <c:v>2635.9492667459372</c:v>
                </c:pt>
                <c:pt idx="1">
                  <c:v>2149.4252873563219</c:v>
                </c:pt>
                <c:pt idx="2">
                  <c:v>2074.6252873563217</c:v>
                </c:pt>
                <c:pt idx="3">
                  <c:v>1371.6252873563217</c:v>
                </c:pt>
                <c:pt idx="4">
                  <c:v>1198.6252873563217</c:v>
                </c:pt>
                <c:pt idx="5">
                  <c:v>1025.6252873563217</c:v>
                </c:pt>
                <c:pt idx="6">
                  <c:v>852.62528735632168</c:v>
                </c:pt>
                <c:pt idx="7">
                  <c:v>679.62528735632168</c:v>
                </c:pt>
                <c:pt idx="8">
                  <c:v>506.62528735632168</c:v>
                </c:pt>
                <c:pt idx="9">
                  <c:v>333.62528735632168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89C-4EA2-B215-738EE9DF6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570736"/>
        <c:axId val="368571296"/>
      </c:lineChart>
      <c:catAx>
        <c:axId val="368570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368571296"/>
        <c:crosses val="autoZero"/>
        <c:auto val="1"/>
        <c:lblAlgn val="ctr"/>
        <c:lblOffset val="100"/>
        <c:noMultiLvlLbl val="0"/>
      </c:catAx>
      <c:valAx>
        <c:axId val="36857129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3685707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4322929856243816"/>
          <c:y val="0.14181656568122217"/>
          <c:w val="0.34114569823361596"/>
          <c:h val="0.58889716828569916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DEHst_1vs4!$B$73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DEHst_1vs4!$C$73:$L$73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0.95635447922924854</c:v>
                </c:pt>
                <c:pt idx="2">
                  <c:v>0.8667064936507729</c:v>
                </c:pt>
                <c:pt idx="3">
                  <c:v>0.78858437911739399</c:v>
                </c:pt>
                <c:pt idx="4">
                  <c:v>0.68980929177634043</c:v>
                </c:pt>
                <c:pt idx="5">
                  <c:v>0.59103420443528676</c:v>
                </c:pt>
                <c:pt idx="6">
                  <c:v>0.49225911709423303</c:v>
                </c:pt>
                <c:pt idx="7">
                  <c:v>0.39348402975317937</c:v>
                </c:pt>
                <c:pt idx="8">
                  <c:v>0.2947089424121257</c:v>
                </c:pt>
                <c:pt idx="9">
                  <c:v>0.19593385507107203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09D-4B09-A4B5-5B02F69FC35C}"/>
            </c:ext>
          </c:extLst>
        </c:ser>
        <c:ser>
          <c:idx val="1"/>
          <c:order val="1"/>
          <c:tx>
            <c:strRef>
              <c:f>DEHst_1vs4!$B$74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DEHst_1vs4!$C$74:$L$74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0.93372896045778508</c:v>
                </c:pt>
                <c:pt idx="2">
                  <c:v>0.95289225463831539</c:v>
                </c:pt>
                <c:pt idx="3">
                  <c:v>0.86700163491853344</c:v>
                </c:pt>
                <c:pt idx="4">
                  <c:v>0.75840429964064848</c:v>
                </c:pt>
                <c:pt idx="5">
                  <c:v>0.64980696436276342</c:v>
                </c:pt>
                <c:pt idx="6">
                  <c:v>0.54120962908487835</c:v>
                </c:pt>
                <c:pt idx="7">
                  <c:v>0.43261229380699323</c:v>
                </c:pt>
                <c:pt idx="8">
                  <c:v>0.32401495852910811</c:v>
                </c:pt>
                <c:pt idx="9">
                  <c:v>0.21541762325122304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09D-4B09-A4B5-5B02F69FC35C}"/>
            </c:ext>
          </c:extLst>
        </c:ser>
        <c:ser>
          <c:idx val="2"/>
          <c:order val="2"/>
          <c:tx>
            <c:strRef>
              <c:f>DEHst_1vs4!$B$75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DEHst_1vs4!$C$75:$L$75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0.7727239325334434</c:v>
                </c:pt>
                <c:pt idx="2">
                  <c:v>0.70953760131154997</c:v>
                </c:pt>
                <c:pt idx="3">
                  <c:v>0.64558218138396517</c:v>
                </c:pt>
                <c:pt idx="4">
                  <c:v>0.564719006762881</c:v>
                </c:pt>
                <c:pt idx="5">
                  <c:v>0.48385583214179678</c:v>
                </c:pt>
                <c:pt idx="6">
                  <c:v>0.40299265752071256</c:v>
                </c:pt>
                <c:pt idx="7">
                  <c:v>0.32212948289962834</c:v>
                </c:pt>
                <c:pt idx="8">
                  <c:v>0.24126630827854409</c:v>
                </c:pt>
                <c:pt idx="9">
                  <c:v>0.16040313365745987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09D-4B09-A4B5-5B02F69FC35C}"/>
            </c:ext>
          </c:extLst>
        </c:ser>
        <c:ser>
          <c:idx val="3"/>
          <c:order val="3"/>
          <c:tx>
            <c:strRef>
              <c:f>DEHst_1vs4!$B$76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DEHst_1vs4!$C$76:$L$76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0.87602791846624206</c:v>
                </c:pt>
                <c:pt idx="2">
                  <c:v>0.82158462643799213</c:v>
                </c:pt>
                <c:pt idx="3">
                  <c:v>0.74752965078516853</c:v>
                </c:pt>
                <c:pt idx="4">
                  <c:v>0.65389692294826529</c:v>
                </c:pt>
                <c:pt idx="5">
                  <c:v>0.56026419511136194</c:v>
                </c:pt>
                <c:pt idx="6">
                  <c:v>0.46663146727445853</c:v>
                </c:pt>
                <c:pt idx="7">
                  <c:v>0.37299873943755513</c:v>
                </c:pt>
                <c:pt idx="8">
                  <c:v>0.27936601160065178</c:v>
                </c:pt>
                <c:pt idx="9">
                  <c:v>0.1857332837637484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09D-4B09-A4B5-5B02F69FC35C}"/>
            </c:ext>
          </c:extLst>
        </c:ser>
        <c:ser>
          <c:idx val="4"/>
          <c:order val="4"/>
          <c:tx>
            <c:strRef>
              <c:f>DEHst_1vs4!$B$77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DEHst_1vs4!$C$77:$L$77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0.91263038525384976</c:v>
                </c:pt>
                <c:pt idx="2">
                  <c:v>0.78240208001883205</c:v>
                </c:pt>
                <c:pt idx="3">
                  <c:v>0.71187889211825339</c:v>
                </c:pt>
                <c:pt idx="4">
                  <c:v>0.62271164304855653</c:v>
                </c:pt>
                <c:pt idx="5">
                  <c:v>0.53354439397885955</c:v>
                </c:pt>
                <c:pt idx="6">
                  <c:v>0.44437714490916264</c:v>
                </c:pt>
                <c:pt idx="7">
                  <c:v>0.35520989583946566</c:v>
                </c:pt>
                <c:pt idx="8">
                  <c:v>0.26604264676976869</c:v>
                </c:pt>
                <c:pt idx="9">
                  <c:v>0.17687539770007168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109D-4B09-A4B5-5B02F69FC35C}"/>
            </c:ext>
          </c:extLst>
        </c:ser>
        <c:ser>
          <c:idx val="5"/>
          <c:order val="5"/>
          <c:tx>
            <c:strRef>
              <c:f>DEHst_1vs4!$B$78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DEHst_1vs4!$C$78:$L$78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0.97381051964551946</c:v>
                </c:pt>
                <c:pt idx="2">
                  <c:v>0.90742599836352944</c:v>
                </c:pt>
                <c:pt idx="3">
                  <c:v>0.82563355963826301</c:v>
                </c:pt>
                <c:pt idx="4">
                  <c:v>0.72221783251436311</c:v>
                </c:pt>
                <c:pt idx="5">
                  <c:v>0.61880210539046321</c:v>
                </c:pt>
                <c:pt idx="6">
                  <c:v>0.51538637826656331</c:v>
                </c:pt>
                <c:pt idx="7">
                  <c:v>0.41197065114266335</c:v>
                </c:pt>
                <c:pt idx="8">
                  <c:v>0.30855492401876339</c:v>
                </c:pt>
                <c:pt idx="9">
                  <c:v>0.20513919689486343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109D-4B09-A4B5-5B02F69FC35C}"/>
            </c:ext>
          </c:extLst>
        </c:ser>
        <c:ser>
          <c:idx val="6"/>
          <c:order val="6"/>
          <c:tx>
            <c:strRef>
              <c:f>DEHst_1vs4!$B$79</c:f>
              <c:strCache>
                <c:ptCount val="1"/>
                <c:pt idx="0">
                  <c:v>EU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DEHst_1vs4!$C$79:$L$79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0.88673642000452668</c:v>
                </c:pt>
                <c:pt idx="2">
                  <c:v>0.83350422185242257</c:v>
                </c:pt>
                <c:pt idx="3">
                  <c:v>0.75837485249771808</c:v>
                </c:pt>
                <c:pt idx="4">
                  <c:v>0.66338369584234458</c:v>
                </c:pt>
                <c:pt idx="5">
                  <c:v>0.56839253918697108</c:v>
                </c:pt>
                <c:pt idx="6">
                  <c:v>0.47340138253159769</c:v>
                </c:pt>
                <c:pt idx="7">
                  <c:v>0.37841022587622419</c:v>
                </c:pt>
                <c:pt idx="8">
                  <c:v>0.28341906922085075</c:v>
                </c:pt>
                <c:pt idx="9">
                  <c:v>0.18842791256547728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109D-4B09-A4B5-5B02F69FC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577456"/>
        <c:axId val="368578016"/>
      </c:lineChart>
      <c:catAx>
        <c:axId val="368577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8578016"/>
        <c:crosses val="autoZero"/>
        <c:auto val="1"/>
        <c:lblAlgn val="ctr"/>
        <c:lblOffset val="100"/>
        <c:noMultiLvlLbl val="0"/>
      </c:catAx>
      <c:valAx>
        <c:axId val="368578016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368577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587326741390031E-2"/>
          <c:y val="7.3102991321605568E-2"/>
          <c:w val="0.42065358182428458"/>
          <c:h val="0.69106543765517958"/>
        </c:manualLayout>
      </c:layout>
      <c:lineChart>
        <c:grouping val="standard"/>
        <c:varyColors val="0"/>
        <c:ser>
          <c:idx val="1"/>
          <c:order val="0"/>
          <c:tx>
            <c:strRef>
              <c:f>DEHst_1vs4!$A$73</c:f>
              <c:strCache>
                <c:ptCount val="1"/>
                <c:pt idx="0">
                  <c:v>Szenario 1 - Status Quo (aktualisiert)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DEHst_1vs4!$D$90:$H$90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DEHst_1vs4!$D$79:$H$79</c:f>
              <c:numCache>
                <c:formatCode>#,##0.00</c:formatCode>
                <c:ptCount val="5"/>
                <c:pt idx="0">
                  <c:v>0.88673642000452668</c:v>
                </c:pt>
                <c:pt idx="1">
                  <c:v>0.83350422185242257</c:v>
                </c:pt>
                <c:pt idx="2">
                  <c:v>0.75837485249771808</c:v>
                </c:pt>
                <c:pt idx="3">
                  <c:v>0.66338369584234458</c:v>
                </c:pt>
                <c:pt idx="4">
                  <c:v>0.56839253918697108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414-4CCF-B12E-E93DBAC9E12F}"/>
            </c:ext>
          </c:extLst>
        </c:ser>
        <c:ser>
          <c:idx val="0"/>
          <c:order val="1"/>
          <c:tx>
            <c:strRef>
              <c:f>DEHst_1vs4!$A$82</c:f>
              <c:strCache>
                <c:ptCount val="1"/>
                <c:pt idx="0">
                  <c:v>Szenario 4 - ETS ambitioniert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DEHst_1vs4!$D$90:$H$90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DEHst_1vs4!$D$88:$H$88</c:f>
              <c:numCache>
                <c:formatCode>#,##0.00</c:formatCode>
                <c:ptCount val="5"/>
                <c:pt idx="0">
                  <c:v>0.88673642000452668</c:v>
                </c:pt>
                <c:pt idx="1">
                  <c:v>0.83350422185242257</c:v>
                </c:pt>
                <c:pt idx="2">
                  <c:v>0.55106600443874743</c:v>
                </c:pt>
                <c:pt idx="3">
                  <c:v>0.48156129375230955</c:v>
                </c:pt>
                <c:pt idx="4">
                  <c:v>0.41205658306587173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414-4CCF-B12E-E93DBAC9E12F}"/>
            </c:ext>
          </c:extLst>
        </c:ser>
        <c:ser>
          <c:idx val="2"/>
          <c:order val="2"/>
          <c:tx>
            <c:strRef>
              <c:f>DEHst_1vs4!$A$91</c:f>
              <c:strCache>
                <c:ptCount val="1"/>
                <c:pt idx="0">
                  <c:v>Szenario 1 - Status Quo</c:v>
                </c:pt>
              </c:strCache>
            </c:strRef>
          </c:tx>
          <c:marker>
            <c:symbol val="none"/>
          </c:marker>
          <c:cat>
            <c:numRef>
              <c:f>DEHst_1vs4!$D$90:$H$90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DEHst_1vs4!$D$97:$H$97</c:f>
              <c:numCache>
                <c:formatCode>#,##0.00</c:formatCode>
                <c:ptCount val="5"/>
                <c:pt idx="0">
                  <c:v>0.88673642000452668</c:v>
                </c:pt>
                <c:pt idx="1">
                  <c:v>0.83350422185242257</c:v>
                </c:pt>
                <c:pt idx="2">
                  <c:v>0.75837485249771808</c:v>
                </c:pt>
                <c:pt idx="3">
                  <c:v>0.68324548314301359</c:v>
                </c:pt>
                <c:pt idx="4">
                  <c:v>0.6081161137883091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414-4CCF-B12E-E93DBAC9E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581936"/>
        <c:axId val="368582496"/>
      </c:lineChart>
      <c:catAx>
        <c:axId val="368581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8582496"/>
        <c:crosses val="autoZero"/>
        <c:auto val="1"/>
        <c:lblAlgn val="ctr"/>
        <c:lblOffset val="100"/>
        <c:noMultiLvlLbl val="0"/>
      </c:catAx>
      <c:valAx>
        <c:axId val="368582496"/>
        <c:scaling>
          <c:orientation val="minMax"/>
          <c:min val="0.4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3685819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2542190087874241"/>
          <c:y val="0.20206572643382226"/>
          <c:w val="0.45780661065165607"/>
          <c:h val="0.5958680286787780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DEHst_1vs4!$B$82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DEHst_1vs4!$C$82:$L$82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0.95635447922924854</c:v>
                </c:pt>
                <c:pt idx="2">
                  <c:v>0.8667064936507729</c:v>
                </c:pt>
                <c:pt idx="3">
                  <c:v>0.57301747484347176</c:v>
                </c:pt>
                <c:pt idx="4">
                  <c:v>0.50074407476713723</c:v>
                </c:pt>
                <c:pt idx="5">
                  <c:v>0.42847067469080286</c:v>
                </c:pt>
                <c:pt idx="6">
                  <c:v>0.35619727461446848</c:v>
                </c:pt>
                <c:pt idx="7">
                  <c:v>0.283923874538134</c:v>
                </c:pt>
                <c:pt idx="8">
                  <c:v>0.2116504744617996</c:v>
                </c:pt>
                <c:pt idx="9">
                  <c:v>0.13937707438546515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EF7-4DD0-A35A-4AB03FD7332D}"/>
            </c:ext>
          </c:extLst>
        </c:ser>
        <c:ser>
          <c:idx val="1"/>
          <c:order val="1"/>
          <c:tx>
            <c:strRef>
              <c:f>DEHst_1vs4!$B$83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DEHst_1vs4!$C$83:$L$83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0.93372896045778508</c:v>
                </c:pt>
                <c:pt idx="2">
                  <c:v>0.95289225463831539</c:v>
                </c:pt>
                <c:pt idx="3">
                  <c:v>0.62999864146715689</c:v>
                </c:pt>
                <c:pt idx="4">
                  <c:v>0.55053833552318743</c:v>
                </c:pt>
                <c:pt idx="5">
                  <c:v>0.47107802957921824</c:v>
                </c:pt>
                <c:pt idx="6">
                  <c:v>0.39161772363524894</c:v>
                </c:pt>
                <c:pt idx="7">
                  <c:v>0.31215741769127958</c:v>
                </c:pt>
                <c:pt idx="8">
                  <c:v>0.23269711174731028</c:v>
                </c:pt>
                <c:pt idx="9">
                  <c:v>0.15323680580334101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EF7-4DD0-A35A-4AB03FD7332D}"/>
            </c:ext>
          </c:extLst>
        </c:ser>
        <c:ser>
          <c:idx val="2"/>
          <c:order val="2"/>
          <c:tx>
            <c:strRef>
              <c:f>DEHst_1vs4!$B$84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DEHst_1vs4!$C$84:$L$84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0.7727239325334434</c:v>
                </c:pt>
                <c:pt idx="2">
                  <c:v>0.70953760131154997</c:v>
                </c:pt>
                <c:pt idx="3">
                  <c:v>0.46910626329501459</c:v>
                </c:pt>
                <c:pt idx="4">
                  <c:v>0.40993894967216871</c:v>
                </c:pt>
                <c:pt idx="5">
                  <c:v>0.35077163604932293</c:v>
                </c:pt>
                <c:pt idx="6">
                  <c:v>0.2916043224264771</c:v>
                </c:pt>
                <c:pt idx="7">
                  <c:v>0.23243700880363125</c:v>
                </c:pt>
                <c:pt idx="8">
                  <c:v>0.17326969518078542</c:v>
                </c:pt>
                <c:pt idx="9">
                  <c:v>0.11410238155793959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EF7-4DD0-A35A-4AB03FD7332D}"/>
            </c:ext>
          </c:extLst>
        </c:ser>
        <c:ser>
          <c:idx val="3"/>
          <c:order val="3"/>
          <c:tx>
            <c:strRef>
              <c:f>DEHst_1vs4!$B$85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DEHst_1vs4!$C$85:$L$85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0.87602791846624206</c:v>
                </c:pt>
                <c:pt idx="2">
                  <c:v>0.82158462643799213</c:v>
                </c:pt>
                <c:pt idx="3">
                  <c:v>0.54318543989288537</c:v>
                </c:pt>
                <c:pt idx="4">
                  <c:v>0.47467468701620891</c:v>
                </c:pt>
                <c:pt idx="5">
                  <c:v>0.40616393413953256</c:v>
                </c:pt>
                <c:pt idx="6">
                  <c:v>0.33765318126285621</c:v>
                </c:pt>
                <c:pt idx="7">
                  <c:v>0.26914242838617985</c:v>
                </c:pt>
                <c:pt idx="8">
                  <c:v>0.20063167550950348</c:v>
                </c:pt>
                <c:pt idx="9">
                  <c:v>0.13212092263282713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5EF7-4DD0-A35A-4AB03FD7332D}"/>
            </c:ext>
          </c:extLst>
        </c:ser>
        <c:ser>
          <c:idx val="4"/>
          <c:order val="4"/>
          <c:tx>
            <c:strRef>
              <c:f>DEHst_1vs4!$B$86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DEHst_1vs4!$C$86:$L$86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0.91263038525384976</c:v>
                </c:pt>
                <c:pt idx="2">
                  <c:v>0.78240208001883205</c:v>
                </c:pt>
                <c:pt idx="3">
                  <c:v>0.51728014903430419</c:v>
                </c:pt>
                <c:pt idx="4">
                  <c:v>0.45203677199259246</c:v>
                </c:pt>
                <c:pt idx="5">
                  <c:v>0.38679339495088078</c:v>
                </c:pt>
                <c:pt idx="6">
                  <c:v>0.32155001790916915</c:v>
                </c:pt>
                <c:pt idx="7">
                  <c:v>0.25630664086745747</c:v>
                </c:pt>
                <c:pt idx="8">
                  <c:v>0.19106326382574579</c:v>
                </c:pt>
                <c:pt idx="9">
                  <c:v>0.12581988678403408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5EF7-4DD0-A35A-4AB03FD7332D}"/>
            </c:ext>
          </c:extLst>
        </c:ser>
        <c:ser>
          <c:idx val="5"/>
          <c:order val="5"/>
          <c:tx>
            <c:strRef>
              <c:f>DEHst_1vs4!$B$87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DEHst_1vs4!$C$87:$L$87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0.97381051964551946</c:v>
                </c:pt>
                <c:pt idx="2">
                  <c:v>0.90742599836352944</c:v>
                </c:pt>
                <c:pt idx="3">
                  <c:v>0.59993891588298276</c:v>
                </c:pt>
                <c:pt idx="4">
                  <c:v>0.52426997524409991</c:v>
                </c:pt>
                <c:pt idx="5">
                  <c:v>0.44860103460521716</c:v>
                </c:pt>
                <c:pt idx="6">
                  <c:v>0.37293209396633448</c:v>
                </c:pt>
                <c:pt idx="7">
                  <c:v>0.29726315332745168</c:v>
                </c:pt>
                <c:pt idx="8">
                  <c:v>0.22159421268856894</c:v>
                </c:pt>
                <c:pt idx="9">
                  <c:v>0.14592527204968617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5EF7-4DD0-A35A-4AB03FD7332D}"/>
            </c:ext>
          </c:extLst>
        </c:ser>
        <c:ser>
          <c:idx val="6"/>
          <c:order val="6"/>
          <c:tx>
            <c:strRef>
              <c:f>DEHst_1vs4!$B$88</c:f>
              <c:strCache>
                <c:ptCount val="1"/>
                <c:pt idx="0">
                  <c:v>EU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DEHst_1vs4!$C$88:$L$88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0.88673642000452668</c:v>
                </c:pt>
                <c:pt idx="2">
                  <c:v>0.83350422185242257</c:v>
                </c:pt>
                <c:pt idx="3">
                  <c:v>0.55106600443874743</c:v>
                </c:pt>
                <c:pt idx="4">
                  <c:v>0.48156129375230955</c:v>
                </c:pt>
                <c:pt idx="5">
                  <c:v>0.41205658306587173</c:v>
                </c:pt>
                <c:pt idx="6">
                  <c:v>0.34255187237943391</c:v>
                </c:pt>
                <c:pt idx="7">
                  <c:v>0.27304716169299603</c:v>
                </c:pt>
                <c:pt idx="8">
                  <c:v>0.20354245100655821</c:v>
                </c:pt>
                <c:pt idx="9">
                  <c:v>0.13403774032012039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5EF7-4DD0-A35A-4AB03FD73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588656"/>
        <c:axId val="368589216"/>
      </c:lineChart>
      <c:catAx>
        <c:axId val="368588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8589216"/>
        <c:crosses val="autoZero"/>
        <c:auto val="1"/>
        <c:lblAlgn val="ctr"/>
        <c:lblOffset val="100"/>
        <c:noMultiLvlLbl val="0"/>
      </c:catAx>
      <c:valAx>
        <c:axId val="368589216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368588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DEHst_1vs4!$B$91</c:f>
              <c:strCache>
                <c:ptCount val="1"/>
                <c:pt idx="0">
                  <c:v>EUN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DEHst_1vs4!$C$91:$L$91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0.95635447922924854</c:v>
                </c:pt>
                <c:pt idx="2">
                  <c:v>0.8667064936507729</c:v>
                </c:pt>
                <c:pt idx="3">
                  <c:v>0.78858437911739399</c:v>
                </c:pt>
                <c:pt idx="4">
                  <c:v>0.71046226458401518</c:v>
                </c:pt>
                <c:pt idx="5">
                  <c:v>0.63234015005063637</c:v>
                </c:pt>
                <c:pt idx="6">
                  <c:v>0.55421803551725757</c:v>
                </c:pt>
                <c:pt idx="7">
                  <c:v>0.47609592098387871</c:v>
                </c:pt>
                <c:pt idx="8">
                  <c:v>0.3979738064504999</c:v>
                </c:pt>
                <c:pt idx="9">
                  <c:v>0.31985169191712109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E86-4345-A1D6-B7297EBC4D0A}"/>
            </c:ext>
          </c:extLst>
        </c:ser>
        <c:ser>
          <c:idx val="1"/>
          <c:order val="1"/>
          <c:tx>
            <c:strRef>
              <c:f>DEHst_1vs4!$B$92</c:f>
              <c:strCache>
                <c:ptCount val="1"/>
                <c:pt idx="0">
                  <c:v>DEU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DEHst_1vs4!$C$92:$L$92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0.93372896045778508</c:v>
                </c:pt>
                <c:pt idx="2">
                  <c:v>0.95289225463831539</c:v>
                </c:pt>
                <c:pt idx="3">
                  <c:v>0.86700163491853344</c:v>
                </c:pt>
                <c:pt idx="4">
                  <c:v>0.78111101519875159</c:v>
                </c:pt>
                <c:pt idx="5">
                  <c:v>0.69522039547896974</c:v>
                </c:pt>
                <c:pt idx="6">
                  <c:v>0.6093297757591879</c:v>
                </c:pt>
                <c:pt idx="7">
                  <c:v>0.52343915603940605</c:v>
                </c:pt>
                <c:pt idx="8">
                  <c:v>0.43754853631962426</c:v>
                </c:pt>
                <c:pt idx="9">
                  <c:v>0.35165791659984236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E86-4345-A1D6-B7297EBC4D0A}"/>
            </c:ext>
          </c:extLst>
        </c:ser>
        <c:ser>
          <c:idx val="2"/>
          <c:order val="2"/>
          <c:tx>
            <c:strRef>
              <c:f>DEHst_1vs4!$B$93</c:f>
              <c:strCache>
                <c:ptCount val="1"/>
                <c:pt idx="0">
                  <c:v>EUS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DEHst_1vs4!$C$93:$L$93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0.7727239325334434</c:v>
                </c:pt>
                <c:pt idx="2">
                  <c:v>0.70953760131154997</c:v>
                </c:pt>
                <c:pt idx="3">
                  <c:v>0.64558218138396517</c:v>
                </c:pt>
                <c:pt idx="4">
                  <c:v>0.58162676145638037</c:v>
                </c:pt>
                <c:pt idx="5">
                  <c:v>0.51767134152879557</c:v>
                </c:pt>
                <c:pt idx="6">
                  <c:v>0.45371592160121077</c:v>
                </c:pt>
                <c:pt idx="7">
                  <c:v>0.38976050167362597</c:v>
                </c:pt>
                <c:pt idx="8">
                  <c:v>0.32580508174604117</c:v>
                </c:pt>
                <c:pt idx="9">
                  <c:v>0.26184966181845637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E86-4345-A1D6-B7297EBC4D0A}"/>
            </c:ext>
          </c:extLst>
        </c:ser>
        <c:ser>
          <c:idx val="3"/>
          <c:order val="3"/>
          <c:tx>
            <c:strRef>
              <c:f>DEHst_1vs4!$B$94</c:f>
              <c:strCache>
                <c:ptCount val="1"/>
                <c:pt idx="0">
                  <c:v>EUE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DEHst_1vs4!$C$94:$L$94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0.87602791846624206</c:v>
                </c:pt>
                <c:pt idx="2">
                  <c:v>0.82158462643799213</c:v>
                </c:pt>
                <c:pt idx="3">
                  <c:v>0.74752965078516853</c:v>
                </c:pt>
                <c:pt idx="4">
                  <c:v>0.67347467513234505</c:v>
                </c:pt>
                <c:pt idx="5">
                  <c:v>0.59941969947952145</c:v>
                </c:pt>
                <c:pt idx="6">
                  <c:v>0.52536472382669785</c:v>
                </c:pt>
                <c:pt idx="7">
                  <c:v>0.45130974817387426</c:v>
                </c:pt>
                <c:pt idx="8">
                  <c:v>0.37725477252105066</c:v>
                </c:pt>
                <c:pt idx="9">
                  <c:v>0.30319979686822707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8E86-4345-A1D6-B7297EBC4D0A}"/>
            </c:ext>
          </c:extLst>
        </c:ser>
        <c:ser>
          <c:idx val="4"/>
          <c:order val="4"/>
          <c:tx>
            <c:strRef>
              <c:f>DEHst_1vs4!$B$95</c:f>
              <c:strCache>
                <c:ptCount val="1"/>
                <c:pt idx="0">
                  <c:v>FRA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DEHst_1vs4!$C$95:$L$95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0.91263038525384976</c:v>
                </c:pt>
                <c:pt idx="2">
                  <c:v>0.78240208001883205</c:v>
                </c:pt>
                <c:pt idx="3">
                  <c:v>0.71187889211825339</c:v>
                </c:pt>
                <c:pt idx="4">
                  <c:v>0.64135570421767485</c:v>
                </c:pt>
                <c:pt idx="5">
                  <c:v>0.57083251631709642</c:v>
                </c:pt>
                <c:pt idx="6">
                  <c:v>0.50030932841651798</c:v>
                </c:pt>
                <c:pt idx="7">
                  <c:v>0.42978614051593939</c:v>
                </c:pt>
                <c:pt idx="8">
                  <c:v>0.35926295261536084</c:v>
                </c:pt>
                <c:pt idx="9">
                  <c:v>0.2887397647147823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8E86-4345-A1D6-B7297EBC4D0A}"/>
            </c:ext>
          </c:extLst>
        </c:ser>
        <c:ser>
          <c:idx val="5"/>
          <c:order val="5"/>
          <c:tx>
            <c:strRef>
              <c:f>DEHst_1vs4!$B$96</c:f>
              <c:strCache>
                <c:ptCount val="1"/>
                <c:pt idx="0">
                  <c:v>AUT</c:v>
                </c:pt>
              </c:strCache>
            </c:strRef>
          </c:tx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DEHst_1vs4!$C$96:$L$96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0.97381051964551946</c:v>
                </c:pt>
                <c:pt idx="2">
                  <c:v>0.90742599836352944</c:v>
                </c:pt>
                <c:pt idx="3">
                  <c:v>0.82563355963826301</c:v>
                </c:pt>
                <c:pt idx="4">
                  <c:v>0.74384112091299681</c:v>
                </c:pt>
                <c:pt idx="5">
                  <c:v>0.66204868218773039</c:v>
                </c:pt>
                <c:pt idx="6">
                  <c:v>0.58025624346246407</c:v>
                </c:pt>
                <c:pt idx="7">
                  <c:v>0.49846380473719776</c:v>
                </c:pt>
                <c:pt idx="8">
                  <c:v>0.41667136601193139</c:v>
                </c:pt>
                <c:pt idx="9">
                  <c:v>0.33487892728666507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8E86-4345-A1D6-B7297EBC4D0A}"/>
            </c:ext>
          </c:extLst>
        </c:ser>
        <c:ser>
          <c:idx val="6"/>
          <c:order val="6"/>
          <c:tx>
            <c:strRef>
              <c:f>DEHst_1vs4!$B$97</c:f>
              <c:strCache>
                <c:ptCount val="1"/>
                <c:pt idx="0">
                  <c:v>EU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cat>
            <c:numRef>
              <c:f>DEHst_1vs4!$C$72:$L$72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DEHst_1vs4!$C$97:$L$97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0.88673642000452668</c:v>
                </c:pt>
                <c:pt idx="2">
                  <c:v>0.83350422185242257</c:v>
                </c:pt>
                <c:pt idx="3">
                  <c:v>0.75837485249771808</c:v>
                </c:pt>
                <c:pt idx="4">
                  <c:v>0.68324548314301359</c:v>
                </c:pt>
                <c:pt idx="5">
                  <c:v>0.6081161137883091</c:v>
                </c:pt>
                <c:pt idx="6">
                  <c:v>0.53298674443360461</c:v>
                </c:pt>
                <c:pt idx="7">
                  <c:v>0.45785737507890012</c:v>
                </c:pt>
                <c:pt idx="8">
                  <c:v>0.38272800572419563</c:v>
                </c:pt>
                <c:pt idx="9">
                  <c:v>0.30759863636949114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8E86-4345-A1D6-B7297EBC4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595376"/>
        <c:axId val="368595936"/>
      </c:lineChart>
      <c:catAx>
        <c:axId val="368595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8595936"/>
        <c:crosses val="autoZero"/>
        <c:auto val="1"/>
        <c:lblAlgn val="ctr"/>
        <c:lblOffset val="100"/>
        <c:noMultiLvlLbl val="0"/>
      </c:catAx>
      <c:valAx>
        <c:axId val="368595936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368595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587326741390031E-2"/>
          <c:y val="7.3102991321605568E-2"/>
          <c:w val="0.42065358182428458"/>
          <c:h val="0.69106543765517958"/>
        </c:manualLayout>
      </c:layout>
      <c:lineChart>
        <c:grouping val="standard"/>
        <c:varyColors val="0"/>
        <c:ser>
          <c:idx val="1"/>
          <c:order val="0"/>
          <c:tx>
            <c:strRef>
              <c:f>[3]co2pfad_BMWi!$A$112</c:f>
              <c:strCache>
                <c:ptCount val="1"/>
                <c:pt idx="0">
                  <c:v>Basisfall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[3]co2pfad_BMWi!$D$90:$H$90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[3]co2pfad_BMWi!$C$112:$G$112</c:f>
              <c:numCache>
                <c:formatCode>General</c:formatCode>
                <c:ptCount val="5"/>
                <c:pt idx="0">
                  <c:v>2037.225287356327</c:v>
                </c:pt>
                <c:pt idx="1">
                  <c:v>1962.4252873563269</c:v>
                </c:pt>
                <c:pt idx="2">
                  <c:v>1775.4252873563264</c:v>
                </c:pt>
                <c:pt idx="3">
                  <c:v>1588.425287356326</c:v>
                </c:pt>
                <c:pt idx="4">
                  <c:v>1401.4252873563255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4FD-4B63-9128-B5306E44FDF2}"/>
            </c:ext>
          </c:extLst>
        </c:ser>
        <c:ser>
          <c:idx val="2"/>
          <c:order val="1"/>
          <c:tx>
            <c:strRef>
              <c:f>[3]co2pfad_BMWi!$A$115</c:f>
              <c:strCache>
                <c:ptCount val="1"/>
                <c:pt idx="0">
                  <c:v>Status-Quo</c:v>
                </c:pt>
              </c:strCache>
            </c:strRef>
          </c:tx>
          <c:spPr>
            <a:ln>
              <a:solidFill>
                <a:schemeClr val="accent1"/>
              </a:solidFill>
              <a:prstDash val="sysDash"/>
            </a:ln>
          </c:spPr>
          <c:marker>
            <c:symbol val="none"/>
          </c:marker>
          <c:cat>
            <c:numRef>
              <c:f>[3]co2pfad_BMWi!$D$90:$H$90</c:f>
              <c:numCache>
                <c:formatCode>General</c:formatCode>
                <c:ptCount val="5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[3]co2pfad_BMWi!$C$115:$G$115</c:f>
              <c:numCache>
                <c:formatCode>General</c:formatCode>
                <c:ptCount val="5"/>
                <c:pt idx="0">
                  <c:v>2037.225287356327</c:v>
                </c:pt>
                <c:pt idx="1">
                  <c:v>1962.4252873563269</c:v>
                </c:pt>
                <c:pt idx="2">
                  <c:v>1775.4252873563264</c:v>
                </c:pt>
                <c:pt idx="3">
                  <c:v>1538.9885057471304</c:v>
                </c:pt>
                <c:pt idx="4">
                  <c:v>1302.5517241379343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4FD-4B63-9128-B5306E44F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353728"/>
        <c:axId val="369354288"/>
      </c:lineChart>
      <c:catAx>
        <c:axId val="369353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9354288"/>
        <c:crosses val="autoZero"/>
        <c:auto val="1"/>
        <c:lblAlgn val="ctr"/>
        <c:lblOffset val="100"/>
        <c:noMultiLvlLbl val="0"/>
      </c:catAx>
      <c:valAx>
        <c:axId val="369354288"/>
        <c:scaling>
          <c:orientation val="minMax"/>
          <c:min val="1000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3693537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2542190087874241"/>
          <c:y val="0.20206572643382226"/>
          <c:w val="0.45780661065165607"/>
          <c:h val="0.5958680286787780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783540709288468E-2"/>
          <c:y val="5.1400554097404488E-2"/>
          <c:w val="0.54982612668297004"/>
          <c:h val="0.79523549139690874"/>
        </c:manualLayout>
      </c:layout>
      <c:barChart>
        <c:barDir val="col"/>
        <c:grouping val="clustered"/>
        <c:varyColors val="0"/>
        <c:ser>
          <c:idx val="0"/>
          <c:order val="3"/>
          <c:tx>
            <c:strRef>
              <c:f>Umlaufmenge!$C$5</c:f>
              <c:strCache>
                <c:ptCount val="1"/>
                <c:pt idx="0">
                  <c:v>Umlaufmenge</c:v>
                </c:pt>
              </c:strCache>
            </c:strRef>
          </c:tx>
          <c:invertIfNegative val="0"/>
          <c:cat>
            <c:numRef>
              <c:f>Umlaufmenge!$B$6:$B$23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Umlaufmenge!$C$6:$C$23</c:f>
              <c:numCache>
                <c:formatCode>#,##0</c:formatCode>
                <c:ptCount val="18"/>
                <c:pt idx="0">
                  <c:v>2199.4292489999998</c:v>
                </c:pt>
                <c:pt idx="1">
                  <c:v>2025.942022</c:v>
                </c:pt>
                <c:pt idx="2">
                  <c:v>1874.728824</c:v>
                </c:pt>
                <c:pt idx="3">
                  <c:v>1464.3386599999999</c:v>
                </c:pt>
                <c:pt idx="4">
                  <c:v>1234.250106</c:v>
                </c:pt>
                <c:pt idx="5">
                  <c:v>984.53421100000003</c:v>
                </c:pt>
                <c:pt idx="6">
                  <c:v>596.89391499999999</c:v>
                </c:pt>
                <c:pt idx="7">
                  <c:v>307.71187400000002</c:v>
                </c:pt>
                <c:pt idx="8">
                  <c:v>270.68793399999998</c:v>
                </c:pt>
                <c:pt idx="9">
                  <c:v>243.80791300000001</c:v>
                </c:pt>
                <c:pt idx="10">
                  <c:v>227.071811</c:v>
                </c:pt>
                <c:pt idx="11">
                  <c:v>220.47962799999999</c:v>
                </c:pt>
                <c:pt idx="12">
                  <c:v>224.031364</c:v>
                </c:pt>
                <c:pt idx="13">
                  <c:v>233.20301900000001</c:v>
                </c:pt>
                <c:pt idx="14">
                  <c:v>247.99459300000001</c:v>
                </c:pt>
                <c:pt idx="15">
                  <c:v>268.40608600000002</c:v>
                </c:pt>
                <c:pt idx="16">
                  <c:v>294.43749800000001</c:v>
                </c:pt>
                <c:pt idx="17">
                  <c:v>326.08882899999998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D06-4B3F-B0D6-E235D3929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9358768"/>
        <c:axId val="369359328"/>
      </c:barChart>
      <c:lineChart>
        <c:grouping val="standard"/>
        <c:varyColors val="0"/>
        <c:ser>
          <c:idx val="2"/>
          <c:order val="0"/>
          <c:tx>
            <c:strRef>
              <c:f>Umlaufmenge!$I$5</c:f>
              <c:strCache>
                <c:ptCount val="1"/>
                <c:pt idx="0">
                  <c:v>Meilensteine</c:v>
                </c:pt>
              </c:strCache>
            </c:strRef>
          </c:tx>
          <c:spPr>
            <a:ln>
              <a:noFill/>
            </a:ln>
          </c:spPr>
          <c:marker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</c:spPr>
          </c:marker>
          <c:cat>
            <c:numRef>
              <c:f>Umlaufmenge!$B$6:$B$23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Umlaufmenge!$I$6:$I$23</c:f>
              <c:numCache>
                <c:formatCode>General</c:formatCode>
                <c:ptCount val="18"/>
                <c:pt idx="0" formatCode="#,##0">
                  <c:v>3759.1395769999999</c:v>
                </c:pt>
                <c:pt idx="2" formatCode="#,##0">
                  <c:v>3462.9388239999998</c:v>
                </c:pt>
                <c:pt idx="7" formatCode="#,##0">
                  <c:v>1871.331874</c:v>
                </c:pt>
                <c:pt idx="12" formatCode="#,##0">
                  <c:v>1495.0313639999999</c:v>
                </c:pt>
                <c:pt idx="17" formatCode="#,##0">
                  <c:v>1327.088829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D06-4B3F-B0D6-E235D3929AF2}"/>
            </c:ext>
          </c:extLst>
        </c:ser>
        <c:ser>
          <c:idx val="1"/>
          <c:order val="1"/>
          <c:tx>
            <c:strRef>
              <c:f>Umlaufmenge!$D$5</c:f>
              <c:strCache>
                <c:ptCount val="1"/>
                <c:pt idx="0">
                  <c:v>Emissionspfad TIMES-PanEU</c:v>
                </c:pt>
              </c:strCache>
            </c:strRef>
          </c:tx>
          <c:marker>
            <c:symbol val="square"/>
            <c:size val="4"/>
          </c:marker>
          <c:cat>
            <c:numRef>
              <c:f>Umlaufmenge!$B$6:$B$23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Umlaufmenge!$D$6:$D$23</c:f>
              <c:numCache>
                <c:formatCode>#,##0</c:formatCode>
                <c:ptCount val="18"/>
                <c:pt idx="0">
                  <c:v>1959.7103279999999</c:v>
                </c:pt>
                <c:pt idx="1">
                  <c:v>1812</c:v>
                </c:pt>
                <c:pt idx="2">
                  <c:v>1988.21</c:v>
                </c:pt>
                <c:pt idx="3">
                  <c:v>1983.2919999999999</c:v>
                </c:pt>
                <c:pt idx="4">
                  <c:v>1978.374</c:v>
                </c:pt>
                <c:pt idx="5">
                  <c:v>1973.4559999999999</c:v>
                </c:pt>
                <c:pt idx="6">
                  <c:v>1968.538</c:v>
                </c:pt>
                <c:pt idx="7">
                  <c:v>1963.62</c:v>
                </c:pt>
                <c:pt idx="8">
                  <c:v>1905.096</c:v>
                </c:pt>
                <c:pt idx="9">
                  <c:v>1846.5719999999999</c:v>
                </c:pt>
                <c:pt idx="10">
                  <c:v>1788.048</c:v>
                </c:pt>
                <c:pt idx="11">
                  <c:v>1729.5239999999999</c:v>
                </c:pt>
                <c:pt idx="12">
                  <c:v>1671</c:v>
                </c:pt>
                <c:pt idx="13">
                  <c:v>1617</c:v>
                </c:pt>
                <c:pt idx="14">
                  <c:v>1563</c:v>
                </c:pt>
                <c:pt idx="15">
                  <c:v>1509</c:v>
                </c:pt>
                <c:pt idx="16">
                  <c:v>1455</c:v>
                </c:pt>
                <c:pt idx="17">
                  <c:v>1401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D06-4B3F-B0D6-E235D3929AF2}"/>
            </c:ext>
          </c:extLst>
        </c:ser>
        <c:ser>
          <c:idx val="3"/>
          <c:order val="2"/>
          <c:tx>
            <c:strRef>
              <c:f>Umlaufmenge!$F$5</c:f>
              <c:strCache>
                <c:ptCount val="1"/>
                <c:pt idx="0">
                  <c:v>Effektives CO2-Cap (=Emissionen + Umlaufmenge - Knappheitskorrektur)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star"/>
            <c:size val="5"/>
            <c:spPr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cat>
            <c:numRef>
              <c:f>Umlaufmenge!$B$6:$B$23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Umlaufmenge!$F$6:$F$23</c:f>
              <c:numCache>
                <c:formatCode>#,##0</c:formatCode>
                <c:ptCount val="18"/>
                <c:pt idx="0">
                  <c:v>3759.1395769999999</c:v>
                </c:pt>
                <c:pt idx="1">
                  <c:v>3437.9420220000002</c:v>
                </c:pt>
                <c:pt idx="2">
                  <c:v>3462.9388239999998</c:v>
                </c:pt>
                <c:pt idx="3">
                  <c:v>3047.6306599999998</c:v>
                </c:pt>
                <c:pt idx="4">
                  <c:v>2812.6241060000002</c:v>
                </c:pt>
                <c:pt idx="5">
                  <c:v>2557.9902109999998</c:v>
                </c:pt>
                <c:pt idx="6">
                  <c:v>2165.4319150000001</c:v>
                </c:pt>
                <c:pt idx="7">
                  <c:v>1871.331874</c:v>
                </c:pt>
                <c:pt idx="8">
                  <c:v>1775.783934</c:v>
                </c:pt>
                <c:pt idx="9">
                  <c:v>1690.379913</c:v>
                </c:pt>
                <c:pt idx="10">
                  <c:v>1615.119811</c:v>
                </c:pt>
                <c:pt idx="11">
                  <c:v>1550.0036279999999</c:v>
                </c:pt>
                <c:pt idx="12">
                  <c:v>1495.0313639999999</c:v>
                </c:pt>
                <c:pt idx="13">
                  <c:v>1450.203019</c:v>
                </c:pt>
                <c:pt idx="14">
                  <c:v>1410.9945929999999</c:v>
                </c:pt>
                <c:pt idx="15">
                  <c:v>1377.406086</c:v>
                </c:pt>
                <c:pt idx="16">
                  <c:v>1349.437498</c:v>
                </c:pt>
                <c:pt idx="17">
                  <c:v>1327.088829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ED06-4B3F-B0D6-E235D3929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9358768"/>
        <c:axId val="369359328"/>
      </c:lineChart>
      <c:catAx>
        <c:axId val="369358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369359328"/>
        <c:crosses val="autoZero"/>
        <c:auto val="1"/>
        <c:lblAlgn val="ctr"/>
        <c:lblOffset val="100"/>
        <c:noMultiLvlLbl val="0"/>
      </c:catAx>
      <c:valAx>
        <c:axId val="36935932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3693587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4657440004299804"/>
          <c:y val="0.12269685039370079"/>
          <c:w val="0.3534255999570019"/>
          <c:h val="0.62034703995333917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783540709288468E-2"/>
          <c:y val="5.1400554097404488E-2"/>
          <c:w val="0.54982612668297004"/>
          <c:h val="0.79523549139690874"/>
        </c:manualLayout>
      </c:layout>
      <c:barChart>
        <c:barDir val="col"/>
        <c:grouping val="clustered"/>
        <c:varyColors val="0"/>
        <c:ser>
          <c:idx val="0"/>
          <c:order val="3"/>
          <c:tx>
            <c:strRef>
              <c:f>Umlaufmenge!$C$33</c:f>
              <c:strCache>
                <c:ptCount val="1"/>
                <c:pt idx="0">
                  <c:v>Umlaufmenge</c:v>
                </c:pt>
              </c:strCache>
            </c:strRef>
          </c:tx>
          <c:invertIfNegative val="0"/>
          <c:cat>
            <c:numRef>
              <c:f>Umlaufmenge!$B$34:$B$51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Umlaufmenge!$C$34:$C$51</c:f>
              <c:numCache>
                <c:formatCode>#,##0</c:formatCode>
                <c:ptCount val="18"/>
                <c:pt idx="0">
                  <c:v>2199.4292489999998</c:v>
                </c:pt>
                <c:pt idx="1">
                  <c:v>2025.942022</c:v>
                </c:pt>
                <c:pt idx="2">
                  <c:v>1874.728824</c:v>
                </c:pt>
                <c:pt idx="3">
                  <c:v>1464.3386599999999</c:v>
                </c:pt>
                <c:pt idx="4">
                  <c:v>1234.250106</c:v>
                </c:pt>
                <c:pt idx="5">
                  <c:v>984.53421100000003</c:v>
                </c:pt>
                <c:pt idx="6">
                  <c:v>596.89391499999999</c:v>
                </c:pt>
                <c:pt idx="7">
                  <c:v>307.71187400000002</c:v>
                </c:pt>
                <c:pt idx="8">
                  <c:v>270.68793399999998</c:v>
                </c:pt>
                <c:pt idx="9">
                  <c:v>243.80791300000001</c:v>
                </c:pt>
                <c:pt idx="10">
                  <c:v>227.071811</c:v>
                </c:pt>
                <c:pt idx="11">
                  <c:v>220.47962799999999</c:v>
                </c:pt>
                <c:pt idx="12">
                  <c:v>224.031364</c:v>
                </c:pt>
                <c:pt idx="13">
                  <c:v>233.20301900000001</c:v>
                </c:pt>
                <c:pt idx="14">
                  <c:v>247.99459300000001</c:v>
                </c:pt>
                <c:pt idx="15">
                  <c:v>268.40608600000002</c:v>
                </c:pt>
                <c:pt idx="16">
                  <c:v>294.43749800000001</c:v>
                </c:pt>
                <c:pt idx="17">
                  <c:v>326.08882899999998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420-4CEA-8346-5396995D2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9363808"/>
        <c:axId val="369364368"/>
      </c:barChart>
      <c:lineChart>
        <c:grouping val="standard"/>
        <c:varyColors val="0"/>
        <c:ser>
          <c:idx val="2"/>
          <c:order val="0"/>
          <c:tx>
            <c:strRef>
              <c:f>Umlaufmenge!$I$33</c:f>
              <c:strCache>
                <c:ptCount val="1"/>
                <c:pt idx="0">
                  <c:v>Meilensteine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7"/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</c:spPr>
          </c:marker>
          <c:cat>
            <c:numRef>
              <c:f>Umlaufmenge!$B$34:$B$51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Umlaufmenge!$I$34:$I$51</c:f>
              <c:numCache>
                <c:formatCode>General</c:formatCode>
                <c:ptCount val="18"/>
                <c:pt idx="0" formatCode="#,##0">
                  <c:v>3759.1395769999999</c:v>
                </c:pt>
                <c:pt idx="2" formatCode="#,##0">
                  <c:v>3462.9388239999998</c:v>
                </c:pt>
                <c:pt idx="7" formatCode="#,##0">
                  <c:v>1871.331874</c:v>
                </c:pt>
                <c:pt idx="12" formatCode="#,##0">
                  <c:v>1495.0313639999999</c:v>
                </c:pt>
                <c:pt idx="17" formatCode="#,##0">
                  <c:v>1327.088829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420-4CEA-8346-5396995D2F75}"/>
            </c:ext>
          </c:extLst>
        </c:ser>
        <c:ser>
          <c:idx val="1"/>
          <c:order val="1"/>
          <c:tx>
            <c:strRef>
              <c:f>Umlaufmenge!$D$33</c:f>
              <c:strCache>
                <c:ptCount val="1"/>
                <c:pt idx="0">
                  <c:v>Emissionspfad TIMES-PanEU</c:v>
                </c:pt>
              </c:strCache>
            </c:strRef>
          </c:tx>
          <c:marker>
            <c:symbol val="square"/>
            <c:size val="4"/>
          </c:marker>
          <c:cat>
            <c:numRef>
              <c:f>Umlaufmenge!$B$34:$B$51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Umlaufmenge!$D$34:$D$51</c:f>
              <c:numCache>
                <c:formatCode>#,##0</c:formatCode>
                <c:ptCount val="18"/>
                <c:pt idx="0">
                  <c:v>1959.7103279999999</c:v>
                </c:pt>
                <c:pt idx="1">
                  <c:v>1812</c:v>
                </c:pt>
                <c:pt idx="2">
                  <c:v>1988.21</c:v>
                </c:pt>
                <c:pt idx="3">
                  <c:v>1983.2919999999999</c:v>
                </c:pt>
                <c:pt idx="4">
                  <c:v>1978.374</c:v>
                </c:pt>
                <c:pt idx="5">
                  <c:v>1973.4559999999999</c:v>
                </c:pt>
                <c:pt idx="6">
                  <c:v>1968.538</c:v>
                </c:pt>
                <c:pt idx="7">
                  <c:v>1963.62</c:v>
                </c:pt>
                <c:pt idx="8">
                  <c:v>1905.096</c:v>
                </c:pt>
                <c:pt idx="9">
                  <c:v>1846.5719999999999</c:v>
                </c:pt>
                <c:pt idx="10">
                  <c:v>1788.048</c:v>
                </c:pt>
                <c:pt idx="11">
                  <c:v>1729.5239999999999</c:v>
                </c:pt>
                <c:pt idx="12">
                  <c:v>1671</c:v>
                </c:pt>
                <c:pt idx="13">
                  <c:v>1617</c:v>
                </c:pt>
                <c:pt idx="14">
                  <c:v>1563</c:v>
                </c:pt>
                <c:pt idx="15">
                  <c:v>1509</c:v>
                </c:pt>
                <c:pt idx="16">
                  <c:v>1455</c:v>
                </c:pt>
                <c:pt idx="17">
                  <c:v>1401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420-4CEA-8346-5396995D2F75}"/>
            </c:ext>
          </c:extLst>
        </c:ser>
        <c:ser>
          <c:idx val="3"/>
          <c:order val="2"/>
          <c:tx>
            <c:strRef>
              <c:f>Umlaufmenge!$F$33</c:f>
              <c:strCache>
                <c:ptCount val="1"/>
                <c:pt idx="0">
                  <c:v>Effektives CO2-Cap (=Emissionen + Umlaufmenge - Knappheitskorrektur)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star"/>
            <c:size val="5"/>
            <c:spPr>
              <a:noFill/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cat>
            <c:numRef>
              <c:f>Umlaufmenge!$B$34:$B$51</c:f>
              <c:numCache>
                <c:formatCode>General</c:formatCode>
                <c:ptCount val="1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</c:numCache>
            </c:numRef>
          </c:cat>
          <c:val>
            <c:numRef>
              <c:f>Umlaufmenge!$F$34:$F$51</c:f>
              <c:numCache>
                <c:formatCode>#,##0</c:formatCode>
                <c:ptCount val="18"/>
                <c:pt idx="0">
                  <c:v>3759.1395769999999</c:v>
                </c:pt>
                <c:pt idx="1">
                  <c:v>3437.9420220000002</c:v>
                </c:pt>
                <c:pt idx="2">
                  <c:v>3462.9388239999998</c:v>
                </c:pt>
                <c:pt idx="3">
                  <c:v>3047.6306599999998</c:v>
                </c:pt>
                <c:pt idx="4">
                  <c:v>2812.6241060000002</c:v>
                </c:pt>
                <c:pt idx="5">
                  <c:v>2557.9902109999998</c:v>
                </c:pt>
                <c:pt idx="6">
                  <c:v>2165.4319150000001</c:v>
                </c:pt>
                <c:pt idx="7">
                  <c:v>1871.331874</c:v>
                </c:pt>
                <c:pt idx="8">
                  <c:v>1775.783934</c:v>
                </c:pt>
                <c:pt idx="9">
                  <c:v>1690.379913</c:v>
                </c:pt>
                <c:pt idx="10">
                  <c:v>1615.119811</c:v>
                </c:pt>
                <c:pt idx="11">
                  <c:v>1550.0036279999999</c:v>
                </c:pt>
                <c:pt idx="12">
                  <c:v>1495.0313639999999</c:v>
                </c:pt>
                <c:pt idx="13">
                  <c:v>1450.203019</c:v>
                </c:pt>
                <c:pt idx="14">
                  <c:v>1410.9945929999999</c:v>
                </c:pt>
                <c:pt idx="15">
                  <c:v>1377.406086</c:v>
                </c:pt>
                <c:pt idx="16">
                  <c:v>1349.437498</c:v>
                </c:pt>
                <c:pt idx="17">
                  <c:v>1327.088829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0420-4CEA-8346-5396995D2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9363808"/>
        <c:axId val="369364368"/>
      </c:lineChart>
      <c:catAx>
        <c:axId val="369363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369364368"/>
        <c:crosses val="autoZero"/>
        <c:auto val="1"/>
        <c:lblAlgn val="ctr"/>
        <c:lblOffset val="100"/>
        <c:noMultiLvlLbl val="0"/>
      </c:catAx>
      <c:valAx>
        <c:axId val="36936436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3693638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4202377433196289"/>
          <c:y val="0.1088079615048119"/>
          <c:w val="0.35570091281251953"/>
          <c:h val="0.61108778069407987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019934046705703E-2"/>
          <c:y val="5.1400554097404488E-2"/>
          <c:w val="0.4529958678242143"/>
          <c:h val="0.8326195683872849"/>
        </c:manualLayout>
      </c:layout>
      <c:lineChart>
        <c:grouping val="standard"/>
        <c:varyColors val="0"/>
        <c:ser>
          <c:idx val="1"/>
          <c:order val="0"/>
          <c:tx>
            <c:strRef>
              <c:f>'EU-Pfad'!$B$61</c:f>
              <c:strCache>
                <c:ptCount val="1"/>
                <c:pt idx="0">
                  <c:v>Szenario 1 - Status Quo (aktualisiert) + Umlaufmenge - Knappheitskorrektur</c:v>
                </c:pt>
              </c:strCache>
            </c:strRef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cat>
            <c:numRef>
              <c:f>'EU-Pfad'!$C$62:$L$62</c:f>
              <c:numCache>
                <c:formatCode>General</c:formatCode>
                <c:ptCount val="10"/>
                <c:pt idx="0">
                  <c:v>2007</c:v>
                </c:pt>
                <c:pt idx="1">
                  <c:v>2011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'EU-Pfad'!$C$63:$L$63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1.2778998888566195</c:v>
                </c:pt>
                <c:pt idx="2">
                  <c:v>1.5557997777132389</c:v>
                </c:pt>
                <c:pt idx="3">
                  <c:v>1.0070134521338598</c:v>
                </c:pt>
                <c:pt idx="4">
                  <c:v>0.69579069652462189</c:v>
                </c:pt>
                <c:pt idx="5">
                  <c:v>0.56818904621811039</c:v>
                </c:pt>
                <c:pt idx="6">
                  <c:v>0.47340138253159769</c:v>
                </c:pt>
                <c:pt idx="7">
                  <c:v>0.37841022587622419</c:v>
                </c:pt>
                <c:pt idx="8">
                  <c:v>0.28341906922085075</c:v>
                </c:pt>
                <c:pt idx="9">
                  <c:v>0.18842791256547728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FD9-4A2A-A6A0-83B5FE3AAD60}"/>
            </c:ext>
          </c:extLst>
        </c:ser>
        <c:ser>
          <c:idx val="0"/>
          <c:order val="1"/>
          <c:tx>
            <c:strRef>
              <c:f>'EU-Pfad'!$B$57</c:f>
              <c:strCache>
                <c:ptCount val="1"/>
                <c:pt idx="0">
                  <c:v>Szenario 1 - Status Quo (aktualisiert)</c:v>
                </c:pt>
              </c:strCache>
            </c:strRef>
          </c:tx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ymbol val="none"/>
          </c:marker>
          <c:cat>
            <c:numRef>
              <c:f>'EU-Pfad'!$C$62:$L$62</c:f>
              <c:numCache>
                <c:formatCode>General</c:formatCode>
                <c:ptCount val="10"/>
                <c:pt idx="0">
                  <c:v>2007</c:v>
                </c:pt>
                <c:pt idx="1">
                  <c:v>2011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'EU-Pfad'!$C$59:$L$59</c:f>
              <c:numCache>
                <c:formatCode>#,##0.00</c:formatCode>
                <c:ptCount val="10"/>
                <c:pt idx="0" formatCode="#,##0">
                  <c:v>1</c:v>
                </c:pt>
                <c:pt idx="1">
                  <c:v>0.88673642000452668</c:v>
                </c:pt>
                <c:pt idx="2">
                  <c:v>0.83350422185242257</c:v>
                </c:pt>
                <c:pt idx="3">
                  <c:v>0.75837485249771808</c:v>
                </c:pt>
                <c:pt idx="4">
                  <c:v>0.66338369584234458</c:v>
                </c:pt>
                <c:pt idx="5">
                  <c:v>0.56839253918697108</c:v>
                </c:pt>
                <c:pt idx="6">
                  <c:v>0.47340138253159769</c:v>
                </c:pt>
                <c:pt idx="7">
                  <c:v>0.37841022587622419</c:v>
                </c:pt>
                <c:pt idx="8">
                  <c:v>0.28341906922085075</c:v>
                </c:pt>
                <c:pt idx="9">
                  <c:v>0.18842791256547728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FD9-4A2A-A6A0-83B5FE3AA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367728"/>
        <c:axId val="369368288"/>
      </c:lineChart>
      <c:catAx>
        <c:axId val="369367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9368288"/>
        <c:crosses val="autoZero"/>
        <c:auto val="1"/>
        <c:lblAlgn val="ctr"/>
        <c:lblOffset val="100"/>
        <c:noMultiLvlLbl val="0"/>
      </c:catAx>
      <c:valAx>
        <c:axId val="369368288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3693677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6140530052791016"/>
          <c:y val="5.4787839020122492E-2"/>
          <c:w val="0.43038953464150315"/>
          <c:h val="0.83394291338582682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'EU-Pfad'!$A$7</c:f>
              <c:strCache>
                <c:ptCount val="1"/>
                <c:pt idx="0">
                  <c:v>Mio. t</c:v>
                </c:pt>
              </c:strCache>
            </c:strRef>
          </c:tx>
          <c:marker>
            <c:symbol val="none"/>
          </c:marker>
          <c:cat>
            <c:numRef>
              <c:f>'EU-Pfad'!$B$6:$M$6</c:f>
              <c:numCache>
                <c:formatCode>General</c:formatCode>
                <c:ptCount val="12"/>
                <c:pt idx="0">
                  <c:v>2005</c:v>
                </c:pt>
                <c:pt idx="1">
                  <c:v>2007</c:v>
                </c:pt>
                <c:pt idx="2">
                  <c:v>2010</c:v>
                </c:pt>
                <c:pt idx="3">
                  <c:v>2013</c:v>
                </c:pt>
                <c:pt idx="4">
                  <c:v>2015</c:v>
                </c:pt>
                <c:pt idx="5">
                  <c:v>2020</c:v>
                </c:pt>
                <c:pt idx="6">
                  <c:v>2025</c:v>
                </c:pt>
                <c:pt idx="7">
                  <c:v>2030</c:v>
                </c:pt>
                <c:pt idx="8">
                  <c:v>2035</c:v>
                </c:pt>
                <c:pt idx="9">
                  <c:v>2040</c:v>
                </c:pt>
                <c:pt idx="10">
                  <c:v>2045</c:v>
                </c:pt>
                <c:pt idx="11">
                  <c:v>2050</c:v>
                </c:pt>
              </c:numCache>
            </c:numRef>
          </c:cat>
          <c:val>
            <c:numRef>
              <c:f>'EU-Pfad'!$B$7:$M$7</c:f>
              <c:numCache>
                <c:formatCode>#,##0</c:formatCode>
                <c:ptCount val="12"/>
                <c:pt idx="0">
                  <c:v>2457.7354636981117</c:v>
                </c:pt>
                <c:pt idx="1">
                  <c:v>2429.3440000000001</c:v>
                </c:pt>
                <c:pt idx="2">
                  <c:v>2196.647019286122</c:v>
                </c:pt>
                <c:pt idx="3">
                  <c:v>2113.3295069999999</c:v>
                </c:pt>
                <c:pt idx="4">
                  <c:v>2064.2670810918594</c:v>
                </c:pt>
                <c:pt idx="5">
                  <c:v>1941.6110163215083</c:v>
                </c:pt>
                <c:pt idx="6">
                  <c:v>1671.2601153147161</c:v>
                </c:pt>
                <c:pt idx="7">
                  <c:v>1400.9092143079238</c:v>
                </c:pt>
                <c:pt idx="8">
                  <c:v>1159.2780421864504</c:v>
                </c:pt>
                <c:pt idx="9">
                  <c:v>917.64687006497707</c:v>
                </c:pt>
                <c:pt idx="10">
                  <c:v>676.01569794350371</c:v>
                </c:pt>
                <c:pt idx="11">
                  <c:v>434.3845258220303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5A4-49BC-B2DA-B9FB92C3F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371088"/>
        <c:axId val="369371648"/>
      </c:lineChart>
      <c:catAx>
        <c:axId val="369371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369371648"/>
        <c:crosses val="autoZero"/>
        <c:auto val="1"/>
        <c:lblAlgn val="ctr"/>
        <c:lblOffset val="100"/>
        <c:noMultiLvlLbl val="0"/>
      </c:catAx>
      <c:valAx>
        <c:axId val="36937164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369371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'EU-Pfad'!$A$70</c:f>
              <c:strCache>
                <c:ptCount val="1"/>
                <c:pt idx="0">
                  <c:v>EU-Cap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dLbls>
            <c:dLbl>
              <c:idx val="3"/>
              <c:layout>
                <c:manualLayout>
                  <c:x val="-6.1486542123411043E-2"/>
                  <c:y val="4.22322775263951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1D96-4E1A-8D1E-0E50F540AF4D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'EU-Pfad'!$C$77:$K$77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'EU-Pfad'!$C$70:$K$70</c:f>
              <c:numCache>
                <c:formatCode>#,##0.00</c:formatCode>
                <c:ptCount val="9"/>
                <c:pt idx="0">
                  <c:v>1</c:v>
                </c:pt>
                <c:pt idx="1">
                  <c:v>0.93973545270041425</c:v>
                </c:pt>
                <c:pt idx="2">
                  <c:v>0.88389759450405614</c:v>
                </c:pt>
                <c:pt idx="3">
                  <c:v>0.76082324590222561</c:v>
                </c:pt>
                <c:pt idx="4" formatCode="#,##0.0000">
                  <c:v>0.63774889730039497</c:v>
                </c:pt>
                <c:pt idx="5">
                  <c:v>0.52774889730039498</c:v>
                </c:pt>
                <c:pt idx="6">
                  <c:v>0.41774889730039505</c:v>
                </c:pt>
                <c:pt idx="7">
                  <c:v>0.30774889730039506</c:v>
                </c:pt>
                <c:pt idx="8">
                  <c:v>0.19774889730039508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D96-4E1A-8D1E-0E50F540AF4D}"/>
            </c:ext>
          </c:extLst>
        </c:ser>
        <c:ser>
          <c:idx val="1"/>
          <c:order val="1"/>
          <c:tx>
            <c:strRef>
              <c:f>'EU-Pfad'!$A$74</c:f>
              <c:strCache>
                <c:ptCount val="1"/>
                <c:pt idx="0">
                  <c:v>Status-Quo</c:v>
                </c:pt>
              </c:strCache>
            </c:strRef>
          </c:tx>
          <c:cat>
            <c:numRef>
              <c:f>'EU-Pfad'!$C$77:$K$77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'EU-Pfad'!$C$74:$K$74</c:f>
              <c:numCache>
                <c:formatCode>#,##0.000</c:formatCode>
                <c:ptCount val="9"/>
                <c:pt idx="0" formatCode="#,##0.00">
                  <c:v>1</c:v>
                </c:pt>
                <c:pt idx="1">
                  <c:v>1.1306813456924312</c:v>
                </c:pt>
                <c:pt idx="2">
                  <c:v>1.0571909256342746</c:v>
                </c:pt>
                <c:pt idx="3">
                  <c:v>0.84071266030997949</c:v>
                </c:pt>
                <c:pt idx="4">
                  <c:v>0.58489567201295445</c:v>
                </c:pt>
                <c:pt idx="5" formatCode="#,##0.00">
                  <c:v>0.52774889730039498</c:v>
                </c:pt>
                <c:pt idx="6" formatCode="#,##0.00">
                  <c:v>0.41774889730039505</c:v>
                </c:pt>
                <c:pt idx="7" formatCode="#,##0.00">
                  <c:v>0.30774889730039506</c:v>
                </c:pt>
                <c:pt idx="8" formatCode="#,##0.00">
                  <c:v>0.19774889730039508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D96-4E1A-8D1E-0E50F540AF4D}"/>
            </c:ext>
          </c:extLst>
        </c:ser>
        <c:ser>
          <c:idx val="2"/>
          <c:order val="2"/>
          <c:tx>
            <c:strRef>
              <c:f>'EU-Pfad'!$A$78</c:f>
              <c:strCache>
                <c:ptCount val="1"/>
                <c:pt idx="0">
                  <c:v>KOM</c:v>
                </c:pt>
              </c:strCache>
            </c:strRef>
          </c:tx>
          <c:dLbls>
            <c:dLbl>
              <c:idx val="5"/>
              <c:layout>
                <c:manualLayout>
                  <c:x val="-5.4692501672585048E-2"/>
                  <c:y val="-7.23981900452488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1D96-4E1A-8D1E-0E50F540AF4D}"/>
                </c:ext>
                <c:ext xmlns:c15="http://schemas.microsoft.com/office/drawing/2012/chart" uri="{CE6537A1-D6FC-4f65-9D91-7224C49458BB}"/>
              </c:extLst>
            </c:dLbl>
            <c:dLbl>
              <c:idx val="9"/>
              <c:layout>
                <c:manualLayout>
                  <c:x val="-5.7444032731202715E-2"/>
                  <c:y val="-5.42986425339366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1D96-4E1A-8D1E-0E50F540AF4D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'EU-Pfad'!$C$77:$K$77</c:f>
              <c:numCache>
                <c:formatCode>General</c:formatCode>
                <c:ptCount val="9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</c:numCache>
            </c:numRef>
          </c:cat>
          <c:val>
            <c:numRef>
              <c:f>'EU-Pfad'!$C$78:$K$78</c:f>
              <c:numCache>
                <c:formatCode>#,##0.000</c:formatCode>
                <c:ptCount val="9"/>
                <c:pt idx="0" formatCode="#,##0.00">
                  <c:v>1</c:v>
                </c:pt>
                <c:pt idx="1">
                  <c:v>1.137230103759018</c:v>
                </c:pt>
                <c:pt idx="2">
                  <c:v>1.0471482445259126</c:v>
                </c:pt>
                <c:pt idx="3">
                  <c:v>0.84058792689659656</c:v>
                </c:pt>
                <c:pt idx="4">
                  <c:v>0.58882492685290699</c:v>
                </c:pt>
                <c:pt idx="5" formatCode="#,##0.00">
                  <c:v>0.52774889730039498</c:v>
                </c:pt>
                <c:pt idx="6" formatCode="#,##0.00">
                  <c:v>0.41774889730039505</c:v>
                </c:pt>
                <c:pt idx="7" formatCode="#,##0.00">
                  <c:v>0.30774889730039506</c:v>
                </c:pt>
                <c:pt idx="8" formatCode="#,##0.00">
                  <c:v>0.19774889730039508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1D96-4E1A-8D1E-0E50F540A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9375008"/>
        <c:axId val="369375568"/>
      </c:lineChart>
      <c:catAx>
        <c:axId val="369375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369375568"/>
        <c:crosses val="autoZero"/>
        <c:auto val="1"/>
        <c:lblAlgn val="ctr"/>
        <c:lblOffset val="100"/>
        <c:noMultiLvlLbl val="0"/>
      </c:catAx>
      <c:valAx>
        <c:axId val="369375568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369375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'EU-Pfad'!$A$70</c:f>
              <c:strCache>
                <c:ptCount val="1"/>
                <c:pt idx="0">
                  <c:v>EU-Cap</c:v>
                </c:pt>
              </c:strCache>
            </c:strRef>
          </c:tx>
          <c:spPr>
            <a:ln>
              <a:prstDash val="sysDash"/>
            </a:ln>
          </c:spPr>
          <c:marker>
            <c:spPr>
              <a:ln>
                <a:prstDash val="sysDash"/>
              </a:ln>
            </c:spPr>
          </c:marker>
          <c:cat>
            <c:numRef>
              <c:f>'EU-Pfad'!$C$77:$G$77</c:f>
              <c:numCache>
                <c:formatCode>General</c:formatCode>
                <c:ptCount val="5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'EU-Pfad'!$C$70:$G$70</c:f>
              <c:numCache>
                <c:formatCode>#,##0.00</c:formatCode>
                <c:ptCount val="5"/>
                <c:pt idx="0">
                  <c:v>1</c:v>
                </c:pt>
                <c:pt idx="1">
                  <c:v>0.93973545270041425</c:v>
                </c:pt>
                <c:pt idx="2">
                  <c:v>0.88389759450405614</c:v>
                </c:pt>
                <c:pt idx="3">
                  <c:v>0.76082324590222561</c:v>
                </c:pt>
                <c:pt idx="4" formatCode="#,##0.0000">
                  <c:v>0.63774889730039497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F43-4E9F-B594-EBED7D3867AA}"/>
            </c:ext>
          </c:extLst>
        </c:ser>
        <c:ser>
          <c:idx val="1"/>
          <c:order val="1"/>
          <c:tx>
            <c:strRef>
              <c:f>'EU-Pfad'!$A$74</c:f>
              <c:strCache>
                <c:ptCount val="1"/>
                <c:pt idx="0">
                  <c:v>Status-Quo</c:v>
                </c:pt>
              </c:strCache>
            </c:strRef>
          </c:tx>
          <c:cat>
            <c:numRef>
              <c:f>'EU-Pfad'!$C$77:$G$77</c:f>
              <c:numCache>
                <c:formatCode>General</c:formatCode>
                <c:ptCount val="5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'EU-Pfad'!$C$74:$G$74</c:f>
              <c:numCache>
                <c:formatCode>#,##0.000</c:formatCode>
                <c:ptCount val="5"/>
                <c:pt idx="0" formatCode="#,##0.00">
                  <c:v>1</c:v>
                </c:pt>
                <c:pt idx="1">
                  <c:v>1.1306813456924312</c:v>
                </c:pt>
                <c:pt idx="2">
                  <c:v>1.0571909256342746</c:v>
                </c:pt>
                <c:pt idx="3">
                  <c:v>0.84071266030997949</c:v>
                </c:pt>
                <c:pt idx="4">
                  <c:v>0.58489567201295445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F43-4E9F-B594-EBED7D3867AA}"/>
            </c:ext>
          </c:extLst>
        </c:ser>
        <c:ser>
          <c:idx val="2"/>
          <c:order val="2"/>
          <c:tx>
            <c:strRef>
              <c:f>'EU-Pfad'!$A$78</c:f>
              <c:strCache>
                <c:ptCount val="1"/>
                <c:pt idx="0">
                  <c:v>KOM</c:v>
                </c:pt>
              </c:strCache>
            </c:strRef>
          </c:tx>
          <c:dLbls>
            <c:dLbl>
              <c:idx val="5"/>
              <c:layout>
                <c:manualLayout>
                  <c:x val="-4.8156508653122647E-2"/>
                  <c:y val="-4.82654600301659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2F43-4E9F-B594-EBED7D3867AA}"/>
                </c:ext>
                <c:ext xmlns:c15="http://schemas.microsoft.com/office/drawing/2012/chart" uri="{CE6537A1-D6FC-4f65-9D91-7224C49458BB}"/>
              </c:extLst>
            </c:dLbl>
            <c:dLbl>
              <c:idx val="9"/>
              <c:layout>
                <c:manualLayout>
                  <c:x val="-5.4176072234762979E-2"/>
                  <c:y val="-4.22322775263951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2F43-4E9F-B594-EBED7D3867AA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'EU-Pfad'!$C$77:$G$77</c:f>
              <c:numCache>
                <c:formatCode>General</c:formatCode>
                <c:ptCount val="5"/>
                <c:pt idx="0">
                  <c:v>2011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</c:numCache>
            </c:numRef>
          </c:cat>
          <c:val>
            <c:numRef>
              <c:f>'EU-Pfad'!$C$78:$G$78</c:f>
              <c:numCache>
                <c:formatCode>#,##0.000</c:formatCode>
                <c:ptCount val="5"/>
                <c:pt idx="0" formatCode="#,##0.00">
                  <c:v>1</c:v>
                </c:pt>
                <c:pt idx="1">
                  <c:v>1.137230103759018</c:v>
                </c:pt>
                <c:pt idx="2">
                  <c:v>1.0471482445259126</c:v>
                </c:pt>
                <c:pt idx="3">
                  <c:v>0.84058792689659656</c:v>
                </c:pt>
                <c:pt idx="4">
                  <c:v>0.58882492685290699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2F43-4E9F-B594-EBED7D3867AA}"/>
            </c:ext>
          </c:extLst>
        </c:ser>
        <c:ser>
          <c:idx val="3"/>
          <c:order val="3"/>
          <c:tx>
            <c:strRef>
              <c:f>'EU-Pfad'!$A$82</c:f>
              <c:strCache>
                <c:ptCount val="1"/>
                <c:pt idx="0">
                  <c:v>BMWi</c:v>
                </c:pt>
              </c:strCache>
            </c:strRef>
          </c:tx>
          <c:val>
            <c:numRef>
              <c:f>'EU-Pfad'!$C$82:$G$82</c:f>
              <c:numCache>
                <c:formatCode>#,##0.000</c:formatCode>
                <c:ptCount val="5"/>
                <c:pt idx="0" formatCode="#,##0.00">
                  <c:v>1</c:v>
                </c:pt>
                <c:pt idx="1">
                  <c:v>1.1306813456924312</c:v>
                </c:pt>
                <c:pt idx="2">
                  <c:v>1.0571909256342746</c:v>
                </c:pt>
                <c:pt idx="3">
                  <c:v>0.84071266030997949</c:v>
                </c:pt>
                <c:pt idx="4">
                  <c:v>0.58489567201295445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2F43-4E9F-B594-EBED7D386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9380048"/>
        <c:axId val="369380608"/>
      </c:lineChart>
      <c:catAx>
        <c:axId val="369380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369380608"/>
        <c:crosses val="autoZero"/>
        <c:auto val="1"/>
        <c:lblAlgn val="ctr"/>
        <c:lblOffset val="100"/>
        <c:noMultiLvlLbl val="0"/>
      </c:catAx>
      <c:valAx>
        <c:axId val="369380608"/>
        <c:scaling>
          <c:orientation val="minMax"/>
          <c:max val="1.5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369380048"/>
        <c:crosses val="autoZero"/>
        <c:crossBetween val="between"/>
        <c:majorUnit val="0.25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'EU-Pfad'!$A$33</c:f>
              <c:strCache>
                <c:ptCount val="1"/>
                <c:pt idx="0">
                  <c:v>1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'EU-Pfad'!$C$32:$I$32</c:f>
              <c:numCache>
                <c:formatCode>General</c:formatCode>
                <c:ptCount val="7"/>
                <c:pt idx="0">
                  <c:v>2007</c:v>
                </c:pt>
                <c:pt idx="1">
                  <c:v>2010</c:v>
                </c:pt>
                <c:pt idx="2">
                  <c:v>2013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</c:numCache>
            </c:numRef>
          </c:cat>
          <c:val>
            <c:numRef>
              <c:f>'EU-Pfad'!$C$33:$I$33</c:f>
              <c:numCache>
                <c:formatCode>#,##0.00</c:formatCode>
                <c:ptCount val="7"/>
                <c:pt idx="0" formatCode="#,##0">
                  <c:v>1.1059328051666222</c:v>
                </c:pt>
                <c:pt idx="1">
                  <c:v>1</c:v>
                </c:pt>
                <c:pt idx="2">
                  <c:v>0.9620705959789575</c:v>
                </c:pt>
                <c:pt idx="3">
                  <c:v>1.1306813456924312</c:v>
                </c:pt>
                <c:pt idx="4">
                  <c:v>1.0898875522002831</c:v>
                </c:pt>
                <c:pt idx="5">
                  <c:v>0.84071266030997949</c:v>
                </c:pt>
                <c:pt idx="6">
                  <c:v>0.58489567201295445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E81-44E3-8D97-91309E17B6DD}"/>
            </c:ext>
          </c:extLst>
        </c:ser>
        <c:ser>
          <c:idx val="1"/>
          <c:order val="1"/>
          <c:tx>
            <c:strRef>
              <c:f>'EU-Pfad'!$A$34</c:f>
              <c:strCache>
                <c:ptCount val="1"/>
                <c:pt idx="0">
                  <c:v>2.1</c:v>
                </c:pt>
              </c:strCache>
            </c:strRef>
          </c:tx>
          <c:marker>
            <c:symbol val="none"/>
          </c:marker>
          <c:cat>
            <c:numRef>
              <c:f>'EU-Pfad'!$C$32:$I$32</c:f>
              <c:numCache>
                <c:formatCode>General</c:formatCode>
                <c:ptCount val="7"/>
                <c:pt idx="0">
                  <c:v>2007</c:v>
                </c:pt>
                <c:pt idx="1">
                  <c:v>2010</c:v>
                </c:pt>
                <c:pt idx="2">
                  <c:v>2013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</c:numCache>
            </c:numRef>
          </c:cat>
          <c:val>
            <c:numRef>
              <c:f>'EU-Pfad'!$C$34:$I$34</c:f>
              <c:numCache>
                <c:formatCode>#,##0.00</c:formatCode>
                <c:ptCount val="7"/>
                <c:pt idx="0" formatCode="#,##0">
                  <c:v>1.1059328051666222</c:v>
                </c:pt>
                <c:pt idx="1">
                  <c:v>1</c:v>
                </c:pt>
                <c:pt idx="2">
                  <c:v>0.9620705959789575</c:v>
                </c:pt>
                <c:pt idx="3">
                  <c:v>1.137230103759018</c:v>
                </c:pt>
                <c:pt idx="4">
                  <c:v>1.0795342727071264</c:v>
                </c:pt>
                <c:pt idx="5">
                  <c:v>0.84058792689659656</c:v>
                </c:pt>
                <c:pt idx="6">
                  <c:v>0.58882492685290699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E81-44E3-8D97-91309E17B6DD}"/>
            </c:ext>
          </c:extLst>
        </c:ser>
        <c:ser>
          <c:idx val="2"/>
          <c:order val="2"/>
          <c:tx>
            <c:strRef>
              <c:f>'EU-Pfad'!$A$35</c:f>
              <c:strCache>
                <c:ptCount val="1"/>
                <c:pt idx="0">
                  <c:v>3.1</c:v>
                </c:pt>
              </c:strCache>
            </c:strRef>
          </c:tx>
          <c:marker>
            <c:symbol val="none"/>
          </c:marker>
          <c:cat>
            <c:numRef>
              <c:f>'EU-Pfad'!$C$32:$I$32</c:f>
              <c:numCache>
                <c:formatCode>General</c:formatCode>
                <c:ptCount val="7"/>
                <c:pt idx="0">
                  <c:v>2007</c:v>
                </c:pt>
                <c:pt idx="1">
                  <c:v>2010</c:v>
                </c:pt>
                <c:pt idx="2">
                  <c:v>2013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</c:numCache>
            </c:numRef>
          </c:cat>
          <c:val>
            <c:numRef>
              <c:f>'EU-Pfad'!$C$35:$I$35</c:f>
              <c:numCache>
                <c:formatCode>#,##0.00</c:formatCode>
                <c:ptCount val="7"/>
                <c:pt idx="0" formatCode="#,##0">
                  <c:v>1.1059328051666222</c:v>
                </c:pt>
                <c:pt idx="1">
                  <c:v>1</c:v>
                </c:pt>
                <c:pt idx="2">
                  <c:v>0.9620705959789575</c:v>
                </c:pt>
                <c:pt idx="3">
                  <c:v>1.1938015173593788</c:v>
                </c:pt>
                <c:pt idx="4">
                  <c:v>1.0337837338102485</c:v>
                </c:pt>
                <c:pt idx="5">
                  <c:v>0.72480960470667155</c:v>
                </c:pt>
                <c:pt idx="6">
                  <c:v>0.64363013219952026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E81-44E3-8D97-91309E17B6DD}"/>
            </c:ext>
          </c:extLst>
        </c:ser>
        <c:ser>
          <c:idx val="3"/>
          <c:order val="3"/>
          <c:tx>
            <c:strRef>
              <c:f>'EU-Pfad'!$A$36</c:f>
              <c:strCache>
                <c:ptCount val="1"/>
                <c:pt idx="0">
                  <c:v>4.1</c:v>
                </c:pt>
              </c:strCache>
            </c:strRef>
          </c:tx>
          <c:marker>
            <c:symbol val="none"/>
          </c:marker>
          <c:cat>
            <c:numRef>
              <c:f>'EU-Pfad'!$C$32:$I$32</c:f>
              <c:numCache>
                <c:formatCode>General</c:formatCode>
                <c:ptCount val="7"/>
                <c:pt idx="0">
                  <c:v>2007</c:v>
                </c:pt>
                <c:pt idx="1">
                  <c:v>2010</c:v>
                </c:pt>
                <c:pt idx="2">
                  <c:v>2013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</c:numCache>
            </c:numRef>
          </c:cat>
          <c:val>
            <c:numRef>
              <c:f>'EU-Pfad'!$C$36:$I$36</c:f>
              <c:numCache>
                <c:formatCode>#,##0.00</c:formatCode>
                <c:ptCount val="7"/>
                <c:pt idx="0" formatCode="#,##0">
                  <c:v>1.1059328051666222</c:v>
                </c:pt>
                <c:pt idx="1">
                  <c:v>1</c:v>
                </c:pt>
                <c:pt idx="2">
                  <c:v>0.9620705959789575</c:v>
                </c:pt>
                <c:pt idx="3">
                  <c:v>1.1306813456924312</c:v>
                </c:pt>
                <c:pt idx="4">
                  <c:v>1.0898875522002831</c:v>
                </c:pt>
                <c:pt idx="5">
                  <c:v>0.84071266030997949</c:v>
                </c:pt>
                <c:pt idx="6">
                  <c:v>0.58489567201295445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E81-44E3-8D97-91309E17B6DD}"/>
            </c:ext>
          </c:extLst>
        </c:ser>
        <c:ser>
          <c:idx val="4"/>
          <c:order val="4"/>
          <c:tx>
            <c:strRef>
              <c:f>'EU-Pfad'!$A$37</c:f>
              <c:strCache>
                <c:ptCount val="1"/>
                <c:pt idx="0">
                  <c:v>5.1</c:v>
                </c:pt>
              </c:strCache>
            </c:strRef>
          </c:tx>
          <c:marker>
            <c:symbol val="none"/>
          </c:marker>
          <c:cat>
            <c:numRef>
              <c:f>'EU-Pfad'!$C$32:$I$32</c:f>
              <c:numCache>
                <c:formatCode>General</c:formatCode>
                <c:ptCount val="7"/>
                <c:pt idx="0">
                  <c:v>2007</c:v>
                </c:pt>
                <c:pt idx="1">
                  <c:v>2010</c:v>
                </c:pt>
                <c:pt idx="2">
                  <c:v>2013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</c:numCache>
            </c:numRef>
          </c:cat>
          <c:val>
            <c:numRef>
              <c:f>'EU-Pfad'!$C$37:$I$37</c:f>
              <c:numCache>
                <c:formatCode>#,##0.00</c:formatCode>
                <c:ptCount val="7"/>
                <c:pt idx="0" formatCode="#,##0">
                  <c:v>1.1059328051666222</c:v>
                </c:pt>
                <c:pt idx="1">
                  <c:v>1</c:v>
                </c:pt>
                <c:pt idx="2">
                  <c:v>0.9620705959789575</c:v>
                </c:pt>
                <c:pt idx="3">
                  <c:v>1.1804294231375638</c:v>
                </c:pt>
                <c:pt idx="4">
                  <c:v>1.0119569557555661</c:v>
                </c:pt>
                <c:pt idx="5">
                  <c:v>0.80876695610467675</c:v>
                </c:pt>
                <c:pt idx="6">
                  <c:v>0.61073233549500894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BE81-44E3-8D97-91309E17B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085728"/>
        <c:axId val="370086288"/>
      </c:lineChart>
      <c:catAx>
        <c:axId val="370085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0086288"/>
        <c:crosses val="autoZero"/>
        <c:auto val="1"/>
        <c:lblAlgn val="ctr"/>
        <c:lblOffset val="100"/>
        <c:noMultiLvlLbl val="0"/>
      </c:catAx>
      <c:valAx>
        <c:axId val="370086288"/>
        <c:scaling>
          <c:orientation val="minMax"/>
          <c:min val="0.5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370085728"/>
        <c:crosses val="autoZero"/>
        <c:crossBetween val="between"/>
        <c:majorUnit val="0.25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24669312169313"/>
          <c:y val="8.8707936507936513E-2"/>
          <c:w val="0.42188012566137567"/>
          <c:h val="0.793514401008244"/>
        </c:manualLayout>
      </c:layout>
      <c:barChart>
        <c:barDir val="col"/>
        <c:grouping val="clustered"/>
        <c:varyColors val="0"/>
        <c:ser>
          <c:idx val="3"/>
          <c:order val="2"/>
          <c:tx>
            <c:strRef>
              <c:f>'EU-Pfad'!$O$22</c:f>
              <c:strCache>
                <c:ptCount val="1"/>
                <c:pt idx="0">
                  <c:v>Veränderung GS 2.1 ggü. GS 1 (Sekundärachse)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bg1">
                  <a:lumMod val="50000"/>
                </a:schemeClr>
              </a:solidFill>
              <a:prstDash val="sysDash"/>
            </a:ln>
          </c:spPr>
          <c:invertIfNegative val="0"/>
          <c:dLbls>
            <c:dLbl>
              <c:idx val="0"/>
              <c:layout>
                <c:manualLayout>
                  <c:x val="-4.7364248324494145E-3"/>
                  <c:y val="9.2175702706765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235A-4E49-A7C5-B96F789F4FE3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2.6650514839491219E-4"/>
                  <c:y val="2.7711910460531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235A-4E49-A7C5-B96F789F4FE3}"/>
                </c:ex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1.9799776435075072E-3"/>
                  <c:y val="3.344317643113994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235A-4E49-A7C5-B96F789F4FE3}"/>
                </c:ex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2.6319599355896649E-3"/>
                  <c:y val="1.17465052551250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235A-4E49-A7C5-B96F789F4FE3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'EU-Pfad'!$O$23:$R$23</c:f>
              <c:numCache>
                <c:formatCode>#,##0</c:formatCode>
                <c:ptCount val="4"/>
                <c:pt idx="0">
                  <c:v>14.385309886994037</c:v>
                </c:pt>
                <c:pt idx="1">
                  <c:v>-22.742500538478907</c:v>
                </c:pt>
                <c:pt idx="2">
                  <c:v>-0.27399528071305213</c:v>
                </c:pt>
                <c:pt idx="3">
                  <c:v>8.631185932197468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235A-4E49-A7C5-B96F789F4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67"/>
        <c:overlap val="42"/>
        <c:axId val="370091888"/>
        <c:axId val="370091328"/>
      </c:barChart>
      <c:lineChart>
        <c:grouping val="standard"/>
        <c:varyColors val="0"/>
        <c:ser>
          <c:idx val="2"/>
          <c:order val="0"/>
          <c:tx>
            <c:strRef>
              <c:f>'EU-Pfad'!$J$26</c:f>
              <c:strCache>
                <c:ptCount val="1"/>
                <c:pt idx="0">
                  <c:v>Grundszenario 2.1      (KOM-Vorschlag)</c:v>
                </c:pt>
              </c:strCache>
            </c:strRef>
          </c:tx>
          <c:spPr>
            <a:ln w="25400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'EU-Pfad'!$F$26:$I$26</c:f>
              <c:numCache>
                <c:formatCode>#,##0</c:formatCode>
                <c:ptCount val="4"/>
                <c:pt idx="0">
                  <c:v>2498.0931176646941</c:v>
                </c:pt>
                <c:pt idx="1">
                  <c:v>2371.3557423593206</c:v>
                </c:pt>
                <c:pt idx="2">
                  <c:v>1846.4749640653095</c:v>
                </c:pt>
                <c:pt idx="3">
                  <c:v>1293.440520452807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235A-4E49-A7C5-B96F789F4FE3}"/>
            </c:ext>
          </c:extLst>
        </c:ser>
        <c:ser>
          <c:idx val="1"/>
          <c:order val="1"/>
          <c:tx>
            <c:strRef>
              <c:f>'EU-Pfad'!$J$25</c:f>
              <c:strCache>
                <c:ptCount val="1"/>
                <c:pt idx="0">
                  <c:v>Grundszenario 1        (Status-Quo)</c:v>
                </c:pt>
              </c:strCache>
            </c:strRef>
          </c:tx>
          <c:spPr>
            <a:ln w="25400">
              <a:solidFill>
                <a:schemeClr val="tx1">
                  <a:lumMod val="85000"/>
                  <a:lumOff val="15000"/>
                </a:schemeClr>
              </a:solidFill>
              <a:prstDash val="sysDash"/>
            </a:ln>
          </c:spPr>
          <c:marker>
            <c:symbol val="none"/>
          </c:marker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'EU-Pfad'!$F$25:$I$25</c:f>
              <c:numCache>
                <c:formatCode>#,##0</c:formatCode>
                <c:ptCount val="4"/>
                <c:pt idx="0">
                  <c:v>2483.7078077777001</c:v>
                </c:pt>
                <c:pt idx="1">
                  <c:v>2394.0982428977995</c:v>
                </c:pt>
                <c:pt idx="2">
                  <c:v>1846.7489593460225</c:v>
                </c:pt>
                <c:pt idx="3">
                  <c:v>1284.8093345206096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235A-4E49-A7C5-B96F789F4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090208"/>
        <c:axId val="370090768"/>
      </c:lineChart>
      <c:catAx>
        <c:axId val="370090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370090768"/>
        <c:crosses val="autoZero"/>
        <c:auto val="1"/>
        <c:lblAlgn val="ctr"/>
        <c:lblOffset val="100"/>
        <c:noMultiLvlLbl val="0"/>
      </c:catAx>
      <c:valAx>
        <c:axId val="370090768"/>
        <c:scaling>
          <c:orientation val="minMax"/>
          <c:min val="-1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Emissionsberechtigungen</a:t>
                </a:r>
                <a:r>
                  <a:rPr lang="de-DE" baseline="0"/>
                  <a:t> (</a:t>
                </a:r>
                <a:r>
                  <a:rPr lang="de-DE"/>
                  <a:t>Mio. tCO2)</a:t>
                </a:r>
              </a:p>
            </c:rich>
          </c:tx>
          <c:layout>
            <c:manualLayout>
              <c:xMode val="edge"/>
              <c:yMode val="edge"/>
              <c:x val="0"/>
              <c:y val="0.1265660735139385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crossAx val="370090208"/>
        <c:crosses val="autoZero"/>
        <c:crossBetween val="between"/>
      </c:valAx>
      <c:valAx>
        <c:axId val="370091328"/>
        <c:scaling>
          <c:orientation val="minMax"/>
          <c:max val="120"/>
          <c:min val="-4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 sz="1000" b="1" i="0" u="none" strike="noStrike" baseline="0">
                    <a:effectLst/>
                  </a:rPr>
                  <a:t>Veränderung GS 2.1 ggü. GS 1 (Mio. tCO2)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62842989417989414"/>
              <c:y val="7.0765873015873018E-2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370091888"/>
        <c:crosses val="max"/>
        <c:crossBetween val="between"/>
        <c:majorUnit val="20"/>
      </c:valAx>
      <c:catAx>
        <c:axId val="370091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0091328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943478835978838"/>
          <c:y val="0.12776440389885185"/>
          <c:w val="0.30315046296296294"/>
          <c:h val="0.70335518632858107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512485657866881E-2"/>
          <c:y val="6.521303779758808E-2"/>
          <c:w val="0.42328384374092076"/>
          <c:h val="0.78764068588342762"/>
        </c:manualLayout>
      </c:layout>
      <c:lineChart>
        <c:grouping val="standard"/>
        <c:varyColors val="0"/>
        <c:ser>
          <c:idx val="1"/>
          <c:order val="0"/>
          <c:tx>
            <c:strRef>
              <c:f>'EU-Pfad'!$N$23</c:f>
              <c:strCache>
                <c:ptCount val="1"/>
                <c:pt idx="0">
                  <c:v>Menge für TIMES</c:v>
                </c:pt>
              </c:strCache>
            </c:strRef>
          </c:tx>
          <c:marker>
            <c:symbol val="none"/>
          </c:marker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'EU-Pfad'!$F$50:$I$50</c:f>
              <c:numCache>
                <c:formatCode>#,##0.00</c:formatCode>
                <c:ptCount val="4"/>
                <c:pt idx="0">
                  <c:v>1907.1958658933333</c:v>
                </c:pt>
                <c:pt idx="1">
                  <c:v>1237.7119193486387</c:v>
                </c:pt>
                <c:pt idx="2">
                  <c:v>624.26105948745374</c:v>
                </c:pt>
                <c:pt idx="3">
                  <c:v>360.78918947280778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939-4B0A-9314-FB0CFF56261A}"/>
            </c:ext>
          </c:extLst>
        </c:ser>
        <c:ser>
          <c:idx val="2"/>
          <c:order val="1"/>
          <c:tx>
            <c:strRef>
              <c:f>'EU-Pfad'!$N$24</c:f>
              <c:strCache>
                <c:ptCount val="1"/>
                <c:pt idx="0">
                  <c:v>Umlaufmenge</c:v>
                </c:pt>
              </c:strCache>
            </c:strRef>
          </c:tx>
          <c:marker>
            <c:symbol val="none"/>
          </c:marker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'EU-Pfad'!$F$49:$I$49</c:f>
              <c:numCache>
                <c:formatCode>#,##0.00</c:formatCode>
                <c:ptCount val="4"/>
                <c:pt idx="0">
                  <c:v>1907.1958658933333</c:v>
                </c:pt>
                <c:pt idx="1">
                  <c:v>1252.0972292356332</c:v>
                </c:pt>
                <c:pt idx="2">
                  <c:v>624.35522689663378</c:v>
                </c:pt>
                <c:pt idx="3">
                  <c:v>352.15800354061054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939-4B0A-9314-FB0CFF562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095808"/>
        <c:axId val="370096368"/>
      </c:lineChart>
      <c:lineChart>
        <c:grouping val="standard"/>
        <c:varyColors val="0"/>
        <c:ser>
          <c:idx val="3"/>
          <c:order val="2"/>
          <c:tx>
            <c:strRef>
              <c:f>'EU-Pfad'!$O$22</c:f>
              <c:strCache>
                <c:ptCount val="1"/>
                <c:pt idx="0">
                  <c:v>Veränderung GS 2.1 ggü. GS 1 (Sekundärachse)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3.4755134281200632E-2"/>
                  <c:y val="-2.01511281722820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7939-4B0A-9314-FB0CFF56261A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3.4755134281200632E-2"/>
                  <c:y val="3.35852136204701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7939-4B0A-9314-FB0CFF56261A}"/>
                </c:ex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5.0552922590837282E-2"/>
                  <c:y val="-2.01516570732839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7939-4B0A-9314-FB0CFF56261A}"/>
                </c:ex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1.2638230647709263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7939-4B0A-9314-FB0CFF56261A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'EU-Pfad'!$F$24:$I$24</c:f>
              <c:numCache>
                <c:formatCode>General</c:formatCode>
                <c:ptCount val="4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</c:numCache>
            </c:numRef>
          </c:cat>
          <c:val>
            <c:numRef>
              <c:f>'EU-Pfad'!$O$25:$R$25</c:f>
              <c:numCache>
                <c:formatCode>General</c:formatCode>
                <c:ptCount val="4"/>
                <c:pt idx="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939-4B0A-9314-FB0CFF562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097488"/>
        <c:axId val="370096928"/>
      </c:lineChart>
      <c:catAx>
        <c:axId val="37009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0096368"/>
        <c:crosses val="autoZero"/>
        <c:auto val="1"/>
        <c:lblAlgn val="ctr"/>
        <c:lblOffset val="100"/>
        <c:noMultiLvlLbl val="0"/>
      </c:catAx>
      <c:valAx>
        <c:axId val="370096368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370095808"/>
        <c:crosses val="autoZero"/>
        <c:crossBetween val="between"/>
      </c:valAx>
      <c:valAx>
        <c:axId val="370096928"/>
        <c:scaling>
          <c:orientation val="minMax"/>
          <c:max val="20"/>
          <c:min val="-40"/>
        </c:scaling>
        <c:delete val="0"/>
        <c:axPos val="r"/>
        <c:numFmt formatCode="General" sourceLinked="1"/>
        <c:majorTickMark val="out"/>
        <c:minorTickMark val="none"/>
        <c:tickLblPos val="nextTo"/>
        <c:crossAx val="370097488"/>
        <c:crosses val="max"/>
        <c:crossBetween val="between"/>
        <c:majorUnit val="10"/>
      </c:valAx>
      <c:catAx>
        <c:axId val="370097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0096928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0478901675752073"/>
          <c:y val="0.12776440389885185"/>
          <c:w val="0.39270941976530604"/>
          <c:h val="0.70335518632858107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692038495188105E-2"/>
          <c:y val="4.1666666666666664E-2"/>
          <c:w val="0.85219685039370074"/>
          <c:h val="0.8416746864975212"/>
        </c:manualLayout>
      </c:layout>
      <c:scatterChart>
        <c:scatterStyle val="smoothMarker"/>
        <c:varyColors val="0"/>
        <c:ser>
          <c:idx val="0"/>
          <c:order val="0"/>
          <c:tx>
            <c:v>80%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'EU-Pfad'!$C$127:$I$127</c:f>
              <c:numCache>
                <c:formatCode>General</c:formatCode>
                <c:ptCount val="7"/>
                <c:pt idx="0">
                  <c:v>1990</c:v>
                </c:pt>
                <c:pt idx="1">
                  <c:v>2005</c:v>
                </c:pt>
                <c:pt idx="2">
                  <c:v>2011</c:v>
                </c:pt>
                <c:pt idx="3">
                  <c:v>2020</c:v>
                </c:pt>
                <c:pt idx="4">
                  <c:v>2030</c:v>
                </c:pt>
                <c:pt idx="5">
                  <c:v>2040</c:v>
                </c:pt>
                <c:pt idx="6">
                  <c:v>2050</c:v>
                </c:pt>
              </c:numCache>
            </c:numRef>
          </c:xVal>
          <c:yVal>
            <c:numRef>
              <c:f>'EU-Pfad'!$C$128:$I$128</c:f>
              <c:numCache>
                <c:formatCode>General</c:formatCode>
                <c:ptCount val="7"/>
                <c:pt idx="0">
                  <c:v>5735.1</c:v>
                </c:pt>
                <c:pt idx="1">
                  <c:v>5399.3</c:v>
                </c:pt>
                <c:pt idx="2">
                  <c:v>4914.3999999999996</c:v>
                </c:pt>
                <c:pt idx="3">
                  <c:v>4177.7299999999996</c:v>
                </c:pt>
                <c:pt idx="4">
                  <c:v>3441.06</c:v>
                </c:pt>
                <c:pt idx="5">
                  <c:v>2294.0400000000004</c:v>
                </c:pt>
                <c:pt idx="6">
                  <c:v>1147.0199999999995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D22E-4177-B8C4-4F4B5D876E94}"/>
            </c:ext>
          </c:extLst>
        </c:ser>
        <c:ser>
          <c:idx val="1"/>
          <c:order val="1"/>
          <c:tx>
            <c:v>95%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'EU-Pfad'!$C$127:$I$127</c:f>
              <c:numCache>
                <c:formatCode>General</c:formatCode>
                <c:ptCount val="7"/>
                <c:pt idx="0">
                  <c:v>1990</c:v>
                </c:pt>
                <c:pt idx="1">
                  <c:v>2005</c:v>
                </c:pt>
                <c:pt idx="2">
                  <c:v>2011</c:v>
                </c:pt>
                <c:pt idx="3">
                  <c:v>2020</c:v>
                </c:pt>
                <c:pt idx="4">
                  <c:v>2030</c:v>
                </c:pt>
                <c:pt idx="5">
                  <c:v>2040</c:v>
                </c:pt>
                <c:pt idx="6">
                  <c:v>2050</c:v>
                </c:pt>
              </c:numCache>
            </c:numRef>
          </c:xVal>
          <c:yVal>
            <c:numRef>
              <c:f>'EU-Pfad'!$C$130:$I$130</c:f>
              <c:numCache>
                <c:formatCode>General</c:formatCode>
                <c:ptCount val="7"/>
                <c:pt idx="0">
                  <c:v>5735.1</c:v>
                </c:pt>
                <c:pt idx="1">
                  <c:v>5399.3</c:v>
                </c:pt>
                <c:pt idx="2">
                  <c:v>4914.3999999999996</c:v>
                </c:pt>
                <c:pt idx="3">
                  <c:v>3747.5974999999999</c:v>
                </c:pt>
                <c:pt idx="4">
                  <c:v>2580.7950000000001</c:v>
                </c:pt>
                <c:pt idx="5">
                  <c:v>1433.7749999999996</c:v>
                </c:pt>
                <c:pt idx="6">
                  <c:v>286.75500000000011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D22E-4177-B8C4-4F4B5D876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100848"/>
        <c:axId val="370101408"/>
      </c:scatterChart>
      <c:valAx>
        <c:axId val="37010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101408"/>
        <c:crosses val="autoZero"/>
        <c:crossBetween val="midCat"/>
      </c:valAx>
      <c:valAx>
        <c:axId val="37010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100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Diagramm1"/>
  <sheetViews>
    <sheetView zoomScale="117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4" Type="http://schemas.openxmlformats.org/officeDocument/2006/relationships/chart" Target="../charts/chart33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6" Type="http://schemas.openxmlformats.org/officeDocument/2006/relationships/chart" Target="../charts/chart39.xml"/><Relationship Id="rId5" Type="http://schemas.openxmlformats.org/officeDocument/2006/relationships/chart" Target="../charts/chart38.xml"/><Relationship Id="rId4" Type="http://schemas.openxmlformats.org/officeDocument/2006/relationships/chart" Target="../charts/chart37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1.xml"/><Relationship Id="rId1" Type="http://schemas.openxmlformats.org/officeDocument/2006/relationships/chart" Target="../charts/chart40.xm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9.xml"/><Relationship Id="rId3" Type="http://schemas.openxmlformats.org/officeDocument/2006/relationships/chart" Target="../charts/chart44.xml"/><Relationship Id="rId7" Type="http://schemas.openxmlformats.org/officeDocument/2006/relationships/chart" Target="../charts/chart48.xml"/><Relationship Id="rId2" Type="http://schemas.openxmlformats.org/officeDocument/2006/relationships/chart" Target="../charts/chart43.xml"/><Relationship Id="rId1" Type="http://schemas.openxmlformats.org/officeDocument/2006/relationships/chart" Target="../charts/chart42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910" cy="5983654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5791200" y="1371600"/>
    <xdr:ext cx="7029450" cy="4464257"/>
    <xdr:graphicFrame macro="">
      <xdr:nvGraphicFramePr>
        <xdr:cNvPr id="3" name="Diagramm 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7762874" y="0"/>
    <xdr:ext cx="4276725" cy="270510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1</xdr:col>
      <xdr:colOff>0</xdr:colOff>
      <xdr:row>33</xdr:row>
      <xdr:rowOff>0</xdr:rowOff>
    </xdr:from>
    <xdr:to>
      <xdr:col>6</xdr:col>
      <xdr:colOff>590550</xdr:colOff>
      <xdr:row>47</xdr:row>
      <xdr:rowOff>109537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76200</xdr:colOff>
      <xdr:row>33</xdr:row>
      <xdr:rowOff>0</xdr:rowOff>
    </xdr:from>
    <xdr:to>
      <xdr:col>14</xdr:col>
      <xdr:colOff>619125</xdr:colOff>
      <xdr:row>47</xdr:row>
      <xdr:rowOff>109537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56030</xdr:colOff>
      <xdr:row>33</xdr:row>
      <xdr:rowOff>78441</xdr:rowOff>
    </xdr:from>
    <xdr:to>
      <xdr:col>25</xdr:col>
      <xdr:colOff>38661</xdr:colOff>
      <xdr:row>47</xdr:row>
      <xdr:rowOff>187978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0</xdr:colOff>
      <xdr:row>33</xdr:row>
      <xdr:rowOff>0</xdr:rowOff>
    </xdr:from>
    <xdr:to>
      <xdr:col>30</xdr:col>
      <xdr:colOff>587748</xdr:colOff>
      <xdr:row>47</xdr:row>
      <xdr:rowOff>109537</xdr:rowOff>
    </xdr:to>
    <xdr:graphicFrame macro="">
      <xdr:nvGraphicFramePr>
        <xdr:cNvPr id="10" name="Diagramm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22411</xdr:colOff>
      <xdr:row>33</xdr:row>
      <xdr:rowOff>0</xdr:rowOff>
    </xdr:from>
    <xdr:to>
      <xdr:col>41</xdr:col>
      <xdr:colOff>5042</xdr:colOff>
      <xdr:row>47</xdr:row>
      <xdr:rowOff>109537</xdr:rowOff>
    </xdr:to>
    <xdr:graphicFrame macro="">
      <xdr:nvGraphicFramePr>
        <xdr:cNvPr id="11" name="Diagramm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41</xdr:col>
      <xdr:colOff>0</xdr:colOff>
      <xdr:row>33</xdr:row>
      <xdr:rowOff>0</xdr:rowOff>
    </xdr:from>
    <xdr:to>
      <xdr:col>46</xdr:col>
      <xdr:colOff>587749</xdr:colOff>
      <xdr:row>47</xdr:row>
      <xdr:rowOff>109537</xdr:rowOff>
    </xdr:to>
    <xdr:graphicFrame macro="">
      <xdr:nvGraphicFramePr>
        <xdr:cNvPr id="12" name="Diagramm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51</xdr:col>
      <xdr:colOff>22411</xdr:colOff>
      <xdr:row>33</xdr:row>
      <xdr:rowOff>0</xdr:rowOff>
    </xdr:from>
    <xdr:to>
      <xdr:col>57</xdr:col>
      <xdr:colOff>5042</xdr:colOff>
      <xdr:row>47</xdr:row>
      <xdr:rowOff>109537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57</xdr:col>
      <xdr:colOff>0</xdr:colOff>
      <xdr:row>33</xdr:row>
      <xdr:rowOff>0</xdr:rowOff>
    </xdr:from>
    <xdr:to>
      <xdr:col>62</xdr:col>
      <xdr:colOff>587749</xdr:colOff>
      <xdr:row>47</xdr:row>
      <xdr:rowOff>109537</xdr:rowOff>
    </xdr:to>
    <xdr:graphicFrame macro="">
      <xdr:nvGraphicFramePr>
        <xdr:cNvPr id="13" name="Diagramm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104775</xdr:colOff>
      <xdr:row>11</xdr:row>
      <xdr:rowOff>61911</xdr:rowOff>
    </xdr:from>
    <xdr:to>
      <xdr:col>34</xdr:col>
      <xdr:colOff>47624</xdr:colOff>
      <xdr:row>27</xdr:row>
      <xdr:rowOff>133349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57149</xdr:colOff>
      <xdr:row>5</xdr:row>
      <xdr:rowOff>38100</xdr:rowOff>
    </xdr:from>
    <xdr:to>
      <xdr:col>22</xdr:col>
      <xdr:colOff>19050</xdr:colOff>
      <xdr:row>18</xdr:row>
      <xdr:rowOff>123825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19051</xdr:colOff>
      <xdr:row>16</xdr:row>
      <xdr:rowOff>123825</xdr:rowOff>
    </xdr:from>
    <xdr:to>
      <xdr:col>22</xdr:col>
      <xdr:colOff>76201</xdr:colOff>
      <xdr:row>28</xdr:row>
      <xdr:rowOff>190499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47624</xdr:colOff>
      <xdr:row>34</xdr:row>
      <xdr:rowOff>38100</xdr:rowOff>
    </xdr:from>
    <xdr:to>
      <xdr:col>22</xdr:col>
      <xdr:colOff>9525</xdr:colOff>
      <xdr:row>47</xdr:row>
      <xdr:rowOff>123825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628651</xdr:colOff>
      <xdr:row>47</xdr:row>
      <xdr:rowOff>28575</xdr:rowOff>
    </xdr:from>
    <xdr:to>
      <xdr:col>22</xdr:col>
      <xdr:colOff>38101</xdr:colOff>
      <xdr:row>59</xdr:row>
      <xdr:rowOff>104774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409575</xdr:colOff>
      <xdr:row>40</xdr:row>
      <xdr:rowOff>104775</xdr:rowOff>
    </xdr:from>
    <xdr:to>
      <xdr:col>33</xdr:col>
      <xdr:colOff>352424</xdr:colOff>
      <xdr:row>56</xdr:row>
      <xdr:rowOff>176213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409575</xdr:colOff>
      <xdr:row>2</xdr:row>
      <xdr:rowOff>185737</xdr:rowOff>
    </xdr:from>
    <xdr:to>
      <xdr:col>20</xdr:col>
      <xdr:colOff>409575</xdr:colOff>
      <xdr:row>14</xdr:row>
      <xdr:rowOff>71437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409575</xdr:colOff>
      <xdr:row>3</xdr:row>
      <xdr:rowOff>185737</xdr:rowOff>
    </xdr:from>
    <xdr:to>
      <xdr:col>20</xdr:col>
      <xdr:colOff>409575</xdr:colOff>
      <xdr:row>15</xdr:row>
      <xdr:rowOff>71437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552450</xdr:colOff>
      <xdr:row>2</xdr:row>
      <xdr:rowOff>185737</xdr:rowOff>
    </xdr:from>
    <xdr:to>
      <xdr:col>17</xdr:col>
      <xdr:colOff>590550</xdr:colOff>
      <xdr:row>11</xdr:row>
      <xdr:rowOff>123825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12</xdr:row>
      <xdr:rowOff>9525</xdr:rowOff>
    </xdr:from>
    <xdr:to>
      <xdr:col>17</xdr:col>
      <xdr:colOff>190500</xdr:colOff>
      <xdr:row>20</xdr:row>
      <xdr:rowOff>138113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180975</xdr:colOff>
      <xdr:row>21</xdr:row>
      <xdr:rowOff>104775</xdr:rowOff>
    </xdr:from>
    <xdr:to>
      <xdr:col>17</xdr:col>
      <xdr:colOff>219075</xdr:colOff>
      <xdr:row>30</xdr:row>
      <xdr:rowOff>9525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161925</xdr:colOff>
      <xdr:row>12</xdr:row>
      <xdr:rowOff>0</xdr:rowOff>
    </xdr:from>
    <xdr:to>
      <xdr:col>20</xdr:col>
      <xdr:colOff>466725</xdr:colOff>
      <xdr:row>20</xdr:row>
      <xdr:rowOff>128588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400050</xdr:colOff>
      <xdr:row>30</xdr:row>
      <xdr:rowOff>123825</xdr:rowOff>
    </xdr:from>
    <xdr:to>
      <xdr:col>17</xdr:col>
      <xdr:colOff>714375</xdr:colOff>
      <xdr:row>44</xdr:row>
      <xdr:rowOff>104775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552450</xdr:colOff>
      <xdr:row>2</xdr:row>
      <xdr:rowOff>185737</xdr:rowOff>
    </xdr:from>
    <xdr:to>
      <xdr:col>17</xdr:col>
      <xdr:colOff>590550</xdr:colOff>
      <xdr:row>11</xdr:row>
      <xdr:rowOff>123825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12</xdr:row>
      <xdr:rowOff>9525</xdr:rowOff>
    </xdr:from>
    <xdr:to>
      <xdr:col>17</xdr:col>
      <xdr:colOff>190500</xdr:colOff>
      <xdr:row>20</xdr:row>
      <xdr:rowOff>138113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180975</xdr:colOff>
      <xdr:row>21</xdr:row>
      <xdr:rowOff>104775</xdr:rowOff>
    </xdr:from>
    <xdr:to>
      <xdr:col>17</xdr:col>
      <xdr:colOff>219075</xdr:colOff>
      <xdr:row>30</xdr:row>
      <xdr:rowOff>9525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161925</xdr:colOff>
      <xdr:row>12</xdr:row>
      <xdr:rowOff>0</xdr:rowOff>
    </xdr:from>
    <xdr:to>
      <xdr:col>20</xdr:col>
      <xdr:colOff>466725</xdr:colOff>
      <xdr:row>20</xdr:row>
      <xdr:rowOff>128588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400050</xdr:colOff>
      <xdr:row>30</xdr:row>
      <xdr:rowOff>123825</xdr:rowOff>
    </xdr:from>
    <xdr:to>
      <xdr:col>17</xdr:col>
      <xdr:colOff>714375</xdr:colOff>
      <xdr:row>44</xdr:row>
      <xdr:rowOff>104775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22</xdr:row>
      <xdr:rowOff>0</xdr:rowOff>
    </xdr:from>
    <xdr:to>
      <xdr:col>14</xdr:col>
      <xdr:colOff>704850</xdr:colOff>
      <xdr:row>31</xdr:row>
      <xdr:rowOff>19050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33</xdr:row>
      <xdr:rowOff>0</xdr:rowOff>
    </xdr:from>
    <xdr:to>
      <xdr:col>14</xdr:col>
      <xdr:colOff>704850</xdr:colOff>
      <xdr:row>42</xdr:row>
      <xdr:rowOff>19050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43</xdr:row>
      <xdr:rowOff>0</xdr:rowOff>
    </xdr:from>
    <xdr:to>
      <xdr:col>14</xdr:col>
      <xdr:colOff>704850</xdr:colOff>
      <xdr:row>52</xdr:row>
      <xdr:rowOff>19050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704850</xdr:colOff>
      <xdr:row>62</xdr:row>
      <xdr:rowOff>19050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14</xdr:row>
      <xdr:rowOff>119063</xdr:rowOff>
    </xdr:from>
    <xdr:to>
      <xdr:col>19</xdr:col>
      <xdr:colOff>514349</xdr:colOff>
      <xdr:row>28</xdr:row>
      <xdr:rowOff>123825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85725</xdr:colOff>
      <xdr:row>70</xdr:row>
      <xdr:rowOff>0</xdr:rowOff>
    </xdr:from>
    <xdr:to>
      <xdr:col>17</xdr:col>
      <xdr:colOff>219074</xdr:colOff>
      <xdr:row>80</xdr:row>
      <xdr:rowOff>23813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57150</xdr:colOff>
      <xdr:row>96</xdr:row>
      <xdr:rowOff>38100</xdr:rowOff>
    </xdr:from>
    <xdr:to>
      <xdr:col>11</xdr:col>
      <xdr:colOff>714375</xdr:colOff>
      <xdr:row>106</xdr:row>
      <xdr:rowOff>61913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95250</xdr:colOff>
      <xdr:row>80</xdr:row>
      <xdr:rowOff>104775</xdr:rowOff>
    </xdr:from>
    <xdr:to>
      <xdr:col>17</xdr:col>
      <xdr:colOff>228599</xdr:colOff>
      <xdr:row>90</xdr:row>
      <xdr:rowOff>128588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91</xdr:row>
      <xdr:rowOff>0</xdr:rowOff>
    </xdr:from>
    <xdr:to>
      <xdr:col>17</xdr:col>
      <xdr:colOff>133349</xdr:colOff>
      <xdr:row>101</xdr:row>
      <xdr:rowOff>23813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628650</xdr:colOff>
      <xdr:row>109</xdr:row>
      <xdr:rowOff>9525</xdr:rowOff>
    </xdr:from>
    <xdr:to>
      <xdr:col>15</xdr:col>
      <xdr:colOff>561975</xdr:colOff>
      <xdr:row>119</xdr:row>
      <xdr:rowOff>0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6</xdr:row>
      <xdr:rowOff>42862</xdr:rowOff>
    </xdr:from>
    <xdr:to>
      <xdr:col>16</xdr:col>
      <xdr:colOff>419100</xdr:colOff>
      <xdr:row>20</xdr:row>
      <xdr:rowOff>119062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285750</xdr:colOff>
      <xdr:row>32</xdr:row>
      <xdr:rowOff>0</xdr:rowOff>
    </xdr:from>
    <xdr:to>
      <xdr:col>16</xdr:col>
      <xdr:colOff>533400</xdr:colOff>
      <xdr:row>45</xdr:row>
      <xdr:rowOff>95250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55</xdr:row>
      <xdr:rowOff>57150</xdr:rowOff>
    </xdr:from>
    <xdr:to>
      <xdr:col>17</xdr:col>
      <xdr:colOff>466725</xdr:colOff>
      <xdr:row>64</xdr:row>
      <xdr:rowOff>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247650</xdr:colOff>
      <xdr:row>2</xdr:row>
      <xdr:rowOff>76199</xdr:rowOff>
    </xdr:from>
    <xdr:to>
      <xdr:col>17</xdr:col>
      <xdr:colOff>457200</xdr:colOff>
      <xdr:row>13</xdr:row>
      <xdr:rowOff>109536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581026</xdr:colOff>
      <xdr:row>70</xdr:row>
      <xdr:rowOff>28575</xdr:rowOff>
    </xdr:from>
    <xdr:to>
      <xdr:col>16</xdr:col>
      <xdr:colOff>657226</xdr:colOff>
      <xdr:row>81</xdr:row>
      <xdr:rowOff>38100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561975</xdr:colOff>
      <xdr:row>81</xdr:row>
      <xdr:rowOff>114300</xdr:rowOff>
    </xdr:from>
    <xdr:to>
      <xdr:col>17</xdr:col>
      <xdr:colOff>638175</xdr:colOff>
      <xdr:row>90</xdr:row>
      <xdr:rowOff>66675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200025</xdr:colOff>
      <xdr:row>28</xdr:row>
      <xdr:rowOff>90487</xdr:rowOff>
    </xdr:from>
    <xdr:to>
      <xdr:col>13</xdr:col>
      <xdr:colOff>276225</xdr:colOff>
      <xdr:row>38</xdr:row>
      <xdr:rowOff>76200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563097</xdr:colOff>
      <xdr:row>28</xdr:row>
      <xdr:rowOff>19610</xdr:rowOff>
    </xdr:from>
    <xdr:to>
      <xdr:col>21</xdr:col>
      <xdr:colOff>515097</xdr:colOff>
      <xdr:row>38</xdr:row>
      <xdr:rowOff>168089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0</xdr:colOff>
      <xdr:row>40</xdr:row>
      <xdr:rowOff>0</xdr:rowOff>
    </xdr:from>
    <xdr:to>
      <xdr:col>20</xdr:col>
      <xdr:colOff>504825</xdr:colOff>
      <xdr:row>51</xdr:row>
      <xdr:rowOff>66675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560295</xdr:colOff>
      <xdr:row>102</xdr:row>
      <xdr:rowOff>169209</xdr:rowOff>
    </xdr:from>
    <xdr:to>
      <xdr:col>15</xdr:col>
      <xdr:colOff>257736</xdr:colOff>
      <xdr:row>112</xdr:row>
      <xdr:rowOff>290233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47</xdr:row>
      <xdr:rowOff>161925</xdr:rowOff>
    </xdr:from>
    <xdr:to>
      <xdr:col>3</xdr:col>
      <xdr:colOff>0</xdr:colOff>
      <xdr:row>52</xdr:row>
      <xdr:rowOff>30506</xdr:rowOff>
    </xdr:to>
    <xdr:pic>
      <xdr:nvPicPr>
        <xdr:cNvPr id="2" name="Grafik 1" descr="http://static.giga.de/wp-content/uploads/2017/05/excel-formel-werte-interpolieren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5425"/>
          <a:ext cx="2286000" cy="8210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AMS\GTAP8inGAMS\Rutherford%20-%20EnHH%20-%202\xcel_data\Archiv\co2pfad_vor1406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43_CarbonLeakage%20FutureCamp\Material\Rahmenannahmen\Emissionsminderungspfad_Zwischenbericht_20150512_O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43_CarbonLeakage%20FutureCamp\Bericht\report_pivot_merged_dias_BMWi_v46_x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43_CarbonLeakage%20FutureCamp\Material\Rahmenannahmen\Minderungspfad_TIMES\Daten&#252;bergabe%20ETS%20Grundszenario%201_2015-06-1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43_CarbonLeakage%20FutureCamp\Material\Rahmenannahmen\Emissionsminderungspfad_Zwischenbericht_2015060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AMS\NEWAGE_REEEM\xcel_data\Daten&#252;bergabe-IER_2015-07-24_V2_ob_th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43_CarbonLeakage%20FutureCamp\Material\Rahmenannahmen\Minderungspfad_TIMES\Umlaufmenge_20150529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m\Desktop\REEEM\Regional%20push\regional%20push%20co2%20grow%20path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-Referenzdateien/Daten_ENavi_9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Archiv/clusters%20emission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AMS\NEWAGE_REEEM_v2\xcel_data\data_TIMES\TIMES_PA_v2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-Referenzdateien/SzenarienAP3_UF_201806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2pfad_ets"/>
      <sheetName val="co2pfad_nonets"/>
      <sheetName val="Epro_Ra_ets"/>
      <sheetName val="Epro_Ra_nonets"/>
      <sheetName val="REF_ets"/>
      <sheetName val="REF_nonets"/>
    </sheetNames>
    <sheetDataSet>
      <sheetData sheetId="0"/>
      <sheetData sheetId="1"/>
      <sheetData sheetId="2"/>
      <sheetData sheetId="3"/>
      <sheetData sheetId="4"/>
      <sheetData sheetId="5">
        <row r="6">
          <cell r="E6">
            <v>0.95755681848889374</v>
          </cell>
          <cell r="F6">
            <v>0.95626490988398227</v>
          </cell>
          <cell r="G6">
            <v>0.9181406778760548</v>
          </cell>
          <cell r="H6">
            <v>0.88794280509723889</v>
          </cell>
          <cell r="I6">
            <v>0.8762424039651221</v>
          </cell>
          <cell r="J6">
            <v>0.85398160883121255</v>
          </cell>
          <cell r="K6">
            <v>0.831720813697303</v>
          </cell>
          <cell r="L6">
            <v>0.80514921837104736</v>
          </cell>
          <cell r="M6">
            <v>0.77857762304479194</v>
          </cell>
        </row>
        <row r="7">
          <cell r="E7">
            <v>0.99509108110636313</v>
          </cell>
          <cell r="F7">
            <v>1.0255697620662914</v>
          </cell>
          <cell r="G7">
            <v>1.0046243440100648</v>
          </cell>
          <cell r="H7">
            <v>0.99677305995293408</v>
          </cell>
          <cell r="I7">
            <v>1.0029458937396274</v>
          </cell>
          <cell r="J7">
            <v>1.0080646877812618</v>
          </cell>
          <cell r="K7">
            <v>1.0131834818228966</v>
          </cell>
          <cell r="L7">
            <v>1.0032905689966833</v>
          </cell>
          <cell r="M7">
            <v>0.99339765617046993</v>
          </cell>
        </row>
        <row r="8">
          <cell r="E8">
            <v>1.0675767845615654</v>
          </cell>
          <cell r="F8">
            <v>1.1454651384122507</v>
          </cell>
          <cell r="G8">
            <v>1.1560836898852946</v>
          </cell>
          <cell r="H8">
            <v>1.201573422521941</v>
          </cell>
          <cell r="I8">
            <v>1.2733463109486085</v>
          </cell>
          <cell r="J8">
            <v>1.3120788719161181</v>
          </cell>
          <cell r="K8">
            <v>1.3508114328836272</v>
          </cell>
          <cell r="L8">
            <v>1.363038899460782</v>
          </cell>
          <cell r="M8">
            <v>1.3752663660379372</v>
          </cell>
        </row>
        <row r="10">
          <cell r="F10">
            <v>1.6419710205058919</v>
          </cell>
          <cell r="G10">
            <v>1.6419710205058919</v>
          </cell>
          <cell r="H10">
            <v>1.6419710205058919</v>
          </cell>
          <cell r="I10">
            <v>1.6419710205058919</v>
          </cell>
          <cell r="J10">
            <v>1.6419710205058919</v>
          </cell>
          <cell r="K10">
            <v>1.6419710205058919</v>
          </cell>
          <cell r="L10">
            <v>1.6419710205058919</v>
          </cell>
          <cell r="M10">
            <v>1.6419710205058919</v>
          </cell>
        </row>
        <row r="11">
          <cell r="E11">
            <v>0.95447601552200689</v>
          </cell>
          <cell r="F11">
            <v>0.9059220070695071</v>
          </cell>
          <cell r="G11">
            <v>0.85736799861700763</v>
          </cell>
          <cell r="H11">
            <v>0.81449959868615729</v>
          </cell>
          <cell r="I11">
            <v>0.77163119875530672</v>
          </cell>
          <cell r="J11">
            <v>0.73101903039976435</v>
          </cell>
          <cell r="K11">
            <v>0.69254434458925029</v>
          </cell>
          <cell r="L11">
            <v>0.65609464224244751</v>
          </cell>
          <cell r="M11">
            <v>0.6215633452823186</v>
          </cell>
        </row>
        <row r="12">
          <cell r="E12">
            <v>0.96437060742893743</v>
          </cell>
          <cell r="F12">
            <v>0.92280551020053803</v>
          </cell>
          <cell r="G12">
            <v>0.8812404129721384</v>
          </cell>
          <cell r="H12">
            <v>0.84154749497165737</v>
          </cell>
          <cell r="I12">
            <v>0.80364242931680252</v>
          </cell>
          <cell r="J12">
            <v>0.76744468738506955</v>
          </cell>
          <cell r="K12">
            <v>0.73287736773214818</v>
          </cell>
          <cell r="L12">
            <v>0.69986703271620243</v>
          </cell>
          <cell r="M12">
            <v>0.66834355248093713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33">
          <cell r="A33">
            <v>6.5412834224598926E-2</v>
          </cell>
        </row>
        <row r="36">
          <cell r="A36">
            <v>1.6097326203208556E-2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2pfad_BMWi"/>
      <sheetName val="CO2ets_yr.p (2)"/>
      <sheetName val="RWA.p (2)"/>
      <sheetName val="GVAreal.p (3)"/>
      <sheetName val="Dia_GDP+Empl"/>
      <sheetName val="CO2ets_yr.p (REF)"/>
      <sheetName val="Pco2ets_yr.p"/>
      <sheetName val="Pco2ets_yr.p (ref)"/>
      <sheetName val="PA_yr.DEU2"/>
      <sheetName val="RCA.p"/>
      <sheetName val="CO2elecost.p"/>
      <sheetName val="CO2elecost.p (2)"/>
      <sheetName val="------"/>
      <sheetName val="ELEconTWH_2.p"/>
      <sheetName val="ELEconTWH_2.p (3)"/>
      <sheetName val="Exports.p"/>
      <sheetName val="Exports.p_abs"/>
      <sheetName val="RWA.p"/>
      <sheetName val="Dia_GDP_data"/>
      <sheetName val="Dia_Empl_data"/>
      <sheetName val="WELF.p"/>
      <sheetName val="WELF.p (2)"/>
      <sheetName val="GDPreal_yr.p"/>
      <sheetName val="GDPreal_yr.p_2"/>
      <sheetName val="GDPreal_yr.p_world"/>
      <sheetName val="UR_yr.p"/>
      <sheetName val="UR_yr.p (2)"/>
      <sheetName val="Emplmntno.p"/>
      <sheetName val="EMPLMT.p"/>
      <sheetName val="EMPLMT.p (2)"/>
      <sheetName val="EMPLMT.p_Don't change!"/>
      <sheetName val="AbsoluteEmployment"/>
      <sheetName val="AB.p_diff%"/>
      <sheetName val="AB.p_diff"/>
      <sheetName val="AB.p (1)"/>
      <sheetName val="AB.p (2)"/>
      <sheetName val="AB.p (3)"/>
      <sheetName val="Tradematrix.p_AUT"/>
      <sheetName val="Tradematrix.p_AUT (2)"/>
      <sheetName val="Tradematrix.p_BAW"/>
      <sheetName val="Tradematrix.p_BAW (2)"/>
      <sheetName val="Tradematrix.p_DEU"/>
      <sheetName val="Tradematrix.p_DEU (2)"/>
      <sheetName val="Tradematrix.p_DEU (3)"/>
      <sheetName val="Tradematrix.p (3)"/>
      <sheetName val="EX.p"/>
      <sheetName val="IM.p"/>
      <sheetName val="Tabelle1"/>
      <sheetName val="GVAreal.p"/>
      <sheetName val="GVAreal.p (2)"/>
      <sheetName val="DEMAND.p"/>
      <sheetName val="DEMAND.p (2)"/>
      <sheetName val="ELEconTWh.p"/>
      <sheetName val="ELEconTWH_2.p (2)"/>
      <sheetName val="ELEconTWh.p (2)"/>
      <sheetName val="ELEconTWh_REF.p"/>
      <sheetName val="ELEconTWH_DEU.p (2)"/>
      <sheetName val="ELEconTWH_BAW.p"/>
      <sheetName val="ELEconTWH_BAW.p (2)"/>
      <sheetName val="ELEconTWH_BAW.p (3)"/>
      <sheetName val="CO2ets_yr.p (ETS)"/>
      <sheetName val="CO2ets_yr.p"/>
      <sheetName val="CO2ets_y.p"/>
      <sheetName val="CO2ets_elex.p"/>
      <sheetName val="CO2ets_elen.p"/>
      <sheetName val="VC_PC.p"/>
      <sheetName val="VC_PC.p (2)"/>
      <sheetName val="VINV_PINV.p"/>
      <sheetName val="VINV_PINV.p (2)"/>
      <sheetName val="PUSK_yr.p"/>
      <sheetName val="PSKL_yr.p"/>
      <sheetName val="PC_yr.p"/>
      <sheetName val="PA_yr.DEU"/>
      <sheetName val="PA_yr.BAW (2)"/>
      <sheetName val="PY_yr.p"/>
      <sheetName val="Pco2ets_yr.p (2)"/>
      <sheetName val="PGEN_yr.p"/>
      <sheetName val="RKX_ELE_yr.p"/>
      <sheetName val="EVOA_yr.p"/>
      <sheetName val="---"/>
      <sheetName val="Legend"/>
    </sheetNames>
    <sheetDataSet>
      <sheetData sheetId="0">
        <row r="90">
          <cell r="D90">
            <v>2010</v>
          </cell>
          <cell r="E90">
            <v>2015</v>
          </cell>
          <cell r="F90">
            <v>2020</v>
          </cell>
          <cell r="G90">
            <v>2025</v>
          </cell>
          <cell r="H90">
            <v>2030</v>
          </cell>
        </row>
        <row r="112">
          <cell r="A112" t="str">
            <v>Basisfall</v>
          </cell>
          <cell r="C112">
            <v>2037.225287356327</v>
          </cell>
          <cell r="D112">
            <v>1962.4252873563269</v>
          </cell>
          <cell r="E112">
            <v>1775.4252873563264</v>
          </cell>
          <cell r="F112">
            <v>1588.425287356326</v>
          </cell>
          <cell r="G112">
            <v>1401.4252873563255</v>
          </cell>
        </row>
        <row r="115">
          <cell r="A115" t="str">
            <v>Status-Quo</v>
          </cell>
          <cell r="C115">
            <v>2037.225287356327</v>
          </cell>
          <cell r="D115">
            <v>1962.4252873563269</v>
          </cell>
          <cell r="E115">
            <v>1775.4252873563264</v>
          </cell>
          <cell r="F115">
            <v>1538.9885057471304</v>
          </cell>
          <cell r="G115">
            <v>1302.5517241379343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Tabelle2"/>
      <sheetName val="Tabelle3"/>
    </sheetNames>
    <sheetDataSet>
      <sheetData sheetId="0">
        <row r="4">
          <cell r="C4">
            <v>2199429249</v>
          </cell>
          <cell r="D4">
            <v>1959710328</v>
          </cell>
          <cell r="E4">
            <v>-400000000</v>
          </cell>
          <cell r="F4">
            <v>3759139577</v>
          </cell>
        </row>
        <row r="5">
          <cell r="C5">
            <v>2025942022</v>
          </cell>
          <cell r="D5">
            <v>1812000000</v>
          </cell>
          <cell r="E5">
            <v>-400000000</v>
          </cell>
          <cell r="F5">
            <v>3437942022</v>
          </cell>
        </row>
        <row r="6">
          <cell r="C6">
            <v>1874728824</v>
          </cell>
          <cell r="D6">
            <v>1988210000</v>
          </cell>
          <cell r="E6">
            <v>-400000000</v>
          </cell>
          <cell r="F6">
            <v>3462938824</v>
          </cell>
        </row>
        <row r="7">
          <cell r="C7">
            <v>1464338660</v>
          </cell>
          <cell r="D7">
            <v>1983292000</v>
          </cell>
          <cell r="E7">
            <v>-400000000</v>
          </cell>
          <cell r="F7">
            <v>3047630660</v>
          </cell>
        </row>
        <row r="8">
          <cell r="C8">
            <v>1234250106</v>
          </cell>
          <cell r="D8">
            <v>1978374000</v>
          </cell>
          <cell r="E8">
            <v>-400000000</v>
          </cell>
          <cell r="F8">
            <v>2812624106</v>
          </cell>
        </row>
        <row r="9">
          <cell r="C9">
            <v>984534211</v>
          </cell>
          <cell r="D9">
            <v>1973456000</v>
          </cell>
          <cell r="E9">
            <v>-400000000</v>
          </cell>
          <cell r="F9">
            <v>2557990211</v>
          </cell>
        </row>
        <row r="10">
          <cell r="C10">
            <v>596893915</v>
          </cell>
          <cell r="D10">
            <v>1968538000</v>
          </cell>
          <cell r="E10">
            <v>-400000000</v>
          </cell>
          <cell r="F10">
            <v>2165431915</v>
          </cell>
        </row>
        <row r="11">
          <cell r="C11">
            <v>307711874</v>
          </cell>
          <cell r="D11">
            <v>1963620000</v>
          </cell>
          <cell r="E11">
            <v>-400000000</v>
          </cell>
          <cell r="F11">
            <v>1871331874</v>
          </cell>
        </row>
        <row r="12">
          <cell r="C12">
            <v>270687934</v>
          </cell>
          <cell r="D12">
            <v>1905096000</v>
          </cell>
          <cell r="E12">
            <v>-400000000</v>
          </cell>
          <cell r="F12">
            <v>1775783934</v>
          </cell>
        </row>
        <row r="13">
          <cell r="C13">
            <v>243807913</v>
          </cell>
          <cell r="D13">
            <v>1846572000</v>
          </cell>
          <cell r="E13">
            <v>-400000000</v>
          </cell>
          <cell r="F13">
            <v>1690379913</v>
          </cell>
        </row>
        <row r="14">
          <cell r="C14">
            <v>227071811</v>
          </cell>
          <cell r="D14">
            <v>1788048000</v>
          </cell>
          <cell r="E14">
            <v>-400000000</v>
          </cell>
          <cell r="F14">
            <v>1615119811</v>
          </cell>
        </row>
        <row r="15">
          <cell r="C15">
            <v>220479628</v>
          </cell>
          <cell r="D15">
            <v>1729524000</v>
          </cell>
          <cell r="E15">
            <v>-400000000</v>
          </cell>
          <cell r="F15">
            <v>1550003628</v>
          </cell>
        </row>
        <row r="16">
          <cell r="C16">
            <v>224031364</v>
          </cell>
          <cell r="D16">
            <v>1671000000</v>
          </cell>
          <cell r="E16">
            <v>-400000000</v>
          </cell>
          <cell r="F16">
            <v>1495031364</v>
          </cell>
        </row>
        <row r="17">
          <cell r="C17">
            <v>233203019</v>
          </cell>
          <cell r="D17">
            <v>1617000000</v>
          </cell>
          <cell r="E17">
            <v>-400000000</v>
          </cell>
          <cell r="F17">
            <v>1450203019</v>
          </cell>
        </row>
        <row r="18">
          <cell r="C18">
            <v>247994593</v>
          </cell>
          <cell r="D18">
            <v>1563000000</v>
          </cell>
          <cell r="E18">
            <v>-400000000</v>
          </cell>
          <cell r="F18">
            <v>1410994593</v>
          </cell>
        </row>
        <row r="19">
          <cell r="C19">
            <v>268406086</v>
          </cell>
          <cell r="D19">
            <v>1509000000</v>
          </cell>
          <cell r="E19">
            <v>-400000000</v>
          </cell>
          <cell r="F19">
            <v>1377406086</v>
          </cell>
        </row>
        <row r="20">
          <cell r="C20">
            <v>294437498</v>
          </cell>
          <cell r="D20">
            <v>1455000000</v>
          </cell>
          <cell r="E20">
            <v>-400000000</v>
          </cell>
          <cell r="F20">
            <v>1349437498</v>
          </cell>
        </row>
        <row r="21">
          <cell r="C21">
            <v>326088829</v>
          </cell>
          <cell r="D21">
            <v>1401000000</v>
          </cell>
          <cell r="E21">
            <v>-400000000</v>
          </cell>
          <cell r="F21">
            <v>1327088829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1">
          <cell r="A1" t="str">
            <v>bis 2013 mit Daten von:</v>
          </cell>
        </row>
        <row r="15">
          <cell r="A15" t="str">
            <v>Angepasste Reduktionsfaktoren, zur Zielerreichung in 2020 und 2030</v>
          </cell>
        </row>
        <row r="16">
          <cell r="I16" t="str">
            <v>Reduktionsfaktor nach 2030 2,2%</v>
          </cell>
        </row>
        <row r="17">
          <cell r="B17">
            <v>2005</v>
          </cell>
          <cell r="C17">
            <v>2010</v>
          </cell>
          <cell r="D17">
            <v>2013</v>
          </cell>
          <cell r="E17">
            <v>2015</v>
          </cell>
          <cell r="F17">
            <v>2020</v>
          </cell>
          <cell r="G17">
            <v>2025</v>
          </cell>
          <cell r="H17">
            <v>2030</v>
          </cell>
          <cell r="I17">
            <v>2035</v>
          </cell>
          <cell r="J17">
            <v>2040</v>
          </cell>
          <cell r="K17">
            <v>2045</v>
          </cell>
          <cell r="L17">
            <v>2050</v>
          </cell>
        </row>
        <row r="18">
          <cell r="A18" t="str">
            <v>Mio. t</v>
          </cell>
          <cell r="B18">
            <v>2457.7354636981117</v>
          </cell>
          <cell r="C18">
            <v>2196.647019286122</v>
          </cell>
          <cell r="D18">
            <v>2113.3295069999999</v>
          </cell>
        </row>
        <row r="19">
          <cell r="A19" t="str">
            <v>t</v>
          </cell>
        </row>
        <row r="20">
          <cell r="B20" t="str">
            <v>Veränderung geg. 2010</v>
          </cell>
        </row>
        <row r="21">
          <cell r="B21" t="str">
            <v>Veränderung geg. 2005</v>
          </cell>
        </row>
        <row r="23">
          <cell r="A23" t="str">
            <v>Reduktionsfaktor</v>
          </cell>
          <cell r="B23">
            <v>1.1167571639271621E-2</v>
          </cell>
          <cell r="C23">
            <v>2.4614869720366115E-2</v>
          </cell>
        </row>
        <row r="24">
          <cell r="B24">
            <v>24.531212954070238</v>
          </cell>
          <cell r="C24">
            <v>54.070180201358447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en"/>
      <sheetName val="1"/>
      <sheetName val="2.1"/>
      <sheetName val="3.1"/>
      <sheetName val="4.1"/>
      <sheetName val="5.1"/>
      <sheetName val="Vergleich"/>
      <sheetName val="Tabelle1"/>
      <sheetName val="1_alt"/>
    </sheetNames>
    <sheetDataSet>
      <sheetData sheetId="0">
        <row r="1">
          <cell r="D1">
            <v>1</v>
          </cell>
          <cell r="E1" t="str">
            <v>2.1</v>
          </cell>
          <cell r="F1" t="str">
            <v>3.1</v>
          </cell>
          <cell r="G1" t="str">
            <v>4.1</v>
          </cell>
          <cell r="H1" t="str">
            <v>5.1</v>
          </cell>
        </row>
        <row r="5">
          <cell r="A5">
            <v>2015</v>
          </cell>
          <cell r="D5">
            <v>2483707807.7776999</v>
          </cell>
          <cell r="E5">
            <v>2498093117.6646943</v>
          </cell>
          <cell r="F5">
            <v>2622360544.7267289</v>
          </cell>
          <cell r="G5">
            <v>2483707807.7776999</v>
          </cell>
          <cell r="H5">
            <v>2592986773.8127661</v>
          </cell>
          <cell r="J5">
            <v>1812347896</v>
          </cell>
          <cell r="K5">
            <v>1812347896</v>
          </cell>
          <cell r="L5">
            <v>1812347896</v>
          </cell>
          <cell r="M5">
            <v>1812347896</v>
          </cell>
          <cell r="N5">
            <v>1812347896</v>
          </cell>
          <cell r="P5">
            <v>1907195865.8933334</v>
          </cell>
          <cell r="Q5">
            <v>1907195865.8933334</v>
          </cell>
          <cell r="R5">
            <v>1857195865.8933334</v>
          </cell>
          <cell r="S5">
            <v>1907195865.8933334</v>
          </cell>
          <cell r="T5">
            <v>1857195865.8933334</v>
          </cell>
        </row>
        <row r="6">
          <cell r="A6">
            <v>2016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J6">
            <v>1812347896</v>
          </cell>
          <cell r="K6">
            <v>1812347896</v>
          </cell>
          <cell r="L6">
            <v>1812347896</v>
          </cell>
          <cell r="M6">
            <v>1812347896</v>
          </cell>
          <cell r="N6">
            <v>1812347896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</row>
        <row r="7">
          <cell r="A7">
            <v>2017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J7">
            <v>1812347896</v>
          </cell>
          <cell r="K7">
            <v>1812347896</v>
          </cell>
          <cell r="L7">
            <v>1812347896</v>
          </cell>
          <cell r="M7">
            <v>1812347896</v>
          </cell>
          <cell r="N7">
            <v>1812347896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</row>
        <row r="8">
          <cell r="A8">
            <v>2018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J8">
            <v>1812347896</v>
          </cell>
          <cell r="K8">
            <v>1812347896</v>
          </cell>
          <cell r="L8">
            <v>1812347896</v>
          </cell>
          <cell r="M8">
            <v>1812347896</v>
          </cell>
          <cell r="N8">
            <v>1812347896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</row>
        <row r="9">
          <cell r="A9">
            <v>2019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J9">
            <v>1812347896</v>
          </cell>
          <cell r="K9">
            <v>1812347896</v>
          </cell>
          <cell r="L9">
            <v>1812347896</v>
          </cell>
          <cell r="M9">
            <v>1812347896</v>
          </cell>
          <cell r="N9">
            <v>1812347896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</row>
        <row r="10">
          <cell r="A10">
            <v>2020</v>
          </cell>
          <cell r="D10">
            <v>2394098242.8977995</v>
          </cell>
          <cell r="E10">
            <v>2371355742.3593206</v>
          </cell>
          <cell r="F10">
            <v>2270857957.4607601</v>
          </cell>
          <cell r="G10">
            <v>2394098242.8977995</v>
          </cell>
          <cell r="H10">
            <v>2222912230.5063224</v>
          </cell>
          <cell r="J10">
            <v>1812347896</v>
          </cell>
          <cell r="K10">
            <v>1812347896</v>
          </cell>
          <cell r="L10">
            <v>1812347896</v>
          </cell>
          <cell r="M10">
            <v>1812347896</v>
          </cell>
          <cell r="N10">
            <v>1812347896</v>
          </cell>
          <cell r="P10">
            <v>1252097229.2356331</v>
          </cell>
          <cell r="Q10">
            <v>1237711919.3486388</v>
          </cell>
          <cell r="R10">
            <v>1038444492.2866042</v>
          </cell>
          <cell r="S10">
            <v>1252097229.2356331</v>
          </cell>
          <cell r="T10">
            <v>1067818263.200567</v>
          </cell>
        </row>
        <row r="11">
          <cell r="A11">
            <v>2021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J11">
            <v>1771113106.4000001</v>
          </cell>
          <cell r="K11">
            <v>1771113106.4000001</v>
          </cell>
          <cell r="L11">
            <v>1771113106.4000001</v>
          </cell>
          <cell r="M11">
            <v>1771113106.4000001</v>
          </cell>
          <cell r="N11">
            <v>1771113106.4000001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</row>
        <row r="12">
          <cell r="A12">
            <v>2022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J12">
            <v>1729878316.8000002</v>
          </cell>
          <cell r="K12">
            <v>1729878316.8000002</v>
          </cell>
          <cell r="L12">
            <v>1729878316.8000002</v>
          </cell>
          <cell r="M12">
            <v>1729878316.8000002</v>
          </cell>
          <cell r="N12">
            <v>1729878316.8000002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</row>
        <row r="13">
          <cell r="A13">
            <v>2023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J13">
            <v>1688643527.2000003</v>
          </cell>
          <cell r="K13">
            <v>1688643527.2000003</v>
          </cell>
          <cell r="L13">
            <v>1688643527.2000003</v>
          </cell>
          <cell r="M13">
            <v>1688643527.2000003</v>
          </cell>
          <cell r="N13">
            <v>1688643527.2000003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</row>
        <row r="14">
          <cell r="A14">
            <v>2024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J14">
            <v>1647408737.6000004</v>
          </cell>
          <cell r="K14">
            <v>1647408737.6000004</v>
          </cell>
          <cell r="L14">
            <v>1647408737.6000004</v>
          </cell>
          <cell r="M14">
            <v>1647408737.6000004</v>
          </cell>
          <cell r="N14">
            <v>1647408737.6000004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</row>
        <row r="15">
          <cell r="A15">
            <v>2025</v>
          </cell>
          <cell r="D15">
            <v>1846748959.3460226</v>
          </cell>
          <cell r="E15">
            <v>1846474964.0653095</v>
          </cell>
          <cell r="F15">
            <v>1592150857.7288625</v>
          </cell>
          <cell r="G15">
            <v>1846748959.3460226</v>
          </cell>
          <cell r="H15">
            <v>1776575523.424448</v>
          </cell>
          <cell r="J15">
            <v>1606173948.0000005</v>
          </cell>
          <cell r="K15">
            <v>1606173948.0000005</v>
          </cell>
          <cell r="L15">
            <v>1606173948.0000005</v>
          </cell>
          <cell r="M15">
            <v>1606173948.0000005</v>
          </cell>
          <cell r="N15">
            <v>1606173948.0000005</v>
          </cell>
          <cell r="P15">
            <v>624355226.89663374</v>
          </cell>
          <cell r="Q15">
            <v>624261059.4874537</v>
          </cell>
          <cell r="R15">
            <v>486124879.08719409</v>
          </cell>
          <cell r="S15">
            <v>624355226.89663374</v>
          </cell>
          <cell r="T15">
            <v>586613920.55131245</v>
          </cell>
        </row>
        <row r="16">
          <cell r="A16">
            <v>2026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J16">
            <v>1564939158.4000006</v>
          </cell>
          <cell r="K16">
            <v>1564939158.4000006</v>
          </cell>
          <cell r="L16">
            <v>1564939158.4000006</v>
          </cell>
          <cell r="M16">
            <v>1564939158.4000006</v>
          </cell>
          <cell r="N16">
            <v>1564939158.4000006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</row>
        <row r="17">
          <cell r="A17">
            <v>2027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J17">
            <v>1523704368.8000007</v>
          </cell>
          <cell r="K17">
            <v>1523704368.8000007</v>
          </cell>
          <cell r="L17">
            <v>1523704368.8000007</v>
          </cell>
          <cell r="M17">
            <v>1523704368.8000007</v>
          </cell>
          <cell r="N17">
            <v>1523704368.8000007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</row>
        <row r="18">
          <cell r="A18">
            <v>2028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J18">
            <v>1482469579.2000008</v>
          </cell>
          <cell r="K18">
            <v>1482469579.2000008</v>
          </cell>
          <cell r="L18">
            <v>1482469579.2000008</v>
          </cell>
          <cell r="M18">
            <v>1482469579.2000008</v>
          </cell>
          <cell r="N18">
            <v>1482469579.2000008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</row>
        <row r="19">
          <cell r="A19">
            <v>2029</v>
          </cell>
          <cell r="D19">
            <v>1284809334.5206096</v>
          </cell>
          <cell r="E19">
            <v>1293440520.4528069</v>
          </cell>
          <cell r="F19">
            <v>1413828211.4188089</v>
          </cell>
          <cell r="G19">
            <v>1284809334.5206096</v>
          </cell>
          <cell r="H19">
            <v>1341563364.3467631</v>
          </cell>
          <cell r="J19">
            <v>1441234789.6000009</v>
          </cell>
          <cell r="K19">
            <v>1441234789.6000009</v>
          </cell>
          <cell r="L19">
            <v>1441234789.6000009</v>
          </cell>
          <cell r="M19">
            <v>1441234789.6000009</v>
          </cell>
          <cell r="N19">
            <v>1441234789.6000009</v>
          </cell>
          <cell r="P19">
            <v>352158003.54061055</v>
          </cell>
          <cell r="Q19">
            <v>360789189.47280777</v>
          </cell>
          <cell r="R19">
            <v>448753879.64178312</v>
          </cell>
          <cell r="S19">
            <v>352158003.54061055</v>
          </cell>
          <cell r="T19">
            <v>391862313.99123347</v>
          </cell>
        </row>
        <row r="20">
          <cell r="A20">
            <v>2030</v>
          </cell>
          <cell r="D20">
            <v>1284809334.5206096</v>
          </cell>
          <cell r="E20">
            <v>1293440520.4528069</v>
          </cell>
          <cell r="F20">
            <v>1413828211.4188089</v>
          </cell>
          <cell r="G20">
            <v>1284809334.5206096</v>
          </cell>
          <cell r="H20">
            <v>1341563364.3467631</v>
          </cell>
          <cell r="J20">
            <v>1400000000</v>
          </cell>
          <cell r="K20">
            <v>1400000000</v>
          </cell>
          <cell r="L20">
            <v>1400000000</v>
          </cell>
          <cell r="M20">
            <v>1400000000</v>
          </cell>
          <cell r="N20">
            <v>1400000000</v>
          </cell>
          <cell r="P20">
            <v>352158003.54061055</v>
          </cell>
          <cell r="Q20">
            <v>360789189.47280777</v>
          </cell>
          <cell r="R20">
            <v>448753879.64178312</v>
          </cell>
          <cell r="S20">
            <v>352158003.54061055</v>
          </cell>
          <cell r="T20">
            <v>391862313.99123347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7">
          <cell r="F7">
            <v>1.8665769613686534</v>
          </cell>
        </row>
        <row r="12">
          <cell r="F12">
            <v>1.3278571260864558</v>
          </cell>
        </row>
        <row r="17">
          <cell r="F17">
            <v>1.0488510659598407</v>
          </cell>
        </row>
        <row r="22">
          <cell r="F22">
            <v>0.99964198515140301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dc"/>
      <sheetName val="CP"/>
      <sheetName val="regional push"/>
      <sheetName val="OECD"/>
    </sheetNames>
    <sheetDataSet>
      <sheetData sheetId="0"/>
      <sheetData sheetId="1"/>
      <sheetData sheetId="2"/>
      <sheetData sheetId="3">
        <row r="53">
          <cell r="C53">
            <v>1</v>
          </cell>
          <cell r="D53">
            <v>1.0069738087438602</v>
          </cell>
          <cell r="E53">
            <v>0.92729343001487041</v>
          </cell>
          <cell r="F53">
            <v>0.84761305128588071</v>
          </cell>
          <cell r="G53">
            <v>0.76793267255689079</v>
          </cell>
          <cell r="H53">
            <v>0.68825229382790098</v>
          </cell>
          <cell r="I53">
            <v>0.60857191509891129</v>
          </cell>
          <cell r="J53">
            <v>0.52889153636992137</v>
          </cell>
          <cell r="K53">
            <v>0.44921115764093167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3-starkes Europa"/>
    </sheetNames>
    <sheetDataSet>
      <sheetData sheetId="0">
        <row r="12">
          <cell r="I12">
            <v>1</v>
          </cell>
        </row>
        <row r="14">
          <cell r="I14">
            <v>0.92100000000000004</v>
          </cell>
        </row>
        <row r="31">
          <cell r="I31">
            <v>0.88495458326136955</v>
          </cell>
        </row>
        <row r="32">
          <cell r="I32">
            <v>0.7471953644133662</v>
          </cell>
        </row>
        <row r="33">
          <cell r="I33">
            <v>0.60943614556536285</v>
          </cell>
        </row>
        <row r="34">
          <cell r="I34">
            <v>0.4716769267173595</v>
          </cell>
        </row>
        <row r="35">
          <cell r="I35">
            <v>0.33391770786935615</v>
          </cell>
        </row>
        <row r="36">
          <cell r="I36">
            <v>0.19615848902135272</v>
          </cell>
        </row>
        <row r="37">
          <cell r="I37">
            <v>5.8399270173349449E-2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ETS targets"/>
      <sheetName val="emissions_history_GHG_NEWAGE"/>
      <sheetName val="input_NEWAGE"/>
      <sheetName val="NEWAGE mapping"/>
      <sheetName val="CO2_per_GDP"/>
      <sheetName val="emissions_CO2_allCountries"/>
      <sheetName val="emissions_nonETS_GHG_EU28"/>
      <sheetName val="GHG_nonETS_proj"/>
      <sheetName val="GHG_reduction_NEWAGE"/>
    </sheetNames>
    <sheetDataSet>
      <sheetData sheetId="0"/>
      <sheetData sheetId="1"/>
      <sheetData sheetId="2">
        <row r="1">
          <cell r="B1">
            <v>2011</v>
          </cell>
          <cell r="C1">
            <v>2015</v>
          </cell>
          <cell r="D1">
            <v>2020</v>
          </cell>
          <cell r="E1">
            <v>2025</v>
          </cell>
          <cell r="F1">
            <v>2030</v>
          </cell>
          <cell r="G1">
            <v>2035</v>
          </cell>
          <cell r="H1">
            <v>2040</v>
          </cell>
          <cell r="I1">
            <v>2045</v>
          </cell>
          <cell r="J1">
            <v>2050</v>
          </cell>
        </row>
        <row r="2">
          <cell r="A2" t="str">
            <v>DEU</v>
          </cell>
          <cell r="B2">
            <v>1</v>
          </cell>
          <cell r="C2">
            <v>1.0108350415606064</v>
          </cell>
          <cell r="D2">
            <v>0.90748181019530105</v>
          </cell>
          <cell r="E2">
            <v>0.78085644133084042</v>
          </cell>
          <cell r="F2">
            <v>0.65423107246637979</v>
          </cell>
          <cell r="G2">
            <v>0.54343387470997684</v>
          </cell>
          <cell r="H2">
            <v>0.43263667695357377</v>
          </cell>
          <cell r="I2">
            <v>0.32183947919717071</v>
          </cell>
          <cell r="J2">
            <v>0.21104228144076762</v>
          </cell>
        </row>
        <row r="3">
          <cell r="A3" t="str">
            <v>FRA</v>
          </cell>
          <cell r="B3">
            <v>1</v>
          </cell>
          <cell r="C3">
            <v>1.0001643655489809</v>
          </cell>
          <cell r="D3">
            <v>0.93197293447293428</v>
          </cell>
          <cell r="E3">
            <v>0.80734864672364659</v>
          </cell>
          <cell r="F3">
            <v>0.6827243589743589</v>
          </cell>
          <cell r="G3">
            <v>0.56622774216524208</v>
          </cell>
          <cell r="H3">
            <v>0.44973112535612531</v>
          </cell>
          <cell r="I3">
            <v>0.33323450854700853</v>
          </cell>
          <cell r="J3">
            <v>0.21673789173789168</v>
          </cell>
        </row>
        <row r="4">
          <cell r="A4" t="str">
            <v>ITA</v>
          </cell>
          <cell r="B4">
            <v>1</v>
          </cell>
          <cell r="C4">
            <v>0.92295704024935621</v>
          </cell>
          <cell r="D4">
            <v>0.95900664046618755</v>
          </cell>
          <cell r="E4">
            <v>0.85306986041469013</v>
          </cell>
          <cell r="F4">
            <v>0.7471330803631927</v>
          </cell>
          <cell r="G4">
            <v>0.61610601029949852</v>
          </cell>
          <cell r="H4">
            <v>0.48507894023580433</v>
          </cell>
          <cell r="I4">
            <v>0.35405187017210998</v>
          </cell>
          <cell r="J4">
            <v>0.22302480010841572</v>
          </cell>
        </row>
        <row r="5">
          <cell r="A5" t="str">
            <v>POL</v>
          </cell>
          <cell r="B5">
            <v>1</v>
          </cell>
          <cell r="C5">
            <v>0.94899132434409961</v>
          </cell>
          <cell r="D5">
            <v>1.0486641580432738</v>
          </cell>
          <cell r="E5">
            <v>0.95207666980244576</v>
          </cell>
          <cell r="F5">
            <v>0.85548918156161791</v>
          </cell>
          <cell r="G5">
            <v>0.75660199121981808</v>
          </cell>
          <cell r="H5">
            <v>0.65771480087801826</v>
          </cell>
          <cell r="I5">
            <v>0.55882761053621821</v>
          </cell>
          <cell r="J5">
            <v>0.45994042019441828</v>
          </cell>
        </row>
        <row r="6">
          <cell r="A6" t="str">
            <v>UKI</v>
          </cell>
          <cell r="B6">
            <v>1</v>
          </cell>
          <cell r="C6">
            <v>0.96924029727497929</v>
          </cell>
          <cell r="D6">
            <v>1.0273575557390586</v>
          </cell>
          <cell r="E6">
            <v>0.89893786127167619</v>
          </cell>
          <cell r="F6">
            <v>0.77051816680429397</v>
          </cell>
          <cell r="G6">
            <v>0.63904086056387877</v>
          </cell>
          <cell r="H6">
            <v>0.50756355432346345</v>
          </cell>
          <cell r="I6">
            <v>0.37608624808304825</v>
          </cell>
          <cell r="J6">
            <v>0.24460894184263296</v>
          </cell>
        </row>
        <row r="7">
          <cell r="A7" t="str">
            <v>ESP</v>
          </cell>
          <cell r="B7">
            <v>1</v>
          </cell>
          <cell r="C7">
            <v>0.92070246015782142</v>
          </cell>
          <cell r="D7">
            <v>1.0075866470679253</v>
          </cell>
          <cell r="E7">
            <v>0.91798081386353103</v>
          </cell>
          <cell r="F7">
            <v>0.82837498065913673</v>
          </cell>
          <cell r="G7">
            <v>0.67608744004332366</v>
          </cell>
          <cell r="H7">
            <v>0.52379989942751048</v>
          </cell>
          <cell r="I7">
            <v>0.37151235881169736</v>
          </cell>
          <cell r="J7">
            <v>0.21922481819588424</v>
          </cell>
        </row>
        <row r="8">
          <cell r="A8" t="str">
            <v>BNL</v>
          </cell>
          <cell r="B8">
            <v>1</v>
          </cell>
          <cell r="C8">
            <v>0.91278434488924209</v>
          </cell>
          <cell r="D8">
            <v>0.88304956789510269</v>
          </cell>
          <cell r="E8">
            <v>0.77814741233733964</v>
          </cell>
          <cell r="F8">
            <v>0.67324525677957681</v>
          </cell>
          <cell r="G8">
            <v>0.55738502036356419</v>
          </cell>
          <cell r="H8">
            <v>0.44152478394755151</v>
          </cell>
          <cell r="I8">
            <v>0.32566454753153867</v>
          </cell>
          <cell r="J8">
            <v>0.20980431111552592</v>
          </cell>
        </row>
        <row r="9">
          <cell r="A9" t="str">
            <v>EUN</v>
          </cell>
          <cell r="B9">
            <v>1</v>
          </cell>
          <cell r="C9">
            <v>0.94918433467856533</v>
          </cell>
          <cell r="D9">
            <v>0.92254703575285635</v>
          </cell>
          <cell r="E9">
            <v>0.82076735065082707</v>
          </cell>
          <cell r="F9">
            <v>0.71898766554879767</v>
          </cell>
          <cell r="G9">
            <v>0.59993534360256917</v>
          </cell>
          <cell r="H9">
            <v>0.48088302165634056</v>
          </cell>
          <cell r="I9">
            <v>0.36183069971011195</v>
          </cell>
          <cell r="J9">
            <v>0.24277837776388334</v>
          </cell>
        </row>
        <row r="10">
          <cell r="A10" t="str">
            <v>EUS</v>
          </cell>
          <cell r="B10">
            <v>1</v>
          </cell>
          <cell r="C10">
            <v>0.95053995068167008</v>
          </cell>
          <cell r="D10">
            <v>1.1457983050367055</v>
          </cell>
          <cell r="E10">
            <v>1.0413949434539838</v>
          </cell>
          <cell r="F10">
            <v>0.93699158187126208</v>
          </cell>
          <cell r="G10">
            <v>0.80718021031149922</v>
          </cell>
          <cell r="H10">
            <v>0.67736883875173626</v>
          </cell>
          <cell r="I10">
            <v>0.54755746719197307</v>
          </cell>
          <cell r="J10">
            <v>0.41774609563220999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Tables"/>
      <sheetName val="EU28"/>
      <sheetName val="AT"/>
      <sheetName val="BE"/>
      <sheetName val="BG"/>
      <sheetName val="CH"/>
      <sheetName val="CY"/>
      <sheetName val="CZ"/>
      <sheetName val="DE"/>
      <sheetName val="DK"/>
      <sheetName val="EE"/>
      <sheetName val="ES"/>
      <sheetName val="FI"/>
      <sheetName val="FR"/>
      <sheetName val="GR"/>
      <sheetName val="HR"/>
      <sheetName val="HU"/>
      <sheetName val="IE"/>
      <sheetName val="IT"/>
      <sheetName val="LT"/>
      <sheetName val="LU"/>
      <sheetName val="LV"/>
      <sheetName val="MT"/>
      <sheetName val="NL"/>
      <sheetName val="NO"/>
      <sheetName val="PL"/>
      <sheetName val="PT"/>
      <sheetName val="RO"/>
      <sheetName val="SE"/>
      <sheetName val="SI"/>
      <sheetName val="SK"/>
      <sheetName val="UK"/>
      <sheetName val="Calculation"/>
    </sheetNames>
    <sheetDataSet>
      <sheetData sheetId="0"/>
      <sheetData sheetId="1"/>
      <sheetData sheetId="2"/>
      <sheetData sheetId="3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0</v>
          </cell>
          <cell r="H2302">
            <v>-3.2410000000000001</v>
          </cell>
          <cell r="I2302">
            <v>-14.523999999999999</v>
          </cell>
          <cell r="J2302">
            <v>-17.242999999999999</v>
          </cell>
        </row>
      </sheetData>
      <sheetData sheetId="4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-0.44600000000000001</v>
          </cell>
          <cell r="H2302">
            <v>-0.45700000000000002</v>
          </cell>
          <cell r="I2302">
            <v>-0.89500000000000002</v>
          </cell>
          <cell r="J2302">
            <v>-3.1419999999999999</v>
          </cell>
        </row>
      </sheetData>
      <sheetData sheetId="5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-3.0000000000000001E-3</v>
          </cell>
          <cell r="H2302">
            <v>-9.1039999999999992</v>
          </cell>
          <cell r="I2302">
            <v>-13.46</v>
          </cell>
          <cell r="J2302">
            <v>-11.238</v>
          </cell>
        </row>
      </sheetData>
      <sheetData sheetId="6"/>
      <sheetData sheetId="7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0</v>
          </cell>
          <cell r="H2302">
            <v>0</v>
          </cell>
          <cell r="I2302">
            <v>-3.0000000000000001E-3</v>
          </cell>
          <cell r="J2302">
            <v>-0.80300000000000005</v>
          </cell>
        </row>
      </sheetData>
      <sheetData sheetId="8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-0.85799999999999998</v>
          </cell>
          <cell r="H2302">
            <v>-3.218</v>
          </cell>
          <cell r="I2302">
            <v>-11.23</v>
          </cell>
          <cell r="J2302">
            <v>-12.465</v>
          </cell>
        </row>
      </sheetData>
      <sheetData sheetId="9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-2.871</v>
          </cell>
          <cell r="H2302">
            <v>-32.94</v>
          </cell>
          <cell r="I2302">
            <v>-41.527000000000001</v>
          </cell>
          <cell r="J2302">
            <v>-42.353999999999999</v>
          </cell>
        </row>
      </sheetData>
      <sheetData sheetId="10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-2E-3</v>
          </cell>
          <cell r="H2302">
            <v>-1.474</v>
          </cell>
          <cell r="I2302">
            <v>-3.0459999999999998</v>
          </cell>
          <cell r="J2302">
            <v>-5.4829999999999997</v>
          </cell>
        </row>
      </sheetData>
      <sheetData sheetId="11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0</v>
          </cell>
          <cell r="H2302">
            <v>-0.65300000000000002</v>
          </cell>
          <cell r="I2302">
            <v>-1.617</v>
          </cell>
          <cell r="J2302">
            <v>-1.619</v>
          </cell>
        </row>
      </sheetData>
      <sheetData sheetId="12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-0.214</v>
          </cell>
          <cell r="H2302">
            <v>-35.36</v>
          </cell>
          <cell r="I2302">
            <v>-50.064999999999998</v>
          </cell>
          <cell r="J2302">
            <v>-61.542000000000002</v>
          </cell>
        </row>
      </sheetData>
      <sheetData sheetId="13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-1E-3</v>
          </cell>
          <cell r="H2302">
            <v>-2E-3</v>
          </cell>
          <cell r="I2302">
            <v>-11.782999999999999</v>
          </cell>
          <cell r="J2302">
            <v>-13.291</v>
          </cell>
        </row>
      </sheetData>
      <sheetData sheetId="14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-6.556</v>
          </cell>
          <cell r="H2302">
            <v>-11.004</v>
          </cell>
          <cell r="I2302">
            <v>-31.167999999999999</v>
          </cell>
          <cell r="J2302">
            <v>-36.094999999999999</v>
          </cell>
        </row>
      </sheetData>
      <sheetData sheetId="15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-1E-3</v>
          </cell>
          <cell r="H2302">
            <v>-5.0000000000000001E-3</v>
          </cell>
          <cell r="I2302">
            <v>-2.9660000000000002</v>
          </cell>
          <cell r="J2302">
            <v>-5.1529999999999996</v>
          </cell>
        </row>
      </sheetData>
      <sheetData sheetId="16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-1.2E-2</v>
          </cell>
          <cell r="H2302">
            <v>-2.21</v>
          </cell>
          <cell r="I2302">
            <v>-4.04</v>
          </cell>
          <cell r="J2302">
            <v>-4.649</v>
          </cell>
        </row>
      </sheetData>
      <sheetData sheetId="17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-3.0000000000000001E-3</v>
          </cell>
          <cell r="H2302">
            <v>-0.378</v>
          </cell>
          <cell r="I2302">
            <v>-6.9359999999999999</v>
          </cell>
          <cell r="J2302">
            <v>-8.5079999999999991</v>
          </cell>
        </row>
      </sheetData>
      <sheetData sheetId="18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0</v>
          </cell>
          <cell r="H2302">
            <v>-2.6840000000000002</v>
          </cell>
          <cell r="I2302">
            <v>-8.3529999999999998</v>
          </cell>
          <cell r="J2302">
            <v>-10.760999999999999</v>
          </cell>
        </row>
      </sheetData>
      <sheetData sheetId="19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-5.0000000000000001E-3</v>
          </cell>
          <cell r="H2302">
            <v>-28.484000000000002</v>
          </cell>
          <cell r="I2302">
            <v>-37.706000000000003</v>
          </cell>
          <cell r="J2302">
            <v>-42.597000000000001</v>
          </cell>
        </row>
      </sheetData>
      <sheetData sheetId="20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-1E-3</v>
          </cell>
          <cell r="H2302">
            <v>-0.80900000000000005</v>
          </cell>
          <cell r="I2302">
            <v>-3.181</v>
          </cell>
          <cell r="J2302">
            <v>-4.415</v>
          </cell>
        </row>
      </sheetData>
      <sheetData sheetId="21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0</v>
          </cell>
          <cell r="H2302">
            <v>-4.5999999999999999E-2</v>
          </cell>
          <cell r="I2302">
            <v>-0.14899999999999999</v>
          </cell>
          <cell r="J2302">
            <v>-0.19900000000000001</v>
          </cell>
        </row>
      </sheetData>
      <sheetData sheetId="22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-1E-3</v>
          </cell>
          <cell r="H2302">
            <v>-0.91800000000000004</v>
          </cell>
          <cell r="I2302">
            <v>-3.3109999999999999</v>
          </cell>
          <cell r="J2302">
            <v>-3.3170000000000002</v>
          </cell>
        </row>
      </sheetData>
      <sheetData sheetId="23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</row>
      </sheetData>
      <sheetData sheetId="24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-0.41599999999999998</v>
          </cell>
          <cell r="H2302">
            <v>-0.60299999999999998</v>
          </cell>
          <cell r="I2302">
            <v>-1.776</v>
          </cell>
          <cell r="J2302">
            <v>-3.2930000000000001</v>
          </cell>
        </row>
      </sheetData>
      <sheetData sheetId="25"/>
      <sheetData sheetId="26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-2.4</v>
          </cell>
          <cell r="H2302">
            <v>-9.32</v>
          </cell>
          <cell r="I2302">
            <v>-46.848999999999997</v>
          </cell>
          <cell r="J2302">
            <v>-50.438000000000002</v>
          </cell>
        </row>
      </sheetData>
      <sheetData sheetId="27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-0.252</v>
          </cell>
          <cell r="H2302">
            <v>-2.3570000000000002</v>
          </cell>
          <cell r="I2302">
            <v>-4.9429999999999996</v>
          </cell>
          <cell r="J2302">
            <v>-6.3460000000000001</v>
          </cell>
        </row>
      </sheetData>
      <sheetData sheetId="28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-0.50600000000000001</v>
          </cell>
          <cell r="H2302">
            <v>-1.3220000000000001</v>
          </cell>
          <cell r="I2302">
            <v>-33.281999999999996</v>
          </cell>
          <cell r="J2302">
            <v>-25.681000000000001</v>
          </cell>
        </row>
      </sheetData>
      <sheetData sheetId="29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0</v>
          </cell>
          <cell r="H2302">
            <v>-8.0000000000000002E-3</v>
          </cell>
          <cell r="I2302">
            <v>-9.8040000000000003</v>
          </cell>
          <cell r="J2302">
            <v>-15.618</v>
          </cell>
        </row>
      </sheetData>
      <sheetData sheetId="30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-1E-3</v>
          </cell>
          <cell r="H2302">
            <v>-2.4430000000000001</v>
          </cell>
          <cell r="I2302">
            <v>-4.1879999999999997</v>
          </cell>
          <cell r="J2302">
            <v>-4.4340000000000002</v>
          </cell>
        </row>
      </sheetData>
      <sheetData sheetId="31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-0.161</v>
          </cell>
          <cell r="H2302">
            <v>-1.9650000000000001</v>
          </cell>
          <cell r="I2302">
            <v>-2.6560000000000001</v>
          </cell>
          <cell r="J2302">
            <v>-3.278</v>
          </cell>
        </row>
      </sheetData>
      <sheetData sheetId="32">
        <row r="2302"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</row>
      </sheetData>
      <sheetData sheetId="3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inderungserfordernisse"/>
      <sheetName val="Minderungserfordernisse_Paris"/>
      <sheetName val="Sheet3"/>
      <sheetName val="Sheet4"/>
    </sheetNames>
    <sheetDataSet>
      <sheetData sheetId="0"/>
      <sheetData sheetId="1">
        <row r="69">
          <cell r="K69">
            <v>0.64097709457527097</v>
          </cell>
          <cell r="L69">
            <v>0.50029419564195221</v>
          </cell>
          <cell r="M69">
            <v>0.40503841399463658</v>
          </cell>
          <cell r="N69">
            <v>0.30978263234732106</v>
          </cell>
          <cell r="O69">
            <v>0.18012843907049869</v>
          </cell>
          <cell r="P69">
            <v>5.0474245793676334E-2</v>
          </cell>
        </row>
        <row r="70">
          <cell r="K70">
            <v>0.72542184573217083</v>
          </cell>
          <cell r="L70">
            <v>0.57403179920756398</v>
          </cell>
          <cell r="M70">
            <v>0.46473641221277978</v>
          </cell>
          <cell r="N70">
            <v>0.3554410252179957</v>
          </cell>
          <cell r="O70">
            <v>0.2066772968161493</v>
          </cell>
          <cell r="P70">
            <v>5.7913568414302882E-2</v>
          </cell>
        </row>
        <row r="71">
          <cell r="K71">
            <v>0.84626080891585131</v>
          </cell>
          <cell r="L71">
            <v>0.65085090289525427</v>
          </cell>
          <cell r="M71">
            <v>0.52692919436614227</v>
          </cell>
          <cell r="N71">
            <v>0.40300748583703039</v>
          </cell>
          <cell r="O71">
            <v>0.23433563336811175</v>
          </cell>
          <cell r="P71">
            <v>6.5663780899193169E-2</v>
          </cell>
        </row>
        <row r="72">
          <cell r="K72">
            <v>0.84013464900568657</v>
          </cell>
          <cell r="L72">
            <v>0.76564922538180624</v>
          </cell>
          <cell r="M72">
            <v>0.61986996976237552</v>
          </cell>
          <cell r="N72">
            <v>0.47409071414294485</v>
          </cell>
          <cell r="O72">
            <v>0.27566819892162736</v>
          </cell>
          <cell r="P72">
            <v>7.7245683700309847E-2</v>
          </cell>
        </row>
        <row r="73">
          <cell r="K73">
            <v>0.71428977624631373</v>
          </cell>
          <cell r="L73">
            <v>0.57709347961216995</v>
          </cell>
          <cell r="M73">
            <v>0.46721515009549469</v>
          </cell>
          <cell r="N73">
            <v>0.35733682057881944</v>
          </cell>
          <cell r="O73">
            <v>0.20777963963167362</v>
          </cell>
          <cell r="P73">
            <v>5.8222458684527745E-2</v>
          </cell>
        </row>
      </sheetData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ert Beestermöller" refreshedDate="41786.67729699074" createdVersion="4" refreshedVersion="4" minRefreshableVersion="3" recordCount="684">
  <cacheSource type="worksheet">
    <worksheetSource ref="A4:D688" sheet="CO2 EU-ETS"/>
  </cacheSource>
  <cacheFields count="5">
    <cacheField name="Country" numFmtId="0">
      <sharedItems count="67">
        <s v="Austria"/>
        <s v="Belgium"/>
        <s v="Bulgaria"/>
        <s v="Croatia"/>
        <s v="Cyprus"/>
        <s v="Czech Republic"/>
        <s v="Denmark"/>
        <s v="Estonia"/>
        <s v="Finland"/>
        <s v="France"/>
        <s v="Germany"/>
        <s v="Greece"/>
        <s v="Hungary"/>
        <s v="Iceland"/>
        <s v="Ireland"/>
        <s v="Italy"/>
        <s v="Latvia"/>
        <s v="Liechtenstein"/>
        <s v="Lithuania"/>
        <s v="Luxembourg"/>
        <s v="Malta"/>
        <s v="NER 300 auctions"/>
        <s v="Netherlands"/>
        <s v="Norway"/>
        <s v="Poland"/>
        <s v="Portugal"/>
        <s v="Romania"/>
        <s v="Slovakia"/>
        <s v="Slovenia"/>
        <s v="Spain"/>
        <s v="Sweden"/>
        <s v="United Kingdom"/>
        <s v="EU-15"/>
        <s v="EU-13"/>
        <s v="EU-28"/>
        <s v="All countries"/>
        <s v="EU-24" u="1"/>
        <s v="EU-33" u="1"/>
        <s v="EU-14" u="1"/>
        <s v="EU-42" u="1"/>
        <s v="EU-39" u="1"/>
        <s v="EU-23" u="1"/>
        <s v="EU-32" u="1"/>
        <s v="EU-29" u="1"/>
        <s v="EU-41" u="1"/>
        <s v="EU-38" u="1"/>
        <s v="EU-22" u="1"/>
        <s v="EU-19" u="1"/>
        <s v="EU-31" u="1"/>
        <s v="EU-40" u="1"/>
        <s v="EU-37" u="1"/>
        <s v="EU-21" u="1"/>
        <s v="EU-18" u="1"/>
        <s v="EU-46" u="1"/>
        <s v="EU-30" u="1"/>
        <s v="EU-27" u="1"/>
        <s v="EU-36" u="1"/>
        <s v="EU-20" u="1"/>
        <s v="EU-17" u="1"/>
        <s v="EU-45" u="1"/>
        <s v="EU-26" u="1"/>
        <s v="EU-35" u="1"/>
        <s v="EU-16" u="1"/>
        <s v="EU-44" u="1"/>
        <s v="EU-25" u="1"/>
        <s v="EU-34" u="1"/>
        <s v="EU-43" u="1"/>
      </sharedItems>
      <fieldGroup par="4"/>
    </cacheField>
    <cacheField name="Year" numFmtId="0">
      <sharedItems count="19"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Total 1st trading period (05-07)"/>
        <s v="Total 2nd trading period (08-12)"/>
        <s v="Total 3rd trading period (13-20)"/>
      </sharedItems>
    </cacheField>
    <cacheField name="EUAs" numFmtId="0">
      <sharedItems containsSemiMixedTypes="0" containsString="0" containsNumber="1" minValue="0" maxValue="14731295.1532597"/>
    </cacheField>
    <cacheField name="Verified emissions" numFmtId="0">
      <sharedItems containsString="0" containsBlank="1" containsNumber="1" minValue="0.94299999999999995" maxValue="9709847.6889999993"/>
    </cacheField>
    <cacheField name="Country2" numFmtId="0" databaseField="0">
      <fieldGroup base="0">
        <discretePr count="67">
          <x v="0"/>
          <x v="39"/>
          <x v="40"/>
          <x v="41"/>
          <x v="41"/>
          <x v="40"/>
          <x v="39"/>
          <x v="39"/>
          <x v="39"/>
          <x v="1"/>
          <x v="2"/>
          <x v="41"/>
          <x v="40"/>
          <x v="42"/>
          <x v="39"/>
          <x v="41"/>
          <x v="39"/>
          <x v="42"/>
          <x v="39"/>
          <x v="39"/>
          <x v="41"/>
          <x v="3"/>
          <x v="39"/>
          <x v="42"/>
          <x v="40"/>
          <x v="41"/>
          <x v="40"/>
          <x v="40"/>
          <x v="41"/>
          <x v="41"/>
          <x v="39"/>
          <x v="39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</discretePr>
        <groupItems count="43">
          <s v="Austria"/>
          <s v="France"/>
          <s v="Germany"/>
          <s v="NER 300 auctions"/>
          <s v="EU-15"/>
          <s v="EU-13"/>
          <s v="EU-28"/>
          <s v="All countries"/>
          <s v="EU-24"/>
          <s v="EU-33"/>
          <s v="EU-14"/>
          <s v="EU-42"/>
          <s v="EU-39"/>
          <s v="EU-23"/>
          <s v="EU-32"/>
          <s v="EU-29"/>
          <s v="EU-41"/>
          <s v="EU-38"/>
          <s v="EU-22"/>
          <s v="EU-19"/>
          <s v="EU-31"/>
          <s v="EU-40"/>
          <s v="EU-37"/>
          <s v="EU-21"/>
          <s v="EU-18"/>
          <s v="EU-46"/>
          <s v="EU-30"/>
          <s v="EU-27"/>
          <s v="EU-36"/>
          <s v="EU-20"/>
          <s v="EU-17"/>
          <s v="EU-45"/>
          <s v="EU-26"/>
          <s v="EU-35"/>
          <s v="EU-16"/>
          <s v="EU-44"/>
          <s v="EU-25"/>
          <s v="EU-34"/>
          <s v="EU-43"/>
          <s v="Gruppe1"/>
          <s v="Gruppe2"/>
          <s v="Gruppe3"/>
          <s v="Gruppe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84">
  <r>
    <x v="0"/>
    <x v="0"/>
    <n v="32412.653999999999"/>
    <n v="33373.154999999999"/>
  </r>
  <r>
    <x v="0"/>
    <x v="1"/>
    <n v="32649.366000000002"/>
    <n v="32384.371999999999"/>
  </r>
  <r>
    <x v="0"/>
    <x v="2"/>
    <n v="32729.289000000001"/>
    <n v="31751.26"/>
  </r>
  <r>
    <x v="0"/>
    <x v="3"/>
    <n v="30141.386999999999"/>
    <n v="32078.973999999998"/>
  </r>
  <r>
    <x v="0"/>
    <x v="4"/>
    <n v="32281.036"/>
    <n v="27359.832999999999"/>
  </r>
  <r>
    <x v="0"/>
    <x v="5"/>
    <n v="32526.685000000001"/>
    <n v="30919.710999999999"/>
  </r>
  <r>
    <x v="0"/>
    <x v="6"/>
    <n v="32828.595999999998"/>
    <n v="30599.418000000001"/>
  </r>
  <r>
    <x v="0"/>
    <x v="7"/>
    <n v="34440.864999999998"/>
    <n v="28387.06"/>
  </r>
  <r>
    <x v="0"/>
    <x v="8"/>
    <n v="36694.063999999998"/>
    <n v="29850.723999999998"/>
  </r>
  <r>
    <x v="0"/>
    <x v="9"/>
    <n v="31205.063999999998"/>
    <m/>
  </r>
  <r>
    <x v="0"/>
    <x v="10"/>
    <n v="32352.013864529701"/>
    <m/>
  </r>
  <r>
    <x v="0"/>
    <x v="11"/>
    <n v="33518.156826672603"/>
    <m/>
  </r>
  <r>
    <x v="0"/>
    <x v="12"/>
    <n v="36019.3957393194"/>
    <m/>
  </r>
  <r>
    <x v="0"/>
    <x v="13"/>
    <n v="35822.876998974803"/>
    <m/>
  </r>
  <r>
    <x v="0"/>
    <x v="14"/>
    <n v="39658.050737044898"/>
    <m/>
  </r>
  <r>
    <x v="0"/>
    <x v="15"/>
    <n v="43490.090073099404"/>
    <m/>
  </r>
  <r>
    <x v="0"/>
    <x v="16"/>
    <n v="97791.308999999994"/>
    <n v="97508.786999999997"/>
  </r>
  <r>
    <x v="0"/>
    <x v="17"/>
    <n v="162218.56899999999"/>
    <n v="149344.99600000001"/>
  </r>
  <r>
    <x v="0"/>
    <x v="18"/>
    <n v="288759.712239641"/>
    <n v="29850.723999999998"/>
  </r>
  <r>
    <x v="1"/>
    <x v="0"/>
    <n v="58309.908000000003"/>
    <n v="55363.232000000004"/>
  </r>
  <r>
    <x v="1"/>
    <x v="1"/>
    <n v="59952.177000000003"/>
    <n v="54775.326000000001"/>
  </r>
  <r>
    <x v="1"/>
    <x v="2"/>
    <n v="60428.821000000004"/>
    <n v="52795.332999999999"/>
  </r>
  <r>
    <x v="1"/>
    <x v="3"/>
    <n v="55384.483"/>
    <n v="55462.027000000002"/>
  </r>
  <r>
    <x v="1"/>
    <x v="4"/>
    <n v="56797.576000000001"/>
    <n v="46206.938000000002"/>
  </r>
  <r>
    <x v="1"/>
    <x v="5"/>
    <n v="56025.476999999999"/>
    <n v="50103.978999999999"/>
  </r>
  <r>
    <x v="1"/>
    <x v="6"/>
    <n v="56557.332999999999"/>
    <n v="46203.055"/>
  </r>
  <r>
    <x v="1"/>
    <x v="7"/>
    <n v="68117.960000000006"/>
    <n v="43006.98"/>
  </r>
  <r>
    <x v="1"/>
    <x v="8"/>
    <n v="66082.406000000003"/>
    <n v="45231.175000000003"/>
  </r>
  <r>
    <x v="1"/>
    <x v="9"/>
    <n v="53080.406000000003"/>
    <m/>
  </r>
  <r>
    <x v="1"/>
    <x v="10"/>
    <n v="55181.305161925797"/>
    <m/>
  </r>
  <r>
    <x v="1"/>
    <x v="11"/>
    <n v="57305.917482459503"/>
    <m/>
  </r>
  <r>
    <x v="1"/>
    <x v="12"/>
    <n v="61862.959957459199"/>
    <m/>
  </r>
  <r>
    <x v="1"/>
    <x v="13"/>
    <n v="61504.919690951501"/>
    <m/>
  </r>
  <r>
    <x v="1"/>
    <x v="14"/>
    <n v="68492.276850246097"/>
    <m/>
  </r>
  <r>
    <x v="1"/>
    <x v="15"/>
    <n v="75473.923398272804"/>
    <m/>
  </r>
  <r>
    <x v="1"/>
    <x v="16"/>
    <n v="178690.90599999999"/>
    <n v="162933.891"/>
  </r>
  <r>
    <x v="1"/>
    <x v="17"/>
    <n v="292882.82900000003"/>
    <n v="240982.97899999999"/>
  </r>
  <r>
    <x v="1"/>
    <x v="18"/>
    <n v="498984.11454131501"/>
    <n v="45231.175000000003"/>
  </r>
  <r>
    <x v="2"/>
    <x v="0"/>
    <n v="0"/>
    <m/>
  </r>
  <r>
    <x v="2"/>
    <x v="1"/>
    <n v="0"/>
    <m/>
  </r>
  <r>
    <x v="2"/>
    <x v="2"/>
    <n v="0"/>
    <n v="39181.983999999997"/>
  </r>
  <r>
    <x v="2"/>
    <x v="3"/>
    <n v="38303"/>
    <n v="38303.052000000003"/>
  </r>
  <r>
    <x v="2"/>
    <x v="4"/>
    <n v="40595.828999999998"/>
    <n v="32014.544999999998"/>
  </r>
  <r>
    <x v="2"/>
    <x v="5"/>
    <n v="35266.538"/>
    <n v="33525.095999999998"/>
  </r>
  <r>
    <x v="2"/>
    <x v="6"/>
    <n v="41536.014000000003"/>
    <n v="39997.538"/>
  </r>
  <r>
    <x v="2"/>
    <x v="7"/>
    <n v="42944.675999999999"/>
    <n v="35049.983999999997"/>
  </r>
  <r>
    <x v="2"/>
    <x v="8"/>
    <n v="25713.609"/>
    <n v="32695.534"/>
  </r>
  <r>
    <x v="2"/>
    <x v="9"/>
    <n v="16570.609"/>
    <m/>
  </r>
  <r>
    <x v="2"/>
    <x v="10"/>
    <n v="20835.245665462298"/>
    <m/>
  </r>
  <r>
    <x v="2"/>
    <x v="11"/>
    <n v="25111.924909914698"/>
    <m/>
  </r>
  <r>
    <x v="2"/>
    <x v="12"/>
    <n v="32070.0424517836"/>
    <m/>
  </r>
  <r>
    <x v="2"/>
    <x v="13"/>
    <n v="33609.920710934297"/>
    <m/>
  </r>
  <r>
    <x v="2"/>
    <x v="14"/>
    <n v="43247.143520003701"/>
    <m/>
  </r>
  <r>
    <x v="2"/>
    <x v="15"/>
    <n v="52878.070124248101"/>
    <m/>
  </r>
  <r>
    <x v="2"/>
    <x v="16"/>
    <n v="0"/>
    <n v="39181.983999999997"/>
  </r>
  <r>
    <x v="2"/>
    <x v="17"/>
    <n v="198646.057"/>
    <n v="178890.215"/>
  </r>
  <r>
    <x v="2"/>
    <x v="18"/>
    <n v="250036.56538234701"/>
    <n v="32695.534"/>
  </r>
  <r>
    <x v="3"/>
    <x v="0"/>
    <n v="0"/>
    <m/>
  </r>
  <r>
    <x v="3"/>
    <x v="1"/>
    <n v="0"/>
    <m/>
  </r>
  <r>
    <x v="3"/>
    <x v="2"/>
    <n v="0"/>
    <m/>
  </r>
  <r>
    <x v="3"/>
    <x v="3"/>
    <n v="0"/>
    <m/>
  </r>
  <r>
    <x v="3"/>
    <x v="4"/>
    <n v="0"/>
    <m/>
  </r>
  <r>
    <x v="3"/>
    <x v="5"/>
    <n v="0"/>
    <m/>
  </r>
  <r>
    <x v="3"/>
    <x v="6"/>
    <n v="0"/>
    <m/>
  </r>
  <r>
    <x v="3"/>
    <x v="7"/>
    <n v="0"/>
    <m/>
  </r>
  <r>
    <x v="3"/>
    <x v="8"/>
    <n v="5293.7129999999997"/>
    <n v="8511.9879999999994"/>
  </r>
  <r>
    <x v="3"/>
    <x v="9"/>
    <n v="5293.7129999999997"/>
    <m/>
  </r>
  <r>
    <x v="3"/>
    <x v="10"/>
    <n v="8703.9998796673899"/>
    <m/>
  </r>
  <r>
    <x v="3"/>
    <x v="11"/>
    <n v="9102.3274051031294"/>
    <m/>
  </r>
  <r>
    <x v="3"/>
    <x v="12"/>
    <n v="9956.69289796456"/>
    <m/>
  </r>
  <r>
    <x v="3"/>
    <x v="13"/>
    <n v="9889.5666312164994"/>
    <m/>
  </r>
  <r>
    <x v="3"/>
    <x v="14"/>
    <n v="11199.5734779708"/>
    <m/>
  </r>
  <r>
    <x v="3"/>
    <x v="15"/>
    <n v="12508.509685327401"/>
    <m/>
  </r>
  <r>
    <x v="3"/>
    <x v="16"/>
    <n v="0"/>
    <m/>
  </r>
  <r>
    <x v="3"/>
    <x v="17"/>
    <n v="0"/>
    <m/>
  </r>
  <r>
    <x v="3"/>
    <x v="18"/>
    <n v="71948.095977249701"/>
    <n v="8511.9879999999994"/>
  </r>
  <r>
    <x v="4"/>
    <x v="0"/>
    <n v="5471.3530000000001"/>
    <n v="5078.8770000000004"/>
  </r>
  <r>
    <x v="4"/>
    <x v="1"/>
    <n v="5612.3789999999999"/>
    <n v="5259.2730000000001"/>
  </r>
  <r>
    <x v="4"/>
    <x v="2"/>
    <n v="5899.4930000000004"/>
    <n v="5396.1639999999998"/>
  </r>
  <r>
    <x v="4"/>
    <x v="3"/>
    <n v="4815.0889999999999"/>
    <n v="5576.6459999999997"/>
  </r>
  <r>
    <x v="4"/>
    <x v="4"/>
    <n v="5089.0820000000003"/>
    <n v="5361.6329999999998"/>
  </r>
  <r>
    <x v="4"/>
    <x v="5"/>
    <n v="5371.0330000000004"/>
    <n v="5056.22"/>
  </r>
  <r>
    <x v="4"/>
    <x v="6"/>
    <n v="5837.2820000000002"/>
    <n v="4599.3810000000003"/>
  </r>
  <r>
    <x v="4"/>
    <x v="7"/>
    <n v="6238.9520000000002"/>
    <n v="4383.8980000000001"/>
  </r>
  <r>
    <x v="4"/>
    <x v="8"/>
    <n v="1202.701"/>
    <n v="4024.8739999999998"/>
  </r>
  <r>
    <x v="4"/>
    <x v="9"/>
    <n v="968.13800000000003"/>
    <m/>
  </r>
  <r>
    <x v="4"/>
    <x v="10"/>
    <n v="865.688498890191"/>
    <m/>
  </r>
  <r>
    <x v="4"/>
    <x v="11"/>
    <n v="1408.8474667891701"/>
    <m/>
  </r>
  <r>
    <x v="4"/>
    <x v="12"/>
    <n v="2203.0548075065199"/>
    <m/>
  </r>
  <r>
    <x v="4"/>
    <x v="13"/>
    <n v="2489.9830226115801"/>
    <m/>
  </r>
  <r>
    <x v="4"/>
    <x v="14"/>
    <n v="3571.0054017265702"/>
    <m/>
  </r>
  <r>
    <x v="4"/>
    <x v="15"/>
    <n v="4867.3593974410196"/>
    <m/>
  </r>
  <r>
    <x v="4"/>
    <x v="16"/>
    <n v="16983.224999999999"/>
    <n v="15734.314"/>
  </r>
  <r>
    <x v="4"/>
    <x v="17"/>
    <n v="27351.437999999998"/>
    <n v="24977.777999999998"/>
  </r>
  <r>
    <x v="4"/>
    <x v="18"/>
    <n v="17576.777594964999"/>
    <n v="4024.8739999999998"/>
  </r>
  <r>
    <x v="5"/>
    <x v="0"/>
    <n v="96919.971000000005"/>
    <n v="82454.635999999999"/>
  </r>
  <r>
    <x v="5"/>
    <x v="1"/>
    <n v="96919.971000000005"/>
    <n v="83624.960000000006"/>
  </r>
  <r>
    <x v="5"/>
    <x v="2"/>
    <n v="96919.971000000005"/>
    <n v="87834.763999999996"/>
  </r>
  <r>
    <x v="5"/>
    <x v="3"/>
    <n v="85559.187999999995"/>
    <n v="80399.099000000002"/>
  </r>
  <r>
    <x v="5"/>
    <x v="4"/>
    <n v="85911.83"/>
    <n v="73784.83"/>
  </r>
  <r>
    <x v="5"/>
    <x v="5"/>
    <n v="86083.888000000006"/>
    <n v="75584.351999999999"/>
  </r>
  <r>
    <x v="5"/>
    <x v="6"/>
    <n v="86427.827999999994"/>
    <n v="74187.035999999993"/>
  </r>
  <r>
    <x v="5"/>
    <x v="7"/>
    <n v="88975.192999999999"/>
    <n v="69316.47"/>
  </r>
  <r>
    <x v="5"/>
    <x v="8"/>
    <n v="49418.690999999999"/>
    <n v="67713.644"/>
  </r>
  <r>
    <x v="5"/>
    <x v="9"/>
    <n v="34736.690999999999"/>
    <m/>
  </r>
  <r>
    <x v="5"/>
    <x v="10"/>
    <n v="39713.118956358303"/>
    <m/>
  </r>
  <r>
    <x v="5"/>
    <x v="11"/>
    <n v="47485.946988080403"/>
    <m/>
  </r>
  <r>
    <x v="5"/>
    <x v="12"/>
    <n v="59755.402691505697"/>
    <m/>
  </r>
  <r>
    <x v="5"/>
    <x v="13"/>
    <n v="62938.762113423501"/>
    <m/>
  </r>
  <r>
    <x v="5"/>
    <x v="14"/>
    <n v="79700.932798834197"/>
    <m/>
  </r>
  <r>
    <x v="5"/>
    <x v="15"/>
    <n v="96452.546763061298"/>
    <m/>
  </r>
  <r>
    <x v="5"/>
    <x v="16"/>
    <n v="290759.913"/>
    <n v="253914.36"/>
  </r>
  <r>
    <x v="5"/>
    <x v="17"/>
    <n v="432957.92700000003"/>
    <n v="373271.78700000001"/>
  </r>
  <r>
    <x v="5"/>
    <x v="18"/>
    <n v="470202.09231126303"/>
    <n v="67713.644"/>
  </r>
  <r>
    <x v="6"/>
    <x v="0"/>
    <n v="37303.72"/>
    <n v="26475.718000000001"/>
  </r>
  <r>
    <x v="6"/>
    <x v="1"/>
    <n v="32279.319"/>
    <n v="34199.588000000003"/>
  </r>
  <r>
    <x v="6"/>
    <x v="2"/>
    <n v="27902.895"/>
    <n v="29407.401000000002"/>
  </r>
  <r>
    <x v="6"/>
    <x v="3"/>
    <n v="23983.428"/>
    <n v="26548.562999999998"/>
  </r>
  <r>
    <x v="6"/>
    <x v="4"/>
    <n v="23912.313999999998"/>
    <n v="25461.124"/>
  </r>
  <r>
    <x v="6"/>
    <x v="5"/>
    <n v="23906.256000000001"/>
    <n v="25266.362000000001"/>
  </r>
  <r>
    <x v="6"/>
    <x v="6"/>
    <n v="23908.972000000002"/>
    <n v="21465.657999999999"/>
  </r>
  <r>
    <x v="6"/>
    <x v="7"/>
    <n v="26927.918000000001"/>
    <n v="18185.55"/>
  </r>
  <r>
    <x v="6"/>
    <x v="8"/>
    <n v="26387.078000000001"/>
    <n v="21601.954000000002"/>
  </r>
  <r>
    <x v="6"/>
    <x v="9"/>
    <n v="20141.578000000001"/>
    <m/>
  </r>
  <r>
    <x v="6"/>
    <x v="10"/>
    <n v="21173.740100210802"/>
    <m/>
  </r>
  <r>
    <x v="6"/>
    <x v="11"/>
    <n v="22222.989285462401"/>
    <m/>
  </r>
  <r>
    <x v="6"/>
    <x v="12"/>
    <n v="24473.504853803501"/>
    <m/>
  </r>
  <r>
    <x v="6"/>
    <x v="13"/>
    <n v="24296.685085655801"/>
    <m/>
  </r>
  <r>
    <x v="6"/>
    <x v="14"/>
    <n v="27747.4223027921"/>
    <m/>
  </r>
  <r>
    <x v="6"/>
    <x v="15"/>
    <n v="31195.3393093128"/>
    <m/>
  </r>
  <r>
    <x v="6"/>
    <x v="16"/>
    <n v="97485.933999999994"/>
    <n v="90082.706999999995"/>
  </r>
  <r>
    <x v="6"/>
    <x v="17"/>
    <n v="122638.88800000001"/>
    <n v="116927.257"/>
  </r>
  <r>
    <x v="6"/>
    <x v="18"/>
    <n v="197638.33693723701"/>
    <n v="21601.954000000002"/>
  </r>
  <r>
    <x v="7"/>
    <x v="0"/>
    <n v="16747.054"/>
    <n v="12621.824000000001"/>
  </r>
  <r>
    <x v="7"/>
    <x v="1"/>
    <n v="18199.833999999999"/>
    <n v="12104.433000000001"/>
  </r>
  <r>
    <x v="7"/>
    <x v="2"/>
    <n v="21343.525000000001"/>
    <n v="15329.933999999999"/>
  </r>
  <r>
    <x v="7"/>
    <x v="3"/>
    <n v="11678.257"/>
    <n v="13540.891"/>
  </r>
  <r>
    <x v="7"/>
    <x v="4"/>
    <n v="11855.527"/>
    <n v="10378.346"/>
  </r>
  <r>
    <x v="7"/>
    <x v="5"/>
    <n v="11855.527"/>
    <n v="14514.39"/>
  </r>
  <r>
    <x v="7"/>
    <x v="6"/>
    <n v="15948.312"/>
    <n v="14809.460999999999"/>
  </r>
  <r>
    <x v="7"/>
    <x v="7"/>
    <n v="14242.906999999999"/>
    <n v="13543.879000000001"/>
  </r>
  <r>
    <x v="7"/>
    <x v="8"/>
    <n v="8257.6640000000007"/>
    <n v="15922.531000000001"/>
  </r>
  <r>
    <x v="7"/>
    <x v="9"/>
    <n v="4343.1639999999998"/>
    <m/>
  </r>
  <r>
    <x v="7"/>
    <x v="10"/>
    <n v="5854.2527402655696"/>
    <m/>
  </r>
  <r>
    <x v="7"/>
    <x v="11"/>
    <n v="7372.9022484165598"/>
    <m/>
  </r>
  <r>
    <x v="7"/>
    <x v="12"/>
    <n v="9765.2161380070102"/>
    <m/>
  </r>
  <r>
    <x v="7"/>
    <x v="13"/>
    <n v="10392.1647199376"/>
    <m/>
  </r>
  <r>
    <x v="7"/>
    <x v="14"/>
    <n v="13657.381171073201"/>
    <m/>
  </r>
  <r>
    <x v="7"/>
    <x v="15"/>
    <n v="16920.547524485999"/>
    <m/>
  </r>
  <r>
    <x v="7"/>
    <x v="16"/>
    <n v="56290.413"/>
    <n v="40056.190999999999"/>
  </r>
  <r>
    <x v="7"/>
    <x v="17"/>
    <n v="65580.53"/>
    <n v="66786.967000000004"/>
  </r>
  <r>
    <x v="7"/>
    <x v="18"/>
    <n v="76563.292542185896"/>
    <n v="15922.531000000001"/>
  </r>
  <r>
    <x v="8"/>
    <x v="0"/>
    <n v="44665.565999999999"/>
    <n v="33099.660000000003"/>
  </r>
  <r>
    <x v="8"/>
    <x v="1"/>
    <n v="44617.968999999997"/>
    <n v="44621.453000000001"/>
  </r>
  <r>
    <x v="8"/>
    <x v="2"/>
    <n v="44620.370999999999"/>
    <n v="42541.353000000003"/>
  </r>
  <r>
    <x v="8"/>
    <x v="3"/>
    <n v="36530.616000000002"/>
    <n v="36163.675000000003"/>
  </r>
  <r>
    <x v="8"/>
    <x v="4"/>
    <n v="37068.088000000003"/>
    <n v="34354.480000000003"/>
  </r>
  <r>
    <x v="8"/>
    <x v="5"/>
    <n v="37921.894999999997"/>
    <n v="41297.987999999998"/>
  </r>
  <r>
    <x v="8"/>
    <x v="6"/>
    <n v="37992.387999999999"/>
    <n v="35083.373"/>
  </r>
  <r>
    <x v="8"/>
    <x v="7"/>
    <n v="38169.199000000001"/>
    <n v="29497.919999999998"/>
  </r>
  <r>
    <x v="8"/>
    <x v="8"/>
    <n v="39776.283000000003"/>
    <n v="31496.742999999999"/>
  </r>
  <r>
    <x v="8"/>
    <x v="9"/>
    <n v="33182.783000000003"/>
    <m/>
  </r>
  <r>
    <x v="8"/>
    <x v="10"/>
    <n v="34560.513141081399"/>
    <m/>
  </r>
  <r>
    <x v="8"/>
    <x v="11"/>
    <n v="35961.2851842772"/>
    <m/>
  </r>
  <r>
    <x v="8"/>
    <x v="12"/>
    <n v="38965.775762131001"/>
    <m/>
  </r>
  <r>
    <x v="8"/>
    <x v="13"/>
    <n v="38729.717262980303"/>
    <m/>
  </r>
  <r>
    <x v="8"/>
    <x v="14"/>
    <n v="43336.531630933197"/>
    <m/>
  </r>
  <r>
    <x v="8"/>
    <x v="15"/>
    <n v="47939.580952182499"/>
    <m/>
  </r>
  <r>
    <x v="8"/>
    <x v="16"/>
    <n v="133903.90599999999"/>
    <n v="120262.466"/>
  </r>
  <r>
    <x v="8"/>
    <x v="17"/>
    <n v="187682.18599999999"/>
    <n v="176397.43599999999"/>
  </r>
  <r>
    <x v="8"/>
    <x v="18"/>
    <n v="312452.46993358602"/>
    <n v="31496.742999999999"/>
  </r>
  <r>
    <x v="9"/>
    <x v="0"/>
    <n v="150412.09"/>
    <n v="131263.79399999999"/>
  </r>
  <r>
    <x v="9"/>
    <x v="1"/>
    <n v="149966.891"/>
    <n v="126979.057"/>
  </r>
  <r>
    <x v="9"/>
    <x v="2"/>
    <n v="149775.97"/>
    <n v="126634.815"/>
  </r>
  <r>
    <x v="9"/>
    <x v="3"/>
    <n v="129568.04399999999"/>
    <n v="124129.806"/>
  </r>
  <r>
    <x v="9"/>
    <x v="4"/>
    <n v="128565.76300000001"/>
    <n v="111092.554"/>
  </r>
  <r>
    <x v="9"/>
    <x v="5"/>
    <n v="138643.86799999999"/>
    <n v="115570.78"/>
  </r>
  <r>
    <x v="9"/>
    <x v="6"/>
    <n v="139484.16800000001"/>
    <n v="105582.769"/>
  </r>
  <r>
    <x v="9"/>
    <x v="7"/>
    <n v="139947.60200000001"/>
    <n v="103660.84"/>
  </r>
  <r>
    <x v="9"/>
    <x v="8"/>
    <n v="139804.07199999999"/>
    <n v="102651.61900000001"/>
  </r>
  <r>
    <x v="9"/>
    <x v="9"/>
    <n v="118213.572"/>
    <m/>
  </r>
  <r>
    <x v="9"/>
    <x v="10"/>
    <n v="122724.96281692"/>
    <m/>
  </r>
  <r>
    <x v="9"/>
    <x v="11"/>
    <n v="127311.696960236"/>
    <m/>
  </r>
  <r>
    <x v="9"/>
    <x v="12"/>
    <n v="137149.699926995"/>
    <m/>
  </r>
  <r>
    <x v="9"/>
    <x v="13"/>
    <n v="136376.742197624"/>
    <m/>
  </r>
  <r>
    <x v="9"/>
    <x v="14"/>
    <n v="151461.446990275"/>
    <m/>
  </r>
  <r>
    <x v="9"/>
    <x v="15"/>
    <n v="166533.82338991601"/>
    <m/>
  </r>
  <r>
    <x v="9"/>
    <x v="16"/>
    <n v="450154.951"/>
    <n v="384877.66600000003"/>
  </r>
  <r>
    <x v="9"/>
    <x v="17"/>
    <n v="676209.44499999995"/>
    <n v="560036.74899999995"/>
  </r>
  <r>
    <x v="9"/>
    <x v="18"/>
    <n v="1099576.0162819701"/>
    <n v="102651.61900000001"/>
  </r>
  <r>
    <x v="10"/>
    <x v="0"/>
    <n v="493482.29499999998"/>
    <n v="475051.53499999997"/>
  </r>
  <r>
    <x v="10"/>
    <x v="1"/>
    <n v="495488.26299999998"/>
    <n v="478074.86800000002"/>
  </r>
  <r>
    <x v="10"/>
    <x v="2"/>
    <n v="497302.47899999999"/>
    <n v="487148.43199999997"/>
  </r>
  <r>
    <x v="10"/>
    <x v="3"/>
    <n v="437889.38099999999"/>
    <n v="472853.53399999999"/>
  </r>
  <r>
    <x v="10"/>
    <x v="4"/>
    <n v="432839.62400000001"/>
    <n v="428294.50199999998"/>
  </r>
  <r>
    <x v="10"/>
    <x v="5"/>
    <n v="441635.88199999998"/>
    <n v="454864.59899999999"/>
  </r>
  <r>
    <x v="10"/>
    <x v="6"/>
    <n v="441448.658"/>
    <n v="450333.239"/>
  </r>
  <r>
    <x v="10"/>
    <x v="7"/>
    <n v="472606.87199999997"/>
    <n v="452585.88"/>
  </r>
  <r>
    <x v="10"/>
    <x v="8"/>
    <n v="374675.87099999998"/>
    <n v="480936.56"/>
  </r>
  <r>
    <x v="10"/>
    <x v="9"/>
    <n v="295711.87099999998"/>
    <m/>
  </r>
  <r>
    <x v="10"/>
    <x v="10"/>
    <n v="312210.28946866997"/>
    <m/>
  </r>
  <r>
    <x v="10"/>
    <x v="11"/>
    <n v="328986.05019224802"/>
    <m/>
  </r>
  <r>
    <x v="10"/>
    <x v="12"/>
    <n v="364968.075444074"/>
    <m/>
  </r>
  <r>
    <x v="10"/>
    <x v="13"/>
    <n v="362141.01952319301"/>
    <m/>
  </r>
  <r>
    <x v="10"/>
    <x v="14"/>
    <n v="417312.60572818702"/>
    <m/>
  </r>
  <r>
    <x v="10"/>
    <x v="15"/>
    <n v="472439.10142547201"/>
    <m/>
  </r>
  <r>
    <x v="10"/>
    <x v="16"/>
    <n v="1486273.037"/>
    <n v="1440274.835"/>
  </r>
  <r>
    <x v="10"/>
    <x v="17"/>
    <n v="2226420.4169999999"/>
    <n v="2258931.7540000002"/>
  </r>
  <r>
    <x v="10"/>
    <x v="18"/>
    <n v="2928444.8837818401"/>
    <n v="480936.56"/>
  </r>
  <r>
    <x v="11"/>
    <x v="0"/>
    <n v="71162.432000000001"/>
    <n v="71267.751999999993"/>
  </r>
  <r>
    <x v="11"/>
    <x v="1"/>
    <n v="71162.432000000001"/>
    <n v="69965.150999999998"/>
  </r>
  <r>
    <x v="11"/>
    <x v="2"/>
    <n v="71162.432000000001"/>
    <n v="72717.010999999999"/>
  </r>
  <r>
    <x v="11"/>
    <x v="3"/>
    <n v="63685.091999999997"/>
    <n v="69853.892999999996"/>
  </r>
  <r>
    <x v="11"/>
    <x v="4"/>
    <n v="63246.705000000002"/>
    <n v="63661.572"/>
  </r>
  <r>
    <x v="11"/>
    <x v="5"/>
    <n v="64649.046000000002"/>
    <n v="59939.995999999999"/>
  </r>
  <r>
    <x v="11"/>
    <x v="6"/>
    <n v="76015.013999999996"/>
    <n v="58838.180999999997"/>
  </r>
  <r>
    <x v="11"/>
    <x v="7"/>
    <n v="73950.732999999993"/>
    <n v="61440.385000000002"/>
  </r>
  <r>
    <x v="11"/>
    <x v="8"/>
    <n v="51420.398000000001"/>
    <n v="58632.976000000002"/>
  </r>
  <r>
    <x v="11"/>
    <x v="9"/>
    <n v="35922.398000000001"/>
    <m/>
  </r>
  <r>
    <x v="11"/>
    <x v="10"/>
    <n v="38806.658401058601"/>
    <m/>
  </r>
  <r>
    <x v="11"/>
    <x v="11"/>
    <n v="41714.877552972903"/>
    <m/>
  </r>
  <r>
    <x v="11"/>
    <x v="12"/>
    <n v="47952.664124102703"/>
    <m/>
  </r>
  <r>
    <x v="11"/>
    <x v="13"/>
    <n v="47462.570213721498"/>
    <m/>
  </r>
  <r>
    <x v="11"/>
    <x v="14"/>
    <n v="57027.028498903099"/>
    <m/>
  </r>
  <r>
    <x v="11"/>
    <x v="15"/>
    <n v="66583.669965506502"/>
    <m/>
  </r>
  <r>
    <x v="11"/>
    <x v="16"/>
    <n v="213487.296"/>
    <n v="213949.91399999999"/>
  </r>
  <r>
    <x v="11"/>
    <x v="17"/>
    <n v="341546.59"/>
    <n v="313734.027"/>
  </r>
  <r>
    <x v="11"/>
    <x v="18"/>
    <n v="386890.26475626498"/>
    <n v="58632.976000000002"/>
  </r>
  <r>
    <x v="12"/>
    <x v="0"/>
    <n v="30236.166000000001"/>
    <n v="26161.642"/>
  </r>
  <r>
    <x v="12"/>
    <x v="1"/>
    <n v="31433.166000000001"/>
    <n v="25845.907999999999"/>
  </r>
  <r>
    <x v="12"/>
    <x v="2"/>
    <n v="31413.666000000001"/>
    <n v="26836.758000000002"/>
  </r>
  <r>
    <x v="12"/>
    <x v="3"/>
    <n v="25119.629000000001"/>
    <n v="27236.61"/>
  </r>
  <r>
    <x v="12"/>
    <x v="4"/>
    <n v="23600.016"/>
    <n v="22401.258999999998"/>
  </r>
  <r>
    <x v="12"/>
    <x v="5"/>
    <n v="25701.370999999999"/>
    <n v="22991.710999999999"/>
  </r>
  <r>
    <x v="12"/>
    <x v="6"/>
    <n v="24958.258000000002"/>
    <n v="22469.974999999999"/>
  </r>
  <r>
    <x v="12"/>
    <x v="7"/>
    <n v="32760.719000000001"/>
    <n v="21262.963"/>
  </r>
  <r>
    <x v="12"/>
    <x v="8"/>
    <n v="21252.875"/>
    <n v="19124.911"/>
  </r>
  <r>
    <x v="12"/>
    <x v="9"/>
    <n v="21201.375"/>
    <m/>
  </r>
  <r>
    <x v="12"/>
    <x v="10"/>
    <n v="22447.8908337229"/>
    <m/>
  </r>
  <r>
    <x v="12"/>
    <x v="11"/>
    <n v="23705.555683770701"/>
    <m/>
  </r>
  <r>
    <x v="12"/>
    <x v="12"/>
    <n v="26403.098235695001"/>
    <m/>
  </r>
  <r>
    <x v="12"/>
    <x v="13"/>
    <n v="26191.156201029899"/>
    <m/>
  </r>
  <r>
    <x v="12"/>
    <x v="14"/>
    <n v="30327.324201678501"/>
    <m/>
  </r>
  <r>
    <x v="12"/>
    <x v="15"/>
    <n v="34460.111804409498"/>
    <m/>
  </r>
  <r>
    <x v="12"/>
    <x v="16"/>
    <n v="93082.998000000007"/>
    <n v="78844.308000000005"/>
  </r>
  <r>
    <x v="12"/>
    <x v="17"/>
    <n v="132139.99299999999"/>
    <n v="116362.518"/>
  </r>
  <r>
    <x v="12"/>
    <x v="18"/>
    <n v="205989.38696030699"/>
    <n v="19124.911"/>
  </r>
  <r>
    <x v="13"/>
    <x v="0"/>
    <n v="0"/>
    <m/>
  </r>
  <r>
    <x v="13"/>
    <x v="1"/>
    <n v="0"/>
    <m/>
  </r>
  <r>
    <x v="13"/>
    <x v="2"/>
    <n v="0"/>
    <m/>
  </r>
  <r>
    <x v="13"/>
    <x v="3"/>
    <n v="0"/>
    <m/>
  </r>
  <r>
    <x v="13"/>
    <x v="4"/>
    <n v="0"/>
    <m/>
  </r>
  <r>
    <x v="13"/>
    <x v="5"/>
    <n v="0"/>
    <m/>
  </r>
  <r>
    <x v="13"/>
    <x v="6"/>
    <n v="0"/>
    <m/>
  </r>
  <r>
    <x v="13"/>
    <x v="7"/>
    <n v="0"/>
    <m/>
  </r>
  <r>
    <x v="13"/>
    <x v="8"/>
    <n v="1463.2225000000001"/>
    <n v="1779.8810000000001"/>
  </r>
  <r>
    <x v="13"/>
    <x v="9"/>
    <n v="1462.8440000000001"/>
    <m/>
  </r>
  <r>
    <x v="13"/>
    <x v="10"/>
    <n v="1742.81386139898"/>
    <m/>
  </r>
  <r>
    <x v="13"/>
    <x v="11"/>
    <n v="1775.5148352532699"/>
    <m/>
  </r>
  <r>
    <x v="13"/>
    <x v="12"/>
    <n v="1845.6545616342401"/>
    <m/>
  </r>
  <r>
    <x v="13"/>
    <x v="13"/>
    <n v="1840.1437843123299"/>
    <m/>
  </r>
  <r>
    <x v="13"/>
    <x v="14"/>
    <n v="1947.68970295753"/>
    <m/>
  </r>
  <r>
    <x v="13"/>
    <x v="15"/>
    <n v="2055.14772672047"/>
    <m/>
  </r>
  <r>
    <x v="13"/>
    <x v="16"/>
    <n v="0"/>
    <m/>
  </r>
  <r>
    <x v="13"/>
    <x v="17"/>
    <n v="0"/>
    <m/>
  </r>
  <r>
    <x v="13"/>
    <x v="18"/>
    <n v="14133.0309722768"/>
    <n v="1779.8810000000001"/>
  </r>
  <r>
    <x v="14"/>
    <x v="0"/>
    <n v="19236.746999999999"/>
    <n v="22441.006000000001"/>
  </r>
  <r>
    <x v="14"/>
    <x v="1"/>
    <n v="20450.593000000001"/>
    <n v="21705.330999999998"/>
  </r>
  <r>
    <x v="14"/>
    <x v="2"/>
    <n v="19240.228999999999"/>
    <n v="21246.12"/>
  </r>
  <r>
    <x v="14"/>
    <x v="3"/>
    <n v="19971.010999999999"/>
    <n v="20381.722000000002"/>
  </r>
  <r>
    <x v="14"/>
    <x v="4"/>
    <n v="20137.251"/>
    <n v="17215.223000000002"/>
  </r>
  <r>
    <x v="14"/>
    <x v="5"/>
    <n v="21226.823"/>
    <n v="17373.012999999999"/>
  </r>
  <r>
    <x v="14"/>
    <x v="6"/>
    <n v="21763.017"/>
    <n v="15769.62"/>
  </r>
  <r>
    <x v="14"/>
    <x v="7"/>
    <n v="21751.579000000002"/>
    <n v="16895.989000000001"/>
  </r>
  <r>
    <x v="14"/>
    <x v="8"/>
    <n v="15955.236999999999"/>
    <n v="15685.380999999999"/>
  </r>
  <r>
    <x v="14"/>
    <x v="9"/>
    <n v="11164.736999999999"/>
    <m/>
  </r>
  <r>
    <x v="14"/>
    <x v="10"/>
    <n v="11935.7762227642"/>
    <m/>
  </r>
  <r>
    <x v="14"/>
    <x v="11"/>
    <n v="12719.929450887999"/>
    <m/>
  </r>
  <r>
    <x v="14"/>
    <x v="12"/>
    <n v="14401.845503493299"/>
    <m/>
  </r>
  <r>
    <x v="14"/>
    <x v="13"/>
    <n v="14269.6997806868"/>
    <m/>
  </r>
  <r>
    <x v="14"/>
    <x v="14"/>
    <n v="16848.597878735502"/>
    <m/>
  </r>
  <r>
    <x v="14"/>
    <x v="15"/>
    <n v="19425.388300848601"/>
    <m/>
  </r>
  <r>
    <x v="14"/>
    <x v="16"/>
    <n v="58927.569000000003"/>
    <n v="65392.457000000002"/>
  </r>
  <r>
    <x v="14"/>
    <x v="17"/>
    <n v="104849.681"/>
    <n v="87635.566999999995"/>
  </r>
  <r>
    <x v="14"/>
    <x v="18"/>
    <n v="116721.211137416"/>
    <n v="15685.380999999999"/>
  </r>
  <r>
    <x v="15"/>
    <x v="0"/>
    <n v="216150.24100000001"/>
    <n v="225989.45499999999"/>
  </r>
  <r>
    <x v="15"/>
    <x v="1"/>
    <n v="205050.245"/>
    <n v="227439.46900000001"/>
  </r>
  <r>
    <x v="15"/>
    <x v="2"/>
    <n v="203255.07699999999"/>
    <n v="226405.99"/>
  </r>
  <r>
    <x v="15"/>
    <x v="3"/>
    <n v="212199.89"/>
    <n v="220676.32500000001"/>
  </r>
  <r>
    <x v="15"/>
    <x v="4"/>
    <n v="209006.95600000001"/>
    <n v="184881.60200000001"/>
  </r>
  <r>
    <x v="15"/>
    <x v="5"/>
    <n v="199971.427"/>
    <n v="191489.53899999999"/>
  </r>
  <r>
    <x v="15"/>
    <x v="6"/>
    <n v="195328.06299999999"/>
    <n v="189961.95600000001"/>
  </r>
  <r>
    <x v="15"/>
    <x v="7"/>
    <n v="192717.00700000001"/>
    <n v="179075.109"/>
  </r>
  <r>
    <x v="15"/>
    <x v="8"/>
    <n v="185895.00899999999"/>
    <n v="164399.18400000001"/>
  </r>
  <r>
    <x v="15"/>
    <x v="9"/>
    <n v="147873.50899999999"/>
    <m/>
  </r>
  <r>
    <x v="15"/>
    <x v="10"/>
    <n v="155822.79069427101"/>
    <m/>
  </r>
  <r>
    <x v="15"/>
    <x v="11"/>
    <n v="163896.687175745"/>
    <m/>
  </r>
  <r>
    <x v="15"/>
    <x v="12"/>
    <n v="181214.24146517401"/>
    <m/>
  </r>
  <r>
    <x v="15"/>
    <x v="13"/>
    <n v="179853.62615665601"/>
    <m/>
  </r>
  <r>
    <x v="15"/>
    <x v="14"/>
    <n v="206406.79909931499"/>
    <m/>
  </r>
  <r>
    <x v="15"/>
    <x v="15"/>
    <n v="232938.27072556099"/>
    <m/>
  </r>
  <r>
    <x v="15"/>
    <x v="16"/>
    <n v="624455.56299999997"/>
    <n v="679834.91399999999"/>
  </r>
  <r>
    <x v="15"/>
    <x v="17"/>
    <n v="1009223.343"/>
    <n v="966084.53099999996"/>
  </r>
  <r>
    <x v="15"/>
    <x v="18"/>
    <n v="1453900.93331672"/>
    <n v="164399.18400000001"/>
  </r>
  <r>
    <x v="16"/>
    <x v="0"/>
    <n v="4070.078"/>
    <n v="2854.4920000000002"/>
  </r>
  <r>
    <x v="16"/>
    <x v="1"/>
    <n v="4058.1970000000001"/>
    <n v="2940.6849999999999"/>
  </r>
  <r>
    <x v="16"/>
    <x v="2"/>
    <n v="4035.018"/>
    <n v="2849.21"/>
  </r>
  <r>
    <x v="16"/>
    <x v="3"/>
    <n v="3727.5349999999999"/>
    <n v="2742.9180000000001"/>
  </r>
  <r>
    <x v="16"/>
    <x v="4"/>
    <n v="4859.1210000000001"/>
    <n v="2489.8049999999998"/>
  </r>
  <r>
    <x v="16"/>
    <x v="5"/>
    <n v="4761.6909999999998"/>
    <n v="3240.172"/>
  </r>
  <r>
    <x v="16"/>
    <x v="6"/>
    <n v="4621.6149999999998"/>
    <n v="2923.4549999999999"/>
  </r>
  <r>
    <x v="16"/>
    <x v="7"/>
    <n v="4991.6459999999997"/>
    <n v="2740.0129999999999"/>
  </r>
  <r>
    <x v="16"/>
    <x v="8"/>
    <n v="5338.076"/>
    <n v="2649.8139999999999"/>
  </r>
  <r>
    <x v="16"/>
    <x v="9"/>
    <n v="4278.576"/>
    <m/>
  </r>
  <r>
    <x v="16"/>
    <x v="10"/>
    <n v="4499.6220194752104"/>
    <m/>
  </r>
  <r>
    <x v="16"/>
    <x v="11"/>
    <n v="4725.05480036479"/>
    <m/>
  </r>
  <r>
    <x v="16"/>
    <x v="12"/>
    <n v="5208.5814879597701"/>
    <m/>
  </r>
  <r>
    <x v="16"/>
    <x v="13"/>
    <n v="5170.5914922465699"/>
    <m/>
  </r>
  <r>
    <x v="16"/>
    <x v="14"/>
    <n v="5911.9876237972303"/>
    <m/>
  </r>
  <r>
    <x v="16"/>
    <x v="15"/>
    <n v="6652.7778288142399"/>
    <m/>
  </r>
  <r>
    <x v="16"/>
    <x v="16"/>
    <n v="12163.293"/>
    <n v="8644.3870000000006"/>
  </r>
  <r>
    <x v="16"/>
    <x v="17"/>
    <n v="22961.608"/>
    <n v="14136.362999999999"/>
  </r>
  <r>
    <x v="16"/>
    <x v="18"/>
    <n v="41785.267252657803"/>
    <n v="2649.8139999999999"/>
  </r>
  <r>
    <x v="17"/>
    <x v="0"/>
    <n v="0"/>
    <m/>
  </r>
  <r>
    <x v="17"/>
    <x v="1"/>
    <n v="0"/>
    <m/>
  </r>
  <r>
    <x v="17"/>
    <x v="2"/>
    <n v="0"/>
    <m/>
  </r>
  <r>
    <x v="17"/>
    <x v="3"/>
    <n v="21.102"/>
    <n v="19.882999999999999"/>
  </r>
  <r>
    <x v="17"/>
    <x v="4"/>
    <n v="19.497"/>
    <n v="13.379"/>
  </r>
  <r>
    <x v="17"/>
    <x v="5"/>
    <n v="17.622"/>
    <n v="1.796"/>
  </r>
  <r>
    <x v="17"/>
    <x v="6"/>
    <n v="15.747"/>
    <n v="1.546"/>
  </r>
  <r>
    <x v="17"/>
    <x v="7"/>
    <n v="15.747"/>
    <n v="1.0960000000000001"/>
  </r>
  <r>
    <x v="17"/>
    <x v="8"/>
    <n v="2.085"/>
    <n v="0.94299999999999995"/>
  </r>
  <r>
    <x v="17"/>
    <x v="9"/>
    <n v="2.077"/>
    <m/>
  </r>
  <r>
    <x v="17"/>
    <x v="10"/>
    <n v="2.077"/>
    <m/>
  </r>
  <r>
    <x v="17"/>
    <x v="11"/>
    <n v="9.0741718619576996"/>
    <m/>
  </r>
  <r>
    <x v="17"/>
    <x v="12"/>
    <n v="10.643808887556199"/>
    <m/>
  </r>
  <r>
    <x v="17"/>
    <x v="13"/>
    <n v="10.5204847662541"/>
    <m/>
  </r>
  <r>
    <x v="17"/>
    <x v="14"/>
    <n v="12.9272243497622"/>
    <m/>
  </r>
  <r>
    <x v="17"/>
    <x v="15"/>
    <n v="15.331996958651599"/>
    <m/>
  </r>
  <r>
    <x v="17"/>
    <x v="16"/>
    <n v="0"/>
    <m/>
  </r>
  <r>
    <x v="17"/>
    <x v="17"/>
    <n v="89.715000000000003"/>
    <n v="37.700000000000003"/>
  </r>
  <r>
    <x v="17"/>
    <x v="18"/>
    <n v="64.736686824181803"/>
    <n v="0.94299999999999995"/>
  </r>
  <r>
    <x v="18"/>
    <x v="0"/>
    <n v="13499.397999999999"/>
    <n v="6603.8689999999997"/>
  </r>
  <r>
    <x v="18"/>
    <x v="1"/>
    <n v="10576.697"/>
    <n v="6516.9110000000001"/>
  </r>
  <r>
    <x v="18"/>
    <x v="2"/>
    <n v="10870.307000000001"/>
    <n v="5998.7439999999997"/>
  </r>
  <r>
    <x v="18"/>
    <x v="3"/>
    <n v="7509.6360000000004"/>
    <n v="6103.72"/>
  </r>
  <r>
    <x v="18"/>
    <x v="4"/>
    <n v="7568.3159999999998"/>
    <n v="5786.7420000000002"/>
  </r>
  <r>
    <x v="18"/>
    <x v="5"/>
    <n v="8155.47"/>
    <n v="6393.9520000000002"/>
  </r>
  <r>
    <x v="18"/>
    <x v="6"/>
    <n v="8887.268"/>
    <n v="5606.4250000000002"/>
  </r>
  <r>
    <x v="18"/>
    <x v="7"/>
    <n v="10852.273999999999"/>
    <n v="5718.0370000000003"/>
  </r>
  <r>
    <x v="18"/>
    <x v="8"/>
    <n v="11686.876"/>
    <n v="7464.1549999999997"/>
  </r>
  <r>
    <x v="18"/>
    <x v="9"/>
    <n v="9455.8760000000002"/>
    <m/>
  </r>
  <r>
    <x v="18"/>
    <x v="10"/>
    <n v="9953.7286764440505"/>
    <m/>
  </r>
  <r>
    <x v="18"/>
    <x v="11"/>
    <n v="10468.375490829299"/>
    <m/>
  </r>
  <r>
    <x v="18"/>
    <x v="12"/>
    <n v="11513.8754881078"/>
    <m/>
  </r>
  <r>
    <x v="18"/>
    <x v="13"/>
    <n v="11511.8373461914"/>
    <m/>
  </r>
  <r>
    <x v="18"/>
    <x v="14"/>
    <n v="13129.3350814635"/>
    <m/>
  </r>
  <r>
    <x v="18"/>
    <x v="15"/>
    <n v="14799.6830643098"/>
    <m/>
  </r>
  <r>
    <x v="18"/>
    <x v="16"/>
    <n v="34946.402000000002"/>
    <n v="19119.524000000001"/>
  </r>
  <r>
    <x v="18"/>
    <x v="17"/>
    <n v="42972.964"/>
    <n v="29608.876"/>
  </r>
  <r>
    <x v="18"/>
    <x v="18"/>
    <n v="92519.587147345897"/>
    <n v="7464.1549999999997"/>
  </r>
  <r>
    <x v="19"/>
    <x v="0"/>
    <n v="3229.3209999999999"/>
    <n v="2603.3490000000002"/>
  </r>
  <r>
    <x v="19"/>
    <x v="1"/>
    <n v="3229.3209999999999"/>
    <n v="2712.9720000000002"/>
  </r>
  <r>
    <x v="19"/>
    <x v="2"/>
    <n v="3229.3209999999999"/>
    <n v="2567.2310000000002"/>
  </r>
  <r>
    <x v="19"/>
    <x v="3"/>
    <n v="2488.2289999999998"/>
    <n v="2098.895"/>
  </r>
  <r>
    <x v="19"/>
    <x v="4"/>
    <n v="2488.2289999999998"/>
    <n v="2181.694"/>
  </r>
  <r>
    <x v="19"/>
    <x v="5"/>
    <n v="2488.433"/>
    <n v="2252.6619999999998"/>
  </r>
  <r>
    <x v="19"/>
    <x v="6"/>
    <n v="2488.2289999999998"/>
    <n v="2052.2109999999998"/>
  </r>
  <r>
    <x v="19"/>
    <x v="7"/>
    <n v="2488.346"/>
    <n v="1989.537"/>
  </r>
  <r>
    <x v="19"/>
    <x v="8"/>
    <n v="2618.5749999999998"/>
    <n v="1847.117"/>
  </r>
  <r>
    <x v="19"/>
    <x v="9"/>
    <n v="2116.0749999999998"/>
    <m/>
  </r>
  <r>
    <x v="19"/>
    <x v="10"/>
    <n v="2215.4700213919"/>
    <m/>
  </r>
  <r>
    <x v="19"/>
    <x v="11"/>
    <n v="2316.3160834622299"/>
    <m/>
  </r>
  <r>
    <x v="19"/>
    <x v="12"/>
    <n v="2532.6189749824698"/>
    <m/>
  </r>
  <r>
    <x v="19"/>
    <x v="13"/>
    <n v="2515.6243682059999"/>
    <m/>
  </r>
  <r>
    <x v="19"/>
    <x v="14"/>
    <n v="2847.2836770519598"/>
    <m/>
  </r>
  <r>
    <x v="19"/>
    <x v="15"/>
    <n v="3178.6719281370101"/>
    <m/>
  </r>
  <r>
    <x v="19"/>
    <x v="16"/>
    <n v="9687.9629999999997"/>
    <n v="7883.5519999999997"/>
  </r>
  <r>
    <x v="19"/>
    <x v="17"/>
    <n v="12441.466"/>
    <n v="10574.999"/>
  </r>
  <r>
    <x v="19"/>
    <x v="18"/>
    <n v="20340.635053231599"/>
    <n v="1847.117"/>
  </r>
  <r>
    <x v="20"/>
    <x v="0"/>
    <n v="2085.6019999999999"/>
    <n v="1971.258"/>
  </r>
  <r>
    <x v="20"/>
    <x v="1"/>
    <n v="2167.3009999999999"/>
    <n v="1985.7650000000001"/>
  </r>
  <r>
    <x v="20"/>
    <x v="2"/>
    <n v="2285.5720000000001"/>
    <n v="2027.364"/>
  </r>
  <r>
    <x v="20"/>
    <x v="3"/>
    <n v="2107.837"/>
    <n v="2018.585"/>
  </r>
  <r>
    <x v="20"/>
    <x v="4"/>
    <n v="2121.453"/>
    <n v="1897.1130000000001"/>
  </r>
  <r>
    <x v="20"/>
    <x v="5"/>
    <n v="2159.36"/>
    <n v="1878.307"/>
  </r>
  <r>
    <x v="20"/>
    <x v="6"/>
    <n v="2168.0050000000001"/>
    <n v="1931.566"/>
  </r>
  <r>
    <x v="20"/>
    <x v="7"/>
    <n v="2158.65"/>
    <n v="2052.4299999999998"/>
  </r>
  <r>
    <x v="20"/>
    <x v="8"/>
    <n v="1129.5"/>
    <n v="1697.3040000000001"/>
  </r>
  <r>
    <x v="20"/>
    <x v="9"/>
    <n v="646.5"/>
    <m/>
  </r>
  <r>
    <x v="20"/>
    <x v="10"/>
    <n v="731.62075723495002"/>
    <m/>
  </r>
  <r>
    <x v="20"/>
    <x v="11"/>
    <n v="817.07535271908205"/>
    <m/>
  </r>
  <r>
    <x v="20"/>
    <x v="12"/>
    <n v="1000.3653664037"/>
    <m/>
  </r>
  <r>
    <x v="20"/>
    <x v="13"/>
    <n v="985.96453391028194"/>
    <m/>
  </r>
  <r>
    <x v="20"/>
    <x v="14"/>
    <n v="1267.00487890871"/>
    <m/>
  </r>
  <r>
    <x v="20"/>
    <x v="15"/>
    <n v="1547.8155358971601"/>
    <m/>
  </r>
  <r>
    <x v="20"/>
    <x v="16"/>
    <n v="6538.4750000000004"/>
    <n v="5984.3869999999997"/>
  </r>
  <r>
    <x v="20"/>
    <x v="17"/>
    <n v="10715.305"/>
    <n v="9778.0010000000002"/>
  </r>
  <r>
    <x v="20"/>
    <x v="18"/>
    <n v="8125.8464250738798"/>
    <n v="1697.3040000000001"/>
  </r>
  <r>
    <x v="21"/>
    <x v="0"/>
    <n v="0"/>
    <m/>
  </r>
  <r>
    <x v="21"/>
    <x v="1"/>
    <n v="0"/>
    <m/>
  </r>
  <r>
    <x v="21"/>
    <x v="2"/>
    <n v="0"/>
    <m/>
  </r>
  <r>
    <x v="21"/>
    <x v="3"/>
    <n v="0"/>
    <m/>
  </r>
  <r>
    <x v="21"/>
    <x v="4"/>
    <n v="0"/>
    <m/>
  </r>
  <r>
    <x v="21"/>
    <x v="5"/>
    <n v="0"/>
    <m/>
  </r>
  <r>
    <x v="21"/>
    <x v="6"/>
    <n v="0"/>
    <m/>
  </r>
  <r>
    <x v="21"/>
    <x v="7"/>
    <n v="0"/>
    <m/>
  </r>
  <r>
    <x v="21"/>
    <x v="8"/>
    <n v="200000"/>
    <m/>
  </r>
  <r>
    <x v="21"/>
    <x v="9"/>
    <n v="100000"/>
    <m/>
  </r>
  <r>
    <x v="21"/>
    <x v="10"/>
    <n v="0"/>
    <m/>
  </r>
  <r>
    <x v="21"/>
    <x v="11"/>
    <n v="0"/>
    <m/>
  </r>
  <r>
    <x v="21"/>
    <x v="12"/>
    <n v="0"/>
    <m/>
  </r>
  <r>
    <x v="21"/>
    <x v="13"/>
    <n v="0"/>
    <m/>
  </r>
  <r>
    <x v="21"/>
    <x v="14"/>
    <n v="0"/>
    <m/>
  </r>
  <r>
    <x v="21"/>
    <x v="15"/>
    <n v="0"/>
    <m/>
  </r>
  <r>
    <x v="21"/>
    <x v="16"/>
    <n v="0"/>
    <m/>
  </r>
  <r>
    <x v="21"/>
    <x v="17"/>
    <n v="0"/>
    <m/>
  </r>
  <r>
    <x v="21"/>
    <x v="18"/>
    <n v="300000"/>
    <m/>
  </r>
  <r>
    <x v="22"/>
    <x v="0"/>
    <n v="86452.490999999995"/>
    <n v="80351.292000000001"/>
  </r>
  <r>
    <x v="22"/>
    <x v="1"/>
    <n v="86387.888999999996"/>
    <n v="76702.137000000002"/>
  </r>
  <r>
    <x v="22"/>
    <x v="2"/>
    <n v="86476.714000000007"/>
    <n v="79872.395000000004"/>
  </r>
  <r>
    <x v="22"/>
    <x v="3"/>
    <n v="76756.732000000004"/>
    <n v="83510.581999999995"/>
  </r>
  <r>
    <x v="22"/>
    <x v="4"/>
    <n v="83834.17"/>
    <n v="81030.7"/>
  </r>
  <r>
    <x v="22"/>
    <x v="5"/>
    <n v="92843.281000000003"/>
    <n v="84735.599000000002"/>
  </r>
  <r>
    <x v="22"/>
    <x v="6"/>
    <n v="92831.672999999995"/>
    <n v="79966.837"/>
  </r>
  <r>
    <x v="22"/>
    <x v="7"/>
    <n v="90997.432000000001"/>
    <n v="76425.922000000006"/>
  </r>
  <r>
    <x v="22"/>
    <x v="8"/>
    <n v="83844.763999999996"/>
    <n v="86796.33"/>
  </r>
  <r>
    <x v="22"/>
    <x v="9"/>
    <n v="70629.263999999996"/>
    <m/>
  </r>
  <r>
    <x v="22"/>
    <x v="10"/>
    <n v="73390.471275132804"/>
    <m/>
  </r>
  <r>
    <x v="22"/>
    <x v="11"/>
    <n v="76198.176303382206"/>
    <m/>
  </r>
  <r>
    <x v="22"/>
    <x v="12"/>
    <n v="82220.371951663605"/>
    <m/>
  </r>
  <r>
    <x v="22"/>
    <x v="13"/>
    <n v="81747.216709705404"/>
    <m/>
  </r>
  <r>
    <x v="22"/>
    <x v="14"/>
    <n v="90981.107354469495"/>
    <m/>
  </r>
  <r>
    <x v="22"/>
    <x v="15"/>
    <n v="100207.45134622"/>
    <m/>
  </r>
  <r>
    <x v="22"/>
    <x v="16"/>
    <n v="259317.09400000001"/>
    <n v="236925.82399999999"/>
  </r>
  <r>
    <x v="22"/>
    <x v="17"/>
    <n v="437263.288"/>
    <n v="405669.64"/>
  </r>
  <r>
    <x v="22"/>
    <x v="18"/>
    <n v="659218.82294057403"/>
    <n v="86796.33"/>
  </r>
  <r>
    <x v="23"/>
    <x v="0"/>
    <n v="0"/>
    <m/>
  </r>
  <r>
    <x v="23"/>
    <x v="1"/>
    <n v="0"/>
    <m/>
  </r>
  <r>
    <x v="23"/>
    <x v="2"/>
    <n v="0"/>
    <m/>
  </r>
  <r>
    <x v="23"/>
    <x v="3"/>
    <n v="7538.1679999999997"/>
    <n v="19342.442999999999"/>
  </r>
  <r>
    <x v="23"/>
    <x v="4"/>
    <n v="20565.928"/>
    <n v="19215.689999999999"/>
  </r>
  <r>
    <x v="23"/>
    <x v="5"/>
    <n v="14336.071"/>
    <n v="19335.303"/>
  </r>
  <r>
    <x v="23"/>
    <x v="6"/>
    <n v="14752.611999999999"/>
    <n v="19231.024000000001"/>
  </r>
  <r>
    <x v="23"/>
    <x v="7"/>
    <n v="18177.344000000001"/>
    <n v="18588.71"/>
  </r>
  <r>
    <x v="23"/>
    <x v="8"/>
    <n v="25013.929"/>
    <n v="24695.755000000001"/>
  </r>
  <r>
    <x v="23"/>
    <x v="9"/>
    <n v="17470.929"/>
    <m/>
  </r>
  <r>
    <x v="23"/>
    <x v="10"/>
    <n v="23046.0487323788"/>
    <m/>
  </r>
  <r>
    <x v="23"/>
    <x v="11"/>
    <n v="23697.232555137802"/>
    <m/>
  </r>
  <r>
    <x v="23"/>
    <x v="12"/>
    <n v="25093.944939164499"/>
    <m/>
  </r>
  <r>
    <x v="23"/>
    <x v="13"/>
    <n v="24984.2072579919"/>
    <m/>
  </r>
  <r>
    <x v="23"/>
    <x v="14"/>
    <n v="27125.799821490102"/>
    <m/>
  </r>
  <r>
    <x v="23"/>
    <x v="15"/>
    <n v="29265.642109119199"/>
    <m/>
  </r>
  <r>
    <x v="23"/>
    <x v="16"/>
    <n v="0"/>
    <m/>
  </r>
  <r>
    <x v="23"/>
    <x v="17"/>
    <n v="75370.123000000007"/>
    <n v="95713.17"/>
  </r>
  <r>
    <x v="23"/>
    <x v="18"/>
    <n v="195697.73341528201"/>
    <n v="24695.755000000001"/>
  </r>
  <r>
    <x v="24"/>
    <x v="0"/>
    <n v="237557.63"/>
    <n v="203149.576"/>
  </r>
  <r>
    <x v="24"/>
    <x v="1"/>
    <n v="237557.63"/>
    <n v="209616.29"/>
  </r>
  <r>
    <x v="24"/>
    <x v="2"/>
    <n v="237542.72"/>
    <n v="209618.35699999999"/>
  </r>
  <r>
    <x v="24"/>
    <x v="3"/>
    <n v="201001.99299999999"/>
    <n v="204107.41899999999"/>
  </r>
  <r>
    <x v="24"/>
    <x v="4"/>
    <n v="202015.04"/>
    <n v="191174.24900000001"/>
  </r>
  <r>
    <x v="24"/>
    <x v="5"/>
    <n v="205641.285"/>
    <n v="199726.90700000001"/>
  </r>
  <r>
    <x v="24"/>
    <x v="6"/>
    <n v="207210.01800000001"/>
    <n v="203026.52499999999"/>
  </r>
  <r>
    <x v="24"/>
    <x v="7"/>
    <n v="213035.19500000001"/>
    <n v="196636.28"/>
  </r>
  <r>
    <x v="24"/>
    <x v="8"/>
    <n v="129354.58"/>
    <n v="205734.342"/>
  </r>
  <r>
    <x v="24"/>
    <x v="9"/>
    <n v="76742.080000000002"/>
    <m/>
  </r>
  <r>
    <x v="24"/>
    <x v="10"/>
    <n v="86560.016291128399"/>
    <m/>
  </r>
  <r>
    <x v="24"/>
    <x v="11"/>
    <n v="103725.129822488"/>
    <m/>
  </r>
  <r>
    <x v="24"/>
    <x v="12"/>
    <n v="134017.51585955999"/>
    <m/>
  </r>
  <r>
    <x v="24"/>
    <x v="13"/>
    <n v="141142.30065176301"/>
    <m/>
  </r>
  <r>
    <x v="24"/>
    <x v="14"/>
    <n v="186774.86230194301"/>
    <m/>
  </r>
  <r>
    <x v="24"/>
    <x v="15"/>
    <n v="253501.073963281"/>
    <m/>
  </r>
  <r>
    <x v="24"/>
    <x v="16"/>
    <n v="712657.98"/>
    <n v="622384.223"/>
  </r>
  <r>
    <x v="24"/>
    <x v="17"/>
    <n v="1028903.531"/>
    <n v="994671.38"/>
  </r>
  <r>
    <x v="24"/>
    <x v="18"/>
    <n v="1111817.5588901599"/>
    <n v="205734.342"/>
  </r>
  <r>
    <x v="25"/>
    <x v="0"/>
    <n v="36908.807999999997"/>
    <n v="36425.932999999997"/>
  </r>
  <r>
    <x v="25"/>
    <x v="1"/>
    <n v="36908.807999999997"/>
    <n v="33061.968999999997"/>
  </r>
  <r>
    <x v="25"/>
    <x v="2"/>
    <n v="36908.807999999997"/>
    <n v="31197.277999999998"/>
  </r>
  <r>
    <x v="25"/>
    <x v="3"/>
    <n v="30410.183000000001"/>
    <n v="29911.64"/>
  </r>
  <r>
    <x v="25"/>
    <x v="4"/>
    <n v="30771.809000000001"/>
    <n v="28261.96"/>
  </r>
  <r>
    <x v="25"/>
    <x v="5"/>
    <n v="32359.065999999999"/>
    <n v="24167.19"/>
  </r>
  <r>
    <x v="25"/>
    <x v="6"/>
    <n v="32992.080999999998"/>
    <n v="25010.518"/>
  </r>
  <r>
    <x v="25"/>
    <x v="7"/>
    <n v="32941.750999999997"/>
    <n v="25249.697"/>
  </r>
  <r>
    <x v="25"/>
    <x v="8"/>
    <n v="30424.777999999998"/>
    <n v="24641.817999999999"/>
  </r>
  <r>
    <x v="25"/>
    <x v="9"/>
    <n v="23046.277999999998"/>
    <m/>
  </r>
  <r>
    <x v="25"/>
    <x v="10"/>
    <n v="24506.093194810601"/>
    <m/>
  </r>
  <r>
    <x v="25"/>
    <x v="11"/>
    <n v="25979.000262090402"/>
    <m/>
  </r>
  <r>
    <x v="25"/>
    <x v="12"/>
    <n v="29138.211946241499"/>
    <m/>
  </r>
  <r>
    <x v="25"/>
    <x v="13"/>
    <n v="28889.9972325202"/>
    <m/>
  </r>
  <r>
    <x v="25"/>
    <x v="14"/>
    <n v="33734.046964354602"/>
    <m/>
  </r>
  <r>
    <x v="25"/>
    <x v="15"/>
    <n v="38574.137762310304"/>
    <m/>
  </r>
  <r>
    <x v="25"/>
    <x v="16"/>
    <n v="110726.424"/>
    <n v="100685.18"/>
  </r>
  <r>
    <x v="25"/>
    <x v="17"/>
    <n v="159474.89000000001"/>
    <n v="132601.005"/>
  </r>
  <r>
    <x v="25"/>
    <x v="18"/>
    <n v="234292.543362328"/>
    <n v="24641.817999999999"/>
  </r>
  <r>
    <x v="26"/>
    <x v="0"/>
    <n v="0"/>
    <m/>
  </r>
  <r>
    <x v="26"/>
    <x v="1"/>
    <n v="0"/>
    <m/>
  </r>
  <r>
    <x v="26"/>
    <x v="2"/>
    <n v="74343.205000000002"/>
    <n v="69611.798999999999"/>
  </r>
  <r>
    <x v="26"/>
    <x v="3"/>
    <n v="71788.81"/>
    <n v="63816.826000000001"/>
  </r>
  <r>
    <x v="26"/>
    <x v="4"/>
    <n v="73932.376000000004"/>
    <n v="49061.703999999998"/>
  </r>
  <r>
    <x v="26"/>
    <x v="5"/>
    <n v="74990.923999999999"/>
    <n v="47344.118999999999"/>
  </r>
  <r>
    <x v="26"/>
    <x v="6"/>
    <n v="74813.866999999998"/>
    <n v="51238.934999999998"/>
  </r>
  <r>
    <x v="26"/>
    <x v="7"/>
    <n v="75863.923999999999"/>
    <n v="47857.377"/>
  </r>
  <r>
    <x v="26"/>
    <x v="8"/>
    <n v="57564.391000000003"/>
    <n v="42414.701000000001"/>
  </r>
  <r>
    <x v="26"/>
    <x v="9"/>
    <n v="40246.391000000003"/>
    <m/>
  </r>
  <r>
    <x v="26"/>
    <x v="10"/>
    <n v="46973.942634702304"/>
    <m/>
  </r>
  <r>
    <x v="26"/>
    <x v="11"/>
    <n v="53726.336202409802"/>
    <m/>
  </r>
  <r>
    <x v="26"/>
    <x v="12"/>
    <n v="65289.568743405398"/>
    <m/>
  </r>
  <r>
    <x v="26"/>
    <x v="13"/>
    <n v="67131.794852239007"/>
    <m/>
  </r>
  <r>
    <x v="26"/>
    <x v="14"/>
    <n v="83501.682408217705"/>
    <m/>
  </r>
  <r>
    <x v="26"/>
    <x v="15"/>
    <n v="99860.275567438905"/>
    <m/>
  </r>
  <r>
    <x v="26"/>
    <x v="16"/>
    <n v="74343.205000000002"/>
    <n v="69611.798999999999"/>
  </r>
  <r>
    <x v="26"/>
    <x v="17"/>
    <n v="371389.90100000001"/>
    <n v="259318.96100000001"/>
  </r>
  <r>
    <x v="26"/>
    <x v="18"/>
    <n v="514294.38240841299"/>
    <n v="42414.701000000001"/>
  </r>
  <r>
    <x v="27"/>
    <x v="0"/>
    <n v="30470.677"/>
    <n v="25231.769"/>
  </r>
  <r>
    <x v="27"/>
    <x v="1"/>
    <n v="30486.877"/>
    <n v="25543.242999999999"/>
  </r>
  <r>
    <x v="27"/>
    <x v="2"/>
    <n v="30486.829000000002"/>
    <n v="24516.833999999999"/>
  </r>
  <r>
    <x v="27"/>
    <x v="3"/>
    <n v="32166.094000000001"/>
    <n v="25336.705999999998"/>
  </r>
  <r>
    <x v="27"/>
    <x v="4"/>
    <n v="32140.580999999998"/>
    <n v="21595.208999999999"/>
  </r>
  <r>
    <x v="27"/>
    <x v="5"/>
    <n v="32356.123"/>
    <n v="21698.625"/>
  </r>
  <r>
    <x v="27"/>
    <x v="6"/>
    <n v="32617.164000000001"/>
    <n v="22222.534"/>
  </r>
  <r>
    <x v="27"/>
    <x v="7"/>
    <n v="33432.258000000002"/>
    <n v="20932.902999999998"/>
  </r>
  <r>
    <x v="27"/>
    <x v="8"/>
    <n v="32236.346000000001"/>
    <n v="21829.437999999998"/>
  </r>
  <r>
    <x v="27"/>
    <x v="9"/>
    <n v="26134.346000000001"/>
    <m/>
  </r>
  <r>
    <x v="27"/>
    <x v="10"/>
    <n v="27419.666767079099"/>
    <m/>
  </r>
  <r>
    <x v="27"/>
    <x v="11"/>
    <n v="28708.494904154599"/>
    <m/>
  </r>
  <r>
    <x v="27"/>
    <x v="12"/>
    <n v="31472.8790258435"/>
    <m/>
  </r>
  <r>
    <x v="27"/>
    <x v="13"/>
    <n v="31255.685345273501"/>
    <m/>
  </r>
  <r>
    <x v="27"/>
    <x v="14"/>
    <n v="35494.3421692314"/>
    <m/>
  </r>
  <r>
    <x v="27"/>
    <x v="15"/>
    <n v="39729.534833440797"/>
    <m/>
  </r>
  <r>
    <x v="27"/>
    <x v="16"/>
    <n v="91444.383000000002"/>
    <n v="75291.846000000005"/>
  </r>
  <r>
    <x v="27"/>
    <x v="17"/>
    <n v="162712.22"/>
    <n v="111785.977"/>
  </r>
  <r>
    <x v="27"/>
    <x v="18"/>
    <n v="252451.295045023"/>
    <n v="21829.437999999998"/>
  </r>
  <r>
    <x v="28"/>
    <x v="0"/>
    <n v="9138.0640000000003"/>
    <n v="8720.5499999999993"/>
  </r>
  <r>
    <x v="28"/>
    <x v="1"/>
    <n v="8691.991"/>
    <n v="8842.1820000000007"/>
  </r>
  <r>
    <x v="28"/>
    <x v="2"/>
    <n v="8245.9140000000007"/>
    <n v="9048.634"/>
  </r>
  <r>
    <x v="28"/>
    <x v="3"/>
    <n v="8214.36"/>
    <n v="8860.1049999999996"/>
  </r>
  <r>
    <x v="28"/>
    <x v="4"/>
    <n v="8216.0509999999995"/>
    <n v="8067.0230000000001"/>
  </r>
  <r>
    <x v="28"/>
    <x v="5"/>
    <n v="8226.4599999999991"/>
    <n v="8129.8630000000003"/>
  </r>
  <r>
    <x v="28"/>
    <x v="6"/>
    <n v="8224.7160000000003"/>
    <n v="7994.5519999999997"/>
  </r>
  <r>
    <x v="28"/>
    <x v="7"/>
    <n v="8226.2070000000003"/>
    <n v="7610.5919999999996"/>
  </r>
  <r>
    <x v="28"/>
    <x v="8"/>
    <n v="6838.6279999999997"/>
    <n v="7386.3090000000002"/>
  </r>
  <r>
    <x v="28"/>
    <x v="9"/>
    <n v="5086.1279999999997"/>
    <m/>
  </r>
  <r>
    <x v="28"/>
    <x v="10"/>
    <n v="5454.2831536826898"/>
    <m/>
  </r>
  <r>
    <x v="28"/>
    <x v="11"/>
    <n v="5825.1468786032001"/>
    <m/>
  </r>
  <r>
    <x v="28"/>
    <x v="12"/>
    <n v="6620.6057632974398"/>
    <m/>
  </r>
  <r>
    <x v="28"/>
    <x v="13"/>
    <n v="6558.1077039455004"/>
    <m/>
  </r>
  <r>
    <x v="28"/>
    <x v="14"/>
    <n v="7777.7924805051498"/>
    <m/>
  </r>
  <r>
    <x v="28"/>
    <x v="15"/>
    <n v="8996.4804358819692"/>
    <m/>
  </r>
  <r>
    <x v="28"/>
    <x v="16"/>
    <n v="26075.969000000001"/>
    <n v="26611.366000000002"/>
  </r>
  <r>
    <x v="28"/>
    <x v="17"/>
    <n v="41107.794000000002"/>
    <n v="40662.135000000002"/>
  </r>
  <r>
    <x v="28"/>
    <x v="18"/>
    <n v="53157.172415915898"/>
    <n v="7386.3090000000002"/>
  </r>
  <r>
    <x v="29"/>
    <x v="0"/>
    <n v="172160.788"/>
    <n v="183627.21599999999"/>
  </r>
  <r>
    <x v="29"/>
    <x v="1"/>
    <n v="166209.33499999999"/>
    <n v="179724.889"/>
  </r>
  <r>
    <x v="29"/>
    <x v="2"/>
    <n v="159739.872"/>
    <n v="186573.44899999999"/>
  </r>
  <r>
    <x v="29"/>
    <x v="3"/>
    <n v="153894.31"/>
    <n v="163462.31200000001"/>
  </r>
  <r>
    <x v="29"/>
    <x v="4"/>
    <n v="150760.85999999999"/>
    <n v="136935.766"/>
  </r>
  <r>
    <x v="29"/>
    <x v="5"/>
    <n v="150958.92000000001"/>
    <n v="121483.473"/>
  </r>
  <r>
    <x v="29"/>
    <x v="6"/>
    <n v="151447.62"/>
    <n v="132687.96599999999"/>
  </r>
  <r>
    <x v="29"/>
    <x v="7"/>
    <n v="154146.74400000001"/>
    <n v="135634.59099999999"/>
  </r>
  <r>
    <x v="29"/>
    <x v="8"/>
    <n v="154499.16899999999"/>
    <n v="122793.357"/>
  </r>
  <r>
    <x v="29"/>
    <x v="9"/>
    <n v="120345.16899999999"/>
    <m/>
  </r>
  <r>
    <x v="29"/>
    <x v="10"/>
    <n v="127508.549937103"/>
    <m/>
  </r>
  <r>
    <x v="29"/>
    <x v="11"/>
    <n v="134744.522150868"/>
    <m/>
  </r>
  <r>
    <x v="29"/>
    <x v="12"/>
    <n v="150264.82785904701"/>
    <m/>
  </r>
  <r>
    <x v="29"/>
    <x v="13"/>
    <n v="149045.41978406801"/>
    <m/>
  </r>
  <r>
    <x v="29"/>
    <x v="14"/>
    <n v="172842.854150639"/>
    <m/>
  </r>
  <r>
    <x v="29"/>
    <x v="15"/>
    <n v="196620.839404514"/>
    <m/>
  </r>
  <r>
    <x v="29"/>
    <x v="16"/>
    <n v="498109.995"/>
    <n v="549925.554"/>
  </r>
  <r>
    <x v="29"/>
    <x v="17"/>
    <n v="761208.45400000003"/>
    <n v="690204.10800000001"/>
  </r>
  <r>
    <x v="29"/>
    <x v="18"/>
    <n v="1205871.3512862399"/>
    <n v="122793.357"/>
  </r>
  <r>
    <x v="30"/>
    <x v="0"/>
    <n v="22289.169000000002"/>
    <n v="19381.682000000001"/>
  </r>
  <r>
    <x v="30"/>
    <x v="1"/>
    <n v="22483.601999999999"/>
    <n v="20002.496999999999"/>
  </r>
  <r>
    <x v="30"/>
    <x v="2"/>
    <n v="22846.48"/>
    <n v="19040.731"/>
  </r>
  <r>
    <x v="30"/>
    <x v="3"/>
    <n v="20774.671999999999"/>
    <n v="20080.518"/>
  </r>
  <r>
    <x v="30"/>
    <x v="4"/>
    <n v="21089.585999999999"/>
    <n v="17491.866999999998"/>
  </r>
  <r>
    <x v="30"/>
    <x v="5"/>
    <n v="23547.49"/>
    <n v="22661.192999999999"/>
  </r>
  <r>
    <x v="30"/>
    <x v="6"/>
    <n v="22724.133000000002"/>
    <n v="19853.884999999998"/>
  </r>
  <r>
    <x v="30"/>
    <x v="7"/>
    <n v="22746.394"/>
    <n v="18172.023000000001"/>
  </r>
  <r>
    <x v="30"/>
    <x v="8"/>
    <n v="37836.964"/>
    <n v="20114.064999999999"/>
  </r>
  <r>
    <x v="30"/>
    <x v="9"/>
    <n v="34317.964"/>
    <m/>
  </r>
  <r>
    <x v="30"/>
    <x v="10"/>
    <n v="35055.617473650702"/>
    <m/>
  </r>
  <r>
    <x v="30"/>
    <x v="11"/>
    <n v="35801.531468563699"/>
    <m/>
  </r>
  <r>
    <x v="30"/>
    <x v="12"/>
    <n v="37401.428882630003"/>
    <m/>
  </r>
  <r>
    <x v="30"/>
    <x v="13"/>
    <n v="37275.7272461717"/>
    <m/>
  </r>
  <r>
    <x v="30"/>
    <x v="14"/>
    <n v="39728.865375044297"/>
    <m/>
  </r>
  <r>
    <x v="30"/>
    <x v="15"/>
    <n v="42179.998608801099"/>
    <m/>
  </r>
  <r>
    <x v="30"/>
    <x v="16"/>
    <n v="67619.251000000004"/>
    <n v="58424.91"/>
  </r>
  <r>
    <x v="30"/>
    <x v="17"/>
    <n v="110882.27499999999"/>
    <n v="98259.486000000004"/>
  </r>
  <r>
    <x v="30"/>
    <x v="18"/>
    <n v="299598.09705486201"/>
    <n v="20114.064999999999"/>
  </r>
  <r>
    <x v="31"/>
    <x v="0"/>
    <n v="206071.973"/>
    <n v="242513.42600000001"/>
  </r>
  <r>
    <x v="31"/>
    <x v="1"/>
    <n v="206005.29399999999"/>
    <n v="251160.16099999999"/>
  </r>
  <r>
    <x v="31"/>
    <x v="2"/>
    <n v="215875.18400000001"/>
    <n v="256583.09599999999"/>
  </r>
  <r>
    <x v="31"/>
    <x v="3"/>
    <n v="217841.622"/>
    <n v="265059.08299999998"/>
  </r>
  <r>
    <x v="31"/>
    <x v="4"/>
    <n v="240061.283"/>
    <n v="231939.60200000001"/>
  </r>
  <r>
    <x v="31"/>
    <x v="5"/>
    <n v="256135.03400000001"/>
    <n v="237337.29699999999"/>
  </r>
  <r>
    <x v="31"/>
    <x v="6"/>
    <n v="253843.20000000001"/>
    <n v="220868.772"/>
  </r>
  <r>
    <x v="31"/>
    <x v="7"/>
    <n v="255870.63"/>
    <n v="231256.573"/>
  </r>
  <r>
    <x v="31"/>
    <x v="8"/>
    <n v="173521.33"/>
    <n v="225519.07399999999"/>
  </r>
  <r>
    <x v="31"/>
    <x v="9"/>
    <n v="132385.32999999999"/>
    <m/>
  </r>
  <r>
    <x v="31"/>
    <x v="10"/>
    <n v="140981.90603839001"/>
    <m/>
  </r>
  <r>
    <x v="31"/>
    <x v="11"/>
    <n v="149720.61414316201"/>
    <m/>
  </r>
  <r>
    <x v="31"/>
    <x v="12"/>
    <n v="168464.11083909901"/>
    <m/>
  </r>
  <r>
    <x v="31"/>
    <x v="13"/>
    <n v="166991.461288625"/>
    <m/>
  </r>
  <r>
    <x v="31"/>
    <x v="14"/>
    <n v="195731.045470048"/>
    <m/>
  </r>
  <r>
    <x v="31"/>
    <x v="15"/>
    <n v="224447.14142988299"/>
    <m/>
  </r>
  <r>
    <x v="31"/>
    <x v="16"/>
    <n v="627952.451"/>
    <n v="750256.68299999996"/>
  </r>
  <r>
    <x v="31"/>
    <x v="17"/>
    <n v="1223751.7690000001"/>
    <n v="1186461.327"/>
  </r>
  <r>
    <x v="31"/>
    <x v="18"/>
    <n v="1352242.93920921"/>
    <n v="225519.07399999999"/>
  </r>
  <r>
    <x v="32"/>
    <x v="0"/>
    <n v="1650248.203"/>
    <n v="1639228.2050000001"/>
  </r>
  <r>
    <x v="32"/>
    <x v="1"/>
    <n v="1632841.504"/>
    <n v="1653509.24"/>
  </r>
  <r>
    <x v="32"/>
    <x v="2"/>
    <n v="1631493.942"/>
    <n v="1666481.895"/>
  </r>
  <r>
    <x v="32"/>
    <x v="3"/>
    <n v="1511519.08"/>
    <n v="1622271.5490000001"/>
  </r>
  <r>
    <x v="32"/>
    <x v="4"/>
    <n v="1532861.25"/>
    <n v="1436369.4169999999"/>
  </r>
  <r>
    <x v="32"/>
    <x v="5"/>
    <n v="1574839.5830000001"/>
    <n v="1479463.3810000001"/>
  </r>
  <r>
    <x v="32"/>
    <x v="6"/>
    <n v="1581653.145"/>
    <n v="1434277.4580000001"/>
  </r>
  <r>
    <x v="32"/>
    <x v="7"/>
    <n v="1627821.0319999999"/>
    <n v="1421464.0560000001"/>
  </r>
  <r>
    <x v="32"/>
    <x v="8"/>
    <n v="1419435.9979999999"/>
    <n v="1432198.077"/>
  </r>
  <r>
    <x v="32"/>
    <x v="9"/>
    <n v="1129335.9979999999"/>
    <m/>
  </r>
  <r>
    <x v="32"/>
    <x v="10"/>
    <n v="1188426.1578119099"/>
    <m/>
  </r>
  <r>
    <x v="32"/>
    <x v="11"/>
    <n v="1248397.7505224899"/>
    <m/>
  </r>
  <r>
    <x v="32"/>
    <x v="12"/>
    <n v="1377029.7332302099"/>
    <m/>
  </r>
  <r>
    <x v="32"/>
    <x v="13"/>
    <n v="1366923.3035397399"/>
    <m/>
  </r>
  <r>
    <x v="32"/>
    <x v="14"/>
    <n v="1564155.9627080399"/>
    <m/>
  </r>
  <r>
    <x v="32"/>
    <x v="15"/>
    <n v="1761227.42802004"/>
    <m/>
  </r>
  <r>
    <x v="32"/>
    <x v="16"/>
    <n v="4914583.6490000002"/>
    <n v="4959219.34"/>
  </r>
  <r>
    <x v="32"/>
    <x v="17"/>
    <n v="7828694.0899999999"/>
    <n v="7393845.8609999996"/>
  </r>
  <r>
    <x v="32"/>
    <x v="18"/>
    <n v="11054932.3318324"/>
    <n v="1432198.077"/>
  </r>
  <r>
    <x v="33"/>
    <x v="0"/>
    <n v="446195.99300000002"/>
    <n v="374848.49300000002"/>
  </r>
  <r>
    <x v="33"/>
    <x v="1"/>
    <n v="445704.04300000001"/>
    <n v="382279.65"/>
  </r>
  <r>
    <x v="33"/>
    <x v="2"/>
    <n v="523386.22"/>
    <n v="498250.54599999997"/>
  </r>
  <r>
    <x v="33"/>
    <x v="3"/>
    <n v="491991.42800000001"/>
    <n v="478042.57699999999"/>
  </r>
  <r>
    <x v="33"/>
    <x v="4"/>
    <n v="497905.22200000001"/>
    <n v="424012.45799999998"/>
  </r>
  <r>
    <x v="33"/>
    <x v="5"/>
    <n v="500569.67"/>
    <n v="440083.71399999998"/>
  </r>
  <r>
    <x v="33"/>
    <x v="6"/>
    <n v="513250.34700000001"/>
    <n v="451007.38299999997"/>
  </r>
  <r>
    <x v="33"/>
    <x v="7"/>
    <n v="533722.60100000002"/>
    <n v="427104.826"/>
  </r>
  <r>
    <x v="33"/>
    <x v="8"/>
    <n v="355287.65"/>
    <n v="437169.54499999998"/>
  </r>
  <r>
    <x v="33"/>
    <x v="9"/>
    <n v="245703.587"/>
    <m/>
  </r>
  <r>
    <x v="33"/>
    <x v="10"/>
    <n v="280013.076874113"/>
    <m/>
  </r>
  <r>
    <x v="33"/>
    <x v="11"/>
    <n v="322183.11815364298"/>
    <m/>
  </r>
  <r>
    <x v="33"/>
    <x v="12"/>
    <n v="395276.89895703999"/>
    <m/>
  </r>
  <r>
    <x v="33"/>
    <x v="13"/>
    <n v="409267.83532472298"/>
    <m/>
  </r>
  <r>
    <x v="33"/>
    <x v="14"/>
    <n v="515560.36751535401"/>
    <m/>
  </r>
  <r>
    <x v="33"/>
    <x v="15"/>
    <n v="643174.78652803798"/>
    <m/>
  </r>
  <r>
    <x v="33"/>
    <x v="16"/>
    <n v="1415286.2560000001"/>
    <n v="1255378.689"/>
  </r>
  <r>
    <x v="33"/>
    <x v="17"/>
    <n v="2537439.2680000002"/>
    <n v="2220250.9580000001"/>
  </r>
  <r>
    <x v="33"/>
    <x v="18"/>
    <n v="3166467.3203529101"/>
    <n v="437169.54499999998"/>
  </r>
  <r>
    <x v="34"/>
    <x v="0"/>
    <n v="2096444.196"/>
    <n v="2014076.6980000001"/>
  </r>
  <r>
    <x v="34"/>
    <x v="1"/>
    <n v="2078545.547"/>
    <n v="2035788.89"/>
  </r>
  <r>
    <x v="34"/>
    <x v="2"/>
    <n v="2154880.162"/>
    <n v="2164732.4410000001"/>
  </r>
  <r>
    <x v="34"/>
    <x v="3"/>
    <n v="2003510.5079999999"/>
    <n v="2100314.1260000002"/>
  </r>
  <r>
    <x v="34"/>
    <x v="4"/>
    <n v="2030766.4720000001"/>
    <n v="1860381.875"/>
  </r>
  <r>
    <x v="34"/>
    <x v="5"/>
    <n v="2075409.253"/>
    <n v="1919547.095"/>
  </r>
  <r>
    <x v="34"/>
    <x v="6"/>
    <n v="2094903.4920000001"/>
    <n v="1885284.841"/>
  </r>
  <r>
    <x v="34"/>
    <x v="7"/>
    <n v="2161543.6329999999"/>
    <n v="1848568.882"/>
  </r>
  <r>
    <x v="34"/>
    <x v="8"/>
    <n v="1974723.648"/>
    <n v="1869367.622"/>
  </r>
  <r>
    <x v="34"/>
    <x v="9"/>
    <n v="1475039.585"/>
    <m/>
  </r>
  <r>
    <x v="34"/>
    <x v="10"/>
    <n v="1468439.2346860201"/>
    <m/>
  </r>
  <r>
    <x v="34"/>
    <x v="11"/>
    <n v="1570580.86867613"/>
    <m/>
  </r>
  <r>
    <x v="34"/>
    <x v="12"/>
    <n v="1772306.6321872501"/>
    <m/>
  </r>
  <r>
    <x v="34"/>
    <x v="13"/>
    <n v="1776191.1388644599"/>
    <m/>
  </r>
  <r>
    <x v="34"/>
    <x v="14"/>
    <n v="2079716.3302233899"/>
    <m/>
  </r>
  <r>
    <x v="34"/>
    <x v="15"/>
    <n v="2404402.21454807"/>
    <m/>
  </r>
  <r>
    <x v="34"/>
    <x v="16"/>
    <n v="6329869.9050000003"/>
    <n v="6214598.0290000001"/>
  </r>
  <r>
    <x v="34"/>
    <x v="17"/>
    <n v="10366133.357999999"/>
    <n v="9614096.8190000001"/>
  </r>
  <r>
    <x v="34"/>
    <x v="18"/>
    <n v="14521399.6521853"/>
    <n v="1869367.622"/>
  </r>
  <r>
    <x v="35"/>
    <x v="0"/>
    <n v="2096444.196"/>
    <n v="2014076.6980000001"/>
  </r>
  <r>
    <x v="35"/>
    <x v="1"/>
    <n v="2078545.547"/>
    <n v="2035788.89"/>
  </r>
  <r>
    <x v="35"/>
    <x v="2"/>
    <n v="2154880.162"/>
    <n v="2164732.4410000001"/>
  </r>
  <r>
    <x v="35"/>
    <x v="3"/>
    <n v="2011069.7779999999"/>
    <n v="2119676.452"/>
  </r>
  <r>
    <x v="35"/>
    <x v="4"/>
    <n v="2051351.8970000001"/>
    <n v="1879610.9439999999"/>
  </r>
  <r>
    <x v="35"/>
    <x v="5"/>
    <n v="2089762.946"/>
    <n v="1938884.1939999999"/>
  </r>
  <r>
    <x v="35"/>
    <x v="6"/>
    <n v="2109671.8509999998"/>
    <n v="1904517.4110000001"/>
  </r>
  <r>
    <x v="35"/>
    <x v="7"/>
    <n v="2179736.7239999999"/>
    <n v="1867158.6880000001"/>
  </r>
  <r>
    <x v="35"/>
    <x v="8"/>
    <n v="2001202.8844999999"/>
    <n v="1895844.2009999999"/>
  </r>
  <r>
    <x v="35"/>
    <x v="9"/>
    <n v="1493975.4350000001"/>
    <m/>
  </r>
  <r>
    <x v="35"/>
    <x v="10"/>
    <n v="1493230.1742797999"/>
    <m/>
  </r>
  <r>
    <x v="35"/>
    <x v="11"/>
    <n v="1596062.6902383899"/>
    <m/>
  </r>
  <r>
    <x v="35"/>
    <x v="12"/>
    <n v="1799256.87549694"/>
    <m/>
  </r>
  <r>
    <x v="35"/>
    <x v="13"/>
    <n v="1803026.0103915301"/>
    <m/>
  </r>
  <r>
    <x v="35"/>
    <x v="14"/>
    <n v="2108802.7469721902"/>
    <m/>
  </r>
  <r>
    <x v="35"/>
    <x v="15"/>
    <n v="2435738.3363808701"/>
    <m/>
  </r>
  <r>
    <x v="35"/>
    <x v="16"/>
    <n v="6329869.9050000003"/>
    <n v="6214598.0290000001"/>
  </r>
  <r>
    <x v="35"/>
    <x v="17"/>
    <n v="10441593.196"/>
    <n v="9709847.6889999993"/>
  </r>
  <r>
    <x v="35"/>
    <x v="18"/>
    <n v="14731295.1532597"/>
    <n v="1895844.200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0" dataOnRows="1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multipleFieldFilters="0" chartFormat="6">
  <location ref="A3:R43" firstHeaderRow="1" firstDataRow="2" firstDataCol="1"/>
  <pivotFields count="5">
    <pivotField axis="axisRow" multipleItemSelectionAllowed="1" showAll="0" sortType="descending" defaultSubtotal="0">
      <items count="67">
        <item h="1" x="35"/>
        <item x="0"/>
        <item x="1"/>
        <item x="2"/>
        <item x="3"/>
        <item x="4"/>
        <item x="5"/>
        <item x="6"/>
        <item x="7"/>
        <item h="1" x="33"/>
        <item h="1" m="1" x="38"/>
        <item h="1" x="32"/>
        <item h="1" m="1" x="62"/>
        <item h="1" m="1" x="58"/>
        <item h="1" m="1" x="52"/>
        <item h="1" m="1" x="47"/>
        <item h="1" m="1" x="57"/>
        <item h="1" m="1" x="51"/>
        <item h="1" m="1" x="46"/>
        <item h="1" m="1" x="41"/>
        <item h="1" m="1" x="36"/>
        <item h="1" m="1" x="64"/>
        <item h="1" m="1" x="60"/>
        <item h="1" m="1" x="55"/>
        <item h="1" x="34"/>
        <item h="1" m="1" x="43"/>
        <item h="1" m="1" x="54"/>
        <item h="1" m="1" x="48"/>
        <item h="1" m="1" x="42"/>
        <item h="1" m="1" x="37"/>
        <item h="1" m="1" x="65"/>
        <item h="1" m="1" x="61"/>
        <item h="1" m="1" x="56"/>
        <item h="1" m="1" x="50"/>
        <item h="1" m="1" x="45"/>
        <item h="1" m="1" x="40"/>
        <item h="1" m="1" x="49"/>
        <item h="1" m="1" x="44"/>
        <item h="1" m="1" x="39"/>
        <item h="1" m="1" x="66"/>
        <item h="1" m="1" x="63"/>
        <item h="1" m="1" x="59"/>
        <item h="1" m="1" x="53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x="22"/>
        <item x="23"/>
        <item x="24"/>
        <item x="25"/>
        <item x="26"/>
        <item x="27"/>
        <item x="28"/>
        <item x="29"/>
        <item x="30"/>
        <item x="3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 sortType="ascending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h="1" x="16"/>
        <item h="1" x="17"/>
        <item h="1" x="18"/>
      </items>
    </pivotField>
    <pivotField showAll="0" defaultSubtotal="0"/>
    <pivotField dataField="1" showAll="0" defaultSubtotal="0"/>
    <pivotField axis="axisRow" showAll="0" defaultSubtotal="0">
      <items count="43">
        <item h="1" x="7"/>
        <item x="0"/>
        <item x="39"/>
        <item x="40"/>
        <item x="41"/>
        <item h="1" x="5"/>
        <item h="1" x="10"/>
        <item h="1" x="4"/>
        <item h="1" x="34"/>
        <item h="1" x="30"/>
        <item h="1" x="24"/>
        <item h="1" x="19"/>
        <item h="1" x="29"/>
        <item h="1" x="23"/>
        <item h="1" x="18"/>
        <item h="1" x="13"/>
        <item h="1" x="8"/>
        <item h="1" x="36"/>
        <item h="1" x="32"/>
        <item h="1" x="27"/>
        <item h="1" x="6"/>
        <item h="1" x="15"/>
        <item h="1" x="26"/>
        <item h="1" x="20"/>
        <item h="1" x="14"/>
        <item h="1" x="9"/>
        <item h="1" x="37"/>
        <item h="1" x="33"/>
        <item h="1" x="28"/>
        <item h="1" x="22"/>
        <item h="1" x="17"/>
        <item h="1" x="12"/>
        <item h="1" x="21"/>
        <item h="1" x="16"/>
        <item h="1" x="11"/>
        <item h="1" x="38"/>
        <item h="1" x="35"/>
        <item h="1" x="31"/>
        <item h="1" x="25"/>
        <item x="1"/>
        <item x="2"/>
        <item x="42"/>
        <item h="1" x="3"/>
      </items>
    </pivotField>
  </pivotFields>
  <rowFields count="2">
    <field x="4"/>
    <field x="0"/>
  </rowFields>
  <rowItems count="39">
    <i>
      <x v="1"/>
    </i>
    <i r="1">
      <x v="1"/>
    </i>
    <i>
      <x v="2"/>
    </i>
    <i r="1">
      <x v="66"/>
    </i>
    <i r="1">
      <x v="57"/>
    </i>
    <i r="1">
      <x v="2"/>
    </i>
    <i r="1">
      <x v="43"/>
    </i>
    <i r="1">
      <x v="7"/>
    </i>
    <i r="1">
      <x v="65"/>
    </i>
    <i r="1">
      <x v="49"/>
    </i>
    <i r="1">
      <x v="8"/>
    </i>
    <i r="1">
      <x v="53"/>
    </i>
    <i r="1">
      <x v="51"/>
    </i>
    <i r="1">
      <x v="54"/>
    </i>
    <i>
      <x v="3"/>
    </i>
    <i r="1">
      <x v="59"/>
    </i>
    <i r="1">
      <x v="6"/>
    </i>
    <i r="1">
      <x v="61"/>
    </i>
    <i r="1">
      <x v="3"/>
    </i>
    <i r="1">
      <x v="47"/>
    </i>
    <i r="1">
      <x v="62"/>
    </i>
    <i>
      <x v="4"/>
    </i>
    <i r="1">
      <x v="50"/>
    </i>
    <i r="1">
      <x v="64"/>
    </i>
    <i r="1">
      <x v="46"/>
    </i>
    <i r="1">
      <x v="60"/>
    </i>
    <i r="1">
      <x v="63"/>
    </i>
    <i r="1">
      <x v="5"/>
    </i>
    <i r="1">
      <x v="55"/>
    </i>
    <i r="1">
      <x v="4"/>
    </i>
    <i>
      <x v="39"/>
    </i>
    <i r="1">
      <x v="44"/>
    </i>
    <i>
      <x v="40"/>
    </i>
    <i r="1">
      <x v="45"/>
    </i>
    <i>
      <x v="41"/>
    </i>
    <i r="1">
      <x v="58"/>
    </i>
    <i r="1">
      <x v="48"/>
    </i>
    <i r="1">
      <x v="52"/>
    </i>
    <i t="grand">
      <x/>
    </i>
  </rowItems>
  <colFields count="1">
    <field x="1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me von Verified emissions" fld="3" baseField="1" baseItem="0" numFmtId="3"/>
  </dataFields>
  <chartFormats count="19"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0" cacheId="0" dataOnRows="1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chartFormat="9">
  <location ref="A3:I14" firstHeaderRow="1" firstDataRow="2" firstDataCol="1"/>
  <pivotFields count="5">
    <pivotField multipleItemSelectionAllowed="1" showAll="0" sortType="descending" defaultSubtotal="0">
      <items count="67">
        <item h="1" x="35"/>
        <item x="0"/>
        <item x="1"/>
        <item x="2"/>
        <item x="3"/>
        <item x="4"/>
        <item x="5"/>
        <item x="6"/>
        <item x="7"/>
        <item h="1" x="33"/>
        <item h="1" m="1" x="38"/>
        <item h="1" x="32"/>
        <item h="1" m="1" x="62"/>
        <item h="1" m="1" x="58"/>
        <item h="1" m="1" x="52"/>
        <item h="1" m="1" x="47"/>
        <item h="1" m="1" x="57"/>
        <item h="1" m="1" x="51"/>
        <item h="1" m="1" x="46"/>
        <item h="1" m="1" x="41"/>
        <item h="1" m="1" x="36"/>
        <item h="1" m="1" x="64"/>
        <item h="1" m="1" x="60"/>
        <item h="1" m="1" x="55"/>
        <item h="1" x="34"/>
        <item h="1" m="1" x="43"/>
        <item h="1" m="1" x="54"/>
        <item h="1" m="1" x="48"/>
        <item h="1" m="1" x="42"/>
        <item h="1" m="1" x="37"/>
        <item h="1" m="1" x="65"/>
        <item h="1" m="1" x="61"/>
        <item h="1" m="1" x="56"/>
        <item h="1" m="1" x="50"/>
        <item h="1" m="1" x="45"/>
        <item h="1" m="1" x="40"/>
        <item h="1" m="1" x="49"/>
        <item h="1" m="1" x="44"/>
        <item h="1" m="1" x="39"/>
        <item h="1" m="1" x="66"/>
        <item h="1" m="1" x="63"/>
        <item h="1" m="1" x="59"/>
        <item h="1" m="1" x="53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x="22"/>
        <item x="23"/>
        <item x="24"/>
        <item x="25"/>
        <item x="26"/>
        <item x="27"/>
        <item x="28"/>
        <item x="29"/>
        <item x="30"/>
        <item x="3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measureFilter="1" sortType="ascending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h="1" x="16"/>
        <item h="1" x="17"/>
        <item h="1" x="18"/>
      </items>
    </pivotField>
    <pivotField showAll="0" defaultSubtotal="0"/>
    <pivotField dataField="1" showAll="0" defaultSubtotal="0"/>
    <pivotField axis="axisCol" showAll="0" sortType="descending" defaultSubtotal="0">
      <items count="43">
        <item n="Non-EU" sd="0" x="42"/>
        <item h="1" x="3"/>
        <item n="FRA" sd="0" x="1"/>
        <item n="EUS" sd="0" x="41"/>
        <item n="EUN" sd="0" x="39"/>
        <item n="EUE" sd="0" x="40"/>
        <item h="1" x="25"/>
        <item h="1" x="31"/>
        <item h="1" x="35"/>
        <item h="1" x="38"/>
        <item h="1" x="11"/>
        <item h="1" x="16"/>
        <item h="1" x="21"/>
        <item h="1" x="12"/>
        <item h="1" x="17"/>
        <item h="1" x="22"/>
        <item h="1" x="28"/>
        <item h="1" x="33"/>
        <item h="1" x="37"/>
        <item h="1" x="9"/>
        <item h="1" x="14"/>
        <item h="1" x="20"/>
        <item h="1" x="26"/>
        <item h="1" x="15"/>
        <item h="1" x="6"/>
        <item h="1" x="27"/>
        <item h="1" x="32"/>
        <item h="1" x="36"/>
        <item h="1" x="8"/>
        <item h="1" x="13"/>
        <item h="1" x="18"/>
        <item h="1" x="23"/>
        <item h="1" x="29"/>
        <item h="1" x="19"/>
        <item h="1" x="24"/>
        <item h="1" x="30"/>
        <item h="1" x="34"/>
        <item h="1" x="4"/>
        <item h="1" x="10"/>
        <item h="1" x="5"/>
        <item n="DEU" sd="0" x="2"/>
        <item n="AUT" sd="0" x="0"/>
        <item h="1" x="7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8">
    <i>
      <x v="4"/>
    </i>
    <i>
      <x v="40"/>
    </i>
    <i>
      <x v="3"/>
    </i>
    <i>
      <x v="5"/>
    </i>
    <i>
      <x v="2"/>
    </i>
    <i>
      <x v="41"/>
    </i>
    <i>
      <x/>
    </i>
    <i t="grand">
      <x/>
    </i>
  </colItems>
  <dataFields count="1">
    <dataField name="Summe von Verified emissions" fld="3" baseField="1" baseItem="0" numFmtId="3"/>
  </dataFields>
  <chartFormats count="43"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6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6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6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6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6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6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6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6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6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6" format="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7" format="3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0"/>
          </reference>
        </references>
      </pivotArea>
    </chartFormat>
    <chartFormat chart="7" format="3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7" format="3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7" format="3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7" format="3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1"/>
          </reference>
        </references>
      </pivotArea>
    </chartFormat>
    <chartFormat chart="7" format="3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valueGreaterThan" evalOrder="-1" id="5" iMeasureFld="0">
      <autoFilter ref="A1">
        <filterColumn colId="0">
          <customFilters>
            <customFilter operator="greater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://www.youtube.com/watch?v=EuWzDDkXIQ8" TargetMode="External"/><Relationship Id="rId1" Type="http://schemas.openxmlformats.org/officeDocument/2006/relationships/hyperlink" Target="http://www.youtube.com/watch?v=EuWzDDkXIQ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eea.europa.eu/data-and-maps/data/data-viewers/emissions-trading-viewe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ec.europa.eu/clima/policies/ets/cap/index_en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http://www.consilium.europa.eu/uedocs/cms_data/docs/pressdata/en/ec/145397.pdf" TargetMode="External"/><Relationship Id="rId1" Type="http://schemas.openxmlformats.org/officeDocument/2006/relationships/hyperlink" Target="http://www.dehst.de/SharedDocs/Downloads/DE/Publikationen/Zielpapier.pdf?__blob=publicationFil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file:///\\darth\groups\esa\643_CarbonLeakage%20FutureCamp\Material\Rahmenannahmen\Minderungspfad_TIMES\Daten&#252;bergabe%20ETS%20Grundszenario%201_2015-06-12.xlsx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ea.europa.eu/data-and-maps/data/data-viewers/emissions-trading-viewer" TargetMode="External"/><Relationship Id="rId2" Type="http://schemas.openxmlformats.org/officeDocument/2006/relationships/hyperlink" Target="file:///\\darth\groups\esa\643_CarbonLeakage%20FutureCamp\Material\Rahmenannahmen\Emissionsminderungspfad_Zwischenbericht_20150601.xlsx" TargetMode="External"/><Relationship Id="rId1" Type="http://schemas.openxmlformats.org/officeDocument/2006/relationships/hyperlink" Target="file:///\\darth\groups\esa\643_CarbonLeakage%20FutureCamp\Material\Rahmenannahmen\Minderungspfad_TIMES\Umlaufmenge_20150529.xlsx" TargetMode="External"/><Relationship Id="rId4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rth\groups\ega\450%20Kopernikus%20ENavi\6_Literatur_Gesamtprojekt\EU_Europa\EU_Reference_Scenario_2016_AppendixRefSce.xls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rth\groups\ega\450%20Kopernikus%20ENavi\6_Literatur_Gesamtprojekt\EU_Europa\EU_Reference_Scenario_2016_AppendixRefSce.xls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3:R43"/>
  <sheetViews>
    <sheetView workbookViewId="0">
      <selection activeCell="S8" sqref="S8"/>
    </sheetView>
  </sheetViews>
  <sheetFormatPr defaultColWidth="11.42578125" defaultRowHeight="15" x14ac:dyDescent="0.25"/>
  <cols>
    <col min="1" max="1" width="28.85546875" customWidth="1"/>
    <col min="2" max="2" width="23.7109375" customWidth="1"/>
    <col min="3" max="3" width="9.140625" customWidth="1"/>
    <col min="4" max="5" width="9.140625" bestFit="1" customWidth="1"/>
    <col min="6" max="7" width="9.140625" customWidth="1"/>
    <col min="8" max="9" width="9.140625" bestFit="1" customWidth="1"/>
    <col min="10" max="10" width="9.140625" customWidth="1"/>
    <col min="11" max="17" width="5" customWidth="1"/>
    <col min="18" max="18" width="15.5703125" customWidth="1"/>
    <col min="19" max="19" width="29.140625" bestFit="1" customWidth="1"/>
    <col min="20" max="20" width="28.7109375" bestFit="1" customWidth="1"/>
    <col min="21" max="21" width="15.5703125" bestFit="1" customWidth="1"/>
    <col min="22" max="22" width="8.140625" customWidth="1"/>
    <col min="23" max="23" width="8.5703125" customWidth="1"/>
    <col min="24" max="24" width="9.140625" customWidth="1"/>
    <col min="25" max="26" width="8.140625" customWidth="1"/>
    <col min="27" max="27" width="12" customWidth="1"/>
    <col min="28" max="28" width="8.140625" customWidth="1"/>
    <col min="29" max="29" width="7.28515625" customWidth="1"/>
    <col min="30" max="30" width="15.5703125" customWidth="1"/>
    <col min="31" max="38" width="29.140625" bestFit="1" customWidth="1"/>
    <col min="39" max="39" width="24.5703125" bestFit="1" customWidth="1"/>
    <col min="40" max="40" width="37" bestFit="1" customWidth="1"/>
  </cols>
  <sheetData>
    <row r="3" spans="1:18" x14ac:dyDescent="0.25">
      <c r="A3" s="30" t="s">
        <v>64</v>
      </c>
      <c r="B3" s="30" t="s">
        <v>61</v>
      </c>
    </row>
    <row r="4" spans="1:18" x14ac:dyDescent="0.25">
      <c r="A4" s="30" t="s">
        <v>59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60</v>
      </c>
    </row>
    <row r="5" spans="1:18" x14ac:dyDescent="0.25">
      <c r="A5" s="31" t="s">
        <v>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</row>
    <row r="6" spans="1:18" x14ac:dyDescent="0.25">
      <c r="A6" s="33" t="s">
        <v>1</v>
      </c>
      <c r="B6" s="32">
        <v>33373.154999999999</v>
      </c>
      <c r="C6" s="32">
        <v>32384.371999999999</v>
      </c>
      <c r="D6" s="32">
        <v>31751.26</v>
      </c>
      <c r="E6" s="32">
        <v>32078.973999999998</v>
      </c>
      <c r="F6" s="32">
        <v>27359.832999999999</v>
      </c>
      <c r="G6" s="32">
        <v>30919.710999999999</v>
      </c>
      <c r="H6" s="32">
        <v>30599.418000000001</v>
      </c>
      <c r="I6" s="32">
        <v>28387.06</v>
      </c>
      <c r="J6" s="32">
        <v>29850.723999999998</v>
      </c>
      <c r="K6" s="32"/>
      <c r="L6" s="32"/>
      <c r="M6" s="32"/>
      <c r="N6" s="32"/>
      <c r="O6" s="32"/>
      <c r="P6" s="32"/>
      <c r="Q6" s="32"/>
      <c r="R6" s="32">
        <v>276704.50699999998</v>
      </c>
    </row>
    <row r="7" spans="1:18" x14ac:dyDescent="0.25">
      <c r="A7" s="31" t="s">
        <v>65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</row>
    <row r="8" spans="1:18" x14ac:dyDescent="0.25">
      <c r="A8" s="33" t="s">
        <v>52</v>
      </c>
      <c r="B8" s="32">
        <v>242513.42600000001</v>
      </c>
      <c r="C8" s="32">
        <v>251160.16099999999</v>
      </c>
      <c r="D8" s="32">
        <v>256583.09599999999</v>
      </c>
      <c r="E8" s="32">
        <v>265059.08299999998</v>
      </c>
      <c r="F8" s="32">
        <v>231939.60200000001</v>
      </c>
      <c r="G8" s="32">
        <v>237337.29699999999</v>
      </c>
      <c r="H8" s="32">
        <v>220868.772</v>
      </c>
      <c r="I8" s="32">
        <v>231256.573</v>
      </c>
      <c r="J8" s="32">
        <v>225519.07399999999</v>
      </c>
      <c r="K8" s="32"/>
      <c r="L8" s="32"/>
      <c r="M8" s="32"/>
      <c r="N8" s="32"/>
      <c r="O8" s="32"/>
      <c r="P8" s="32"/>
      <c r="Q8" s="32"/>
      <c r="R8" s="32">
        <v>2162237.0839999998</v>
      </c>
    </row>
    <row r="9" spans="1:18" x14ac:dyDescent="0.25">
      <c r="A9" s="33" t="s">
        <v>43</v>
      </c>
      <c r="B9" s="32">
        <v>80351.292000000001</v>
      </c>
      <c r="C9" s="32">
        <v>76702.137000000002</v>
      </c>
      <c r="D9" s="32">
        <v>79872.395000000004</v>
      </c>
      <c r="E9" s="32">
        <v>83510.581999999995</v>
      </c>
      <c r="F9" s="32">
        <v>81030.7</v>
      </c>
      <c r="G9" s="32">
        <v>84735.599000000002</v>
      </c>
      <c r="H9" s="32">
        <v>79966.837</v>
      </c>
      <c r="I9" s="32">
        <v>76425.922000000006</v>
      </c>
      <c r="J9" s="32">
        <v>86796.33</v>
      </c>
      <c r="K9" s="32"/>
      <c r="L9" s="32"/>
      <c r="M9" s="32"/>
      <c r="N9" s="32"/>
      <c r="O9" s="32"/>
      <c r="P9" s="32"/>
      <c r="Q9" s="32"/>
      <c r="R9" s="32">
        <v>729391.79399999999</v>
      </c>
    </row>
    <row r="10" spans="1:18" x14ac:dyDescent="0.25">
      <c r="A10" s="33" t="s">
        <v>21</v>
      </c>
      <c r="B10" s="32">
        <v>55363.232000000004</v>
      </c>
      <c r="C10" s="32">
        <v>54775.326000000001</v>
      </c>
      <c r="D10" s="32">
        <v>52795.332999999999</v>
      </c>
      <c r="E10" s="32">
        <v>55462.027000000002</v>
      </c>
      <c r="F10" s="32">
        <v>46206.938000000002</v>
      </c>
      <c r="G10" s="32">
        <v>50103.978999999999</v>
      </c>
      <c r="H10" s="32">
        <v>46203.055</v>
      </c>
      <c r="I10" s="32">
        <v>43006.98</v>
      </c>
      <c r="J10" s="32">
        <v>45231.175000000003</v>
      </c>
      <c r="K10" s="32"/>
      <c r="L10" s="32"/>
      <c r="M10" s="32"/>
      <c r="N10" s="32"/>
      <c r="O10" s="32"/>
      <c r="P10" s="32"/>
      <c r="Q10" s="32"/>
      <c r="R10" s="32">
        <v>449148.04499999998</v>
      </c>
    </row>
    <row r="11" spans="1:18" x14ac:dyDescent="0.25">
      <c r="A11" s="33" t="s">
        <v>29</v>
      </c>
      <c r="B11" s="32">
        <v>33099.660000000003</v>
      </c>
      <c r="C11" s="32">
        <v>44621.453000000001</v>
      </c>
      <c r="D11" s="32">
        <v>42541.353000000003</v>
      </c>
      <c r="E11" s="32">
        <v>36163.675000000003</v>
      </c>
      <c r="F11" s="32">
        <v>34354.480000000003</v>
      </c>
      <c r="G11" s="32">
        <v>41297.987999999998</v>
      </c>
      <c r="H11" s="32">
        <v>35083.373</v>
      </c>
      <c r="I11" s="32">
        <v>29497.919999999998</v>
      </c>
      <c r="J11" s="32">
        <v>31496.742999999999</v>
      </c>
      <c r="K11" s="32"/>
      <c r="L11" s="32"/>
      <c r="M11" s="32"/>
      <c r="N11" s="32"/>
      <c r="O11" s="32"/>
      <c r="P11" s="32"/>
      <c r="Q11" s="32"/>
      <c r="R11" s="32">
        <v>328156.64500000002</v>
      </c>
    </row>
    <row r="12" spans="1:18" x14ac:dyDescent="0.25">
      <c r="A12" s="33" t="s">
        <v>27</v>
      </c>
      <c r="B12" s="32">
        <v>26475.718000000001</v>
      </c>
      <c r="C12" s="32">
        <v>34199.588000000003</v>
      </c>
      <c r="D12" s="32">
        <v>29407.401000000002</v>
      </c>
      <c r="E12" s="32">
        <v>26548.562999999998</v>
      </c>
      <c r="F12" s="32">
        <v>25461.124</v>
      </c>
      <c r="G12" s="32">
        <v>25266.362000000001</v>
      </c>
      <c r="H12" s="32">
        <v>21465.657999999999</v>
      </c>
      <c r="I12" s="32">
        <v>18185.55</v>
      </c>
      <c r="J12" s="32">
        <v>21601.954000000002</v>
      </c>
      <c r="K12" s="32"/>
      <c r="L12" s="32"/>
      <c r="M12" s="32"/>
      <c r="N12" s="32"/>
      <c r="O12" s="32"/>
      <c r="P12" s="32"/>
      <c r="Q12" s="32"/>
      <c r="R12" s="32">
        <v>228611.91799999998</v>
      </c>
    </row>
    <row r="13" spans="1:18" x14ac:dyDescent="0.25">
      <c r="A13" s="33" t="s">
        <v>51</v>
      </c>
      <c r="B13" s="32">
        <v>19381.682000000001</v>
      </c>
      <c r="C13" s="32">
        <v>20002.496999999999</v>
      </c>
      <c r="D13" s="32">
        <v>19040.731</v>
      </c>
      <c r="E13" s="32">
        <v>20080.518</v>
      </c>
      <c r="F13" s="32">
        <v>17491.866999999998</v>
      </c>
      <c r="G13" s="32">
        <v>22661.192999999999</v>
      </c>
      <c r="H13" s="32">
        <v>19853.884999999998</v>
      </c>
      <c r="I13" s="32">
        <v>18172.023000000001</v>
      </c>
      <c r="J13" s="32">
        <v>20114.064999999999</v>
      </c>
      <c r="K13" s="32"/>
      <c r="L13" s="32"/>
      <c r="M13" s="32"/>
      <c r="N13" s="32"/>
      <c r="O13" s="32"/>
      <c r="P13" s="32"/>
      <c r="Q13" s="32"/>
      <c r="R13" s="32">
        <v>176798.46100000001</v>
      </c>
    </row>
    <row r="14" spans="1:18" x14ac:dyDescent="0.25">
      <c r="A14" s="33" t="s">
        <v>35</v>
      </c>
      <c r="B14" s="32">
        <v>22441.006000000001</v>
      </c>
      <c r="C14" s="32">
        <v>21705.330999999998</v>
      </c>
      <c r="D14" s="32">
        <v>21246.12</v>
      </c>
      <c r="E14" s="32">
        <v>20381.722000000002</v>
      </c>
      <c r="F14" s="32">
        <v>17215.223000000002</v>
      </c>
      <c r="G14" s="32">
        <v>17373.012999999999</v>
      </c>
      <c r="H14" s="32">
        <v>15769.62</v>
      </c>
      <c r="I14" s="32">
        <v>16895.989000000001</v>
      </c>
      <c r="J14" s="32">
        <v>15685.380999999999</v>
      </c>
      <c r="K14" s="32"/>
      <c r="L14" s="32"/>
      <c r="M14" s="32"/>
      <c r="N14" s="32"/>
      <c r="O14" s="32"/>
      <c r="P14" s="32"/>
      <c r="Q14" s="32"/>
      <c r="R14" s="32">
        <v>168713.405</v>
      </c>
    </row>
    <row r="15" spans="1:18" x14ac:dyDescent="0.25">
      <c r="A15" s="33" t="s">
        <v>28</v>
      </c>
      <c r="B15" s="32">
        <v>12621.824000000001</v>
      </c>
      <c r="C15" s="32">
        <v>12104.433000000001</v>
      </c>
      <c r="D15" s="32">
        <v>15329.933999999999</v>
      </c>
      <c r="E15" s="32">
        <v>13540.891</v>
      </c>
      <c r="F15" s="32">
        <v>10378.346</v>
      </c>
      <c r="G15" s="32">
        <v>14514.39</v>
      </c>
      <c r="H15" s="32">
        <v>14809.460999999999</v>
      </c>
      <c r="I15" s="32">
        <v>13543.879000000001</v>
      </c>
      <c r="J15" s="32">
        <v>15922.531000000001</v>
      </c>
      <c r="K15" s="32"/>
      <c r="L15" s="32"/>
      <c r="M15" s="32"/>
      <c r="N15" s="32"/>
      <c r="O15" s="32"/>
      <c r="P15" s="32"/>
      <c r="Q15" s="32"/>
      <c r="R15" s="32">
        <v>122765.689</v>
      </c>
    </row>
    <row r="16" spans="1:18" x14ac:dyDescent="0.25">
      <c r="A16" s="33" t="s">
        <v>39</v>
      </c>
      <c r="B16" s="32">
        <v>6603.8689999999997</v>
      </c>
      <c r="C16" s="32">
        <v>6516.9110000000001</v>
      </c>
      <c r="D16" s="32">
        <v>5998.7439999999997</v>
      </c>
      <c r="E16" s="32">
        <v>6103.72</v>
      </c>
      <c r="F16" s="32">
        <v>5786.7420000000002</v>
      </c>
      <c r="G16" s="32">
        <v>6393.9520000000002</v>
      </c>
      <c r="H16" s="32">
        <v>5606.4250000000002</v>
      </c>
      <c r="I16" s="32">
        <v>5718.0370000000003</v>
      </c>
      <c r="J16" s="32">
        <v>7464.1549999999997</v>
      </c>
      <c r="K16" s="32"/>
      <c r="L16" s="32"/>
      <c r="M16" s="32"/>
      <c r="N16" s="32"/>
      <c r="O16" s="32"/>
      <c r="P16" s="32"/>
      <c r="Q16" s="32"/>
      <c r="R16" s="32">
        <v>56192.554999999993</v>
      </c>
    </row>
    <row r="17" spans="1:18" x14ac:dyDescent="0.25">
      <c r="A17" s="33" t="s">
        <v>37</v>
      </c>
      <c r="B17" s="32">
        <v>2854.4920000000002</v>
      </c>
      <c r="C17" s="32">
        <v>2940.6849999999999</v>
      </c>
      <c r="D17" s="32">
        <v>2849.21</v>
      </c>
      <c r="E17" s="32">
        <v>2742.9180000000001</v>
      </c>
      <c r="F17" s="32">
        <v>2489.8049999999998</v>
      </c>
      <c r="G17" s="32">
        <v>3240.172</v>
      </c>
      <c r="H17" s="32">
        <v>2923.4549999999999</v>
      </c>
      <c r="I17" s="32">
        <v>2740.0129999999999</v>
      </c>
      <c r="J17" s="32">
        <v>2649.8139999999999</v>
      </c>
      <c r="K17" s="32"/>
      <c r="L17" s="32"/>
      <c r="M17" s="32"/>
      <c r="N17" s="32"/>
      <c r="O17" s="32"/>
      <c r="P17" s="32"/>
      <c r="Q17" s="32"/>
      <c r="R17" s="32">
        <v>25430.563999999998</v>
      </c>
    </row>
    <row r="18" spans="1:18" x14ac:dyDescent="0.25">
      <c r="A18" s="33" t="s">
        <v>40</v>
      </c>
      <c r="B18" s="32">
        <v>2603.3490000000002</v>
      </c>
      <c r="C18" s="32">
        <v>2712.9720000000002</v>
      </c>
      <c r="D18" s="32">
        <v>2567.2310000000002</v>
      </c>
      <c r="E18" s="32">
        <v>2098.895</v>
      </c>
      <c r="F18" s="32">
        <v>2181.694</v>
      </c>
      <c r="G18" s="32">
        <v>2252.6619999999998</v>
      </c>
      <c r="H18" s="32">
        <v>2052.2109999999998</v>
      </c>
      <c r="I18" s="32">
        <v>1989.537</v>
      </c>
      <c r="J18" s="32">
        <v>1847.117</v>
      </c>
      <c r="K18" s="32"/>
      <c r="L18" s="32"/>
      <c r="M18" s="32"/>
      <c r="N18" s="32"/>
      <c r="O18" s="32"/>
      <c r="P18" s="32"/>
      <c r="Q18" s="32"/>
      <c r="R18" s="32">
        <v>20305.667999999998</v>
      </c>
    </row>
    <row r="19" spans="1:18" x14ac:dyDescent="0.25">
      <c r="A19" s="31" t="s">
        <v>67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</row>
    <row r="20" spans="1:18" x14ac:dyDescent="0.25">
      <c r="A20" s="33" t="s">
        <v>45</v>
      </c>
      <c r="B20" s="32">
        <v>203149.576</v>
      </c>
      <c r="C20" s="32">
        <v>209616.29</v>
      </c>
      <c r="D20" s="32">
        <v>209618.35699999999</v>
      </c>
      <c r="E20" s="32">
        <v>204107.41899999999</v>
      </c>
      <c r="F20" s="32">
        <v>191174.24900000001</v>
      </c>
      <c r="G20" s="32">
        <v>199726.90700000001</v>
      </c>
      <c r="H20" s="32">
        <v>203026.52499999999</v>
      </c>
      <c r="I20" s="32">
        <v>196636.28</v>
      </c>
      <c r="J20" s="32">
        <v>205734.342</v>
      </c>
      <c r="K20" s="32"/>
      <c r="L20" s="32"/>
      <c r="M20" s="32"/>
      <c r="N20" s="32"/>
      <c r="O20" s="32"/>
      <c r="P20" s="32"/>
      <c r="Q20" s="32"/>
      <c r="R20" s="32">
        <v>1822789.9449999998</v>
      </c>
    </row>
    <row r="21" spans="1:18" x14ac:dyDescent="0.25">
      <c r="A21" s="33" t="s">
        <v>26</v>
      </c>
      <c r="B21" s="32">
        <v>82454.635999999999</v>
      </c>
      <c r="C21" s="32">
        <v>83624.960000000006</v>
      </c>
      <c r="D21" s="32">
        <v>87834.763999999996</v>
      </c>
      <c r="E21" s="32">
        <v>80399.099000000002</v>
      </c>
      <c r="F21" s="32">
        <v>73784.83</v>
      </c>
      <c r="G21" s="32">
        <v>75584.351999999999</v>
      </c>
      <c r="H21" s="32">
        <v>74187.035999999993</v>
      </c>
      <c r="I21" s="32">
        <v>69316.47</v>
      </c>
      <c r="J21" s="32">
        <v>67713.644</v>
      </c>
      <c r="K21" s="32"/>
      <c r="L21" s="32"/>
      <c r="M21" s="32"/>
      <c r="N21" s="32"/>
      <c r="O21" s="32"/>
      <c r="P21" s="32"/>
      <c r="Q21" s="32"/>
      <c r="R21" s="32">
        <v>694899.79099999997</v>
      </c>
    </row>
    <row r="22" spans="1:18" x14ac:dyDescent="0.25">
      <c r="A22" s="33" t="s">
        <v>47</v>
      </c>
      <c r="B22" s="32"/>
      <c r="C22" s="32"/>
      <c r="D22" s="32">
        <v>69611.798999999999</v>
      </c>
      <c r="E22" s="32">
        <v>63816.826000000001</v>
      </c>
      <c r="F22" s="32">
        <v>49061.703999999998</v>
      </c>
      <c r="G22" s="32">
        <v>47344.118999999999</v>
      </c>
      <c r="H22" s="32">
        <v>51238.934999999998</v>
      </c>
      <c r="I22" s="32">
        <v>47857.377</v>
      </c>
      <c r="J22" s="32">
        <v>42414.701000000001</v>
      </c>
      <c r="K22" s="32"/>
      <c r="L22" s="32"/>
      <c r="M22" s="32"/>
      <c r="N22" s="32"/>
      <c r="O22" s="32"/>
      <c r="P22" s="32"/>
      <c r="Q22" s="32"/>
      <c r="R22" s="32">
        <v>371345.46100000001</v>
      </c>
    </row>
    <row r="23" spans="1:18" x14ac:dyDescent="0.25">
      <c r="A23" s="33" t="s">
        <v>22</v>
      </c>
      <c r="B23" s="32"/>
      <c r="C23" s="32"/>
      <c r="D23" s="32">
        <v>39181.983999999997</v>
      </c>
      <c r="E23" s="32">
        <v>38303.052000000003</v>
      </c>
      <c r="F23" s="32">
        <v>32014.544999999998</v>
      </c>
      <c r="G23" s="32">
        <v>33525.095999999998</v>
      </c>
      <c r="H23" s="32">
        <v>39997.538</v>
      </c>
      <c r="I23" s="32">
        <v>35049.983999999997</v>
      </c>
      <c r="J23" s="32">
        <v>32695.534</v>
      </c>
      <c r="K23" s="32"/>
      <c r="L23" s="32"/>
      <c r="M23" s="32"/>
      <c r="N23" s="32"/>
      <c r="O23" s="32"/>
      <c r="P23" s="32"/>
      <c r="Q23" s="32"/>
      <c r="R23" s="32">
        <v>250767.73300000001</v>
      </c>
    </row>
    <row r="24" spans="1:18" x14ac:dyDescent="0.25">
      <c r="A24" s="33" t="s">
        <v>33</v>
      </c>
      <c r="B24" s="32">
        <v>26161.642</v>
      </c>
      <c r="C24" s="32">
        <v>25845.907999999999</v>
      </c>
      <c r="D24" s="32">
        <v>26836.758000000002</v>
      </c>
      <c r="E24" s="32">
        <v>27236.61</v>
      </c>
      <c r="F24" s="32">
        <v>22401.258999999998</v>
      </c>
      <c r="G24" s="32">
        <v>22991.710999999999</v>
      </c>
      <c r="H24" s="32">
        <v>22469.974999999999</v>
      </c>
      <c r="I24" s="32">
        <v>21262.963</v>
      </c>
      <c r="J24" s="32">
        <v>19124.911</v>
      </c>
      <c r="K24" s="32"/>
      <c r="L24" s="32"/>
      <c r="M24" s="32"/>
      <c r="N24" s="32"/>
      <c r="O24" s="32"/>
      <c r="P24" s="32"/>
      <c r="Q24" s="32"/>
      <c r="R24" s="32">
        <v>214331.73699999999</v>
      </c>
    </row>
    <row r="25" spans="1:18" x14ac:dyDescent="0.25">
      <c r="A25" s="33" t="s">
        <v>48</v>
      </c>
      <c r="B25" s="32">
        <v>25231.769</v>
      </c>
      <c r="C25" s="32">
        <v>25543.242999999999</v>
      </c>
      <c r="D25" s="32">
        <v>24516.833999999999</v>
      </c>
      <c r="E25" s="32">
        <v>25336.705999999998</v>
      </c>
      <c r="F25" s="32">
        <v>21595.208999999999</v>
      </c>
      <c r="G25" s="32">
        <v>21698.625</v>
      </c>
      <c r="H25" s="32">
        <v>22222.534</v>
      </c>
      <c r="I25" s="32">
        <v>20932.902999999998</v>
      </c>
      <c r="J25" s="32">
        <v>21829.437999999998</v>
      </c>
      <c r="K25" s="32"/>
      <c r="L25" s="32"/>
      <c r="M25" s="32"/>
      <c r="N25" s="32"/>
      <c r="O25" s="32"/>
      <c r="P25" s="32"/>
      <c r="Q25" s="32"/>
      <c r="R25" s="32">
        <v>208907.26099999997</v>
      </c>
    </row>
    <row r="26" spans="1:18" x14ac:dyDescent="0.25">
      <c r="A26" s="31" t="s">
        <v>69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</row>
    <row r="27" spans="1:18" x14ac:dyDescent="0.25">
      <c r="A27" s="33" t="s">
        <v>36</v>
      </c>
      <c r="B27" s="32">
        <v>225989.45499999999</v>
      </c>
      <c r="C27" s="32">
        <v>227439.46900000001</v>
      </c>
      <c r="D27" s="32">
        <v>226405.99</v>
      </c>
      <c r="E27" s="32">
        <v>220676.32500000001</v>
      </c>
      <c r="F27" s="32">
        <v>184881.60200000001</v>
      </c>
      <c r="G27" s="32">
        <v>191489.53899999999</v>
      </c>
      <c r="H27" s="32">
        <v>189961.95600000001</v>
      </c>
      <c r="I27" s="32">
        <v>179075.109</v>
      </c>
      <c r="J27" s="32">
        <v>164399.18400000001</v>
      </c>
      <c r="K27" s="32"/>
      <c r="L27" s="32"/>
      <c r="M27" s="32"/>
      <c r="N27" s="32"/>
      <c r="O27" s="32"/>
      <c r="P27" s="32"/>
      <c r="Q27" s="32"/>
      <c r="R27" s="32">
        <v>1810318.6289999997</v>
      </c>
    </row>
    <row r="28" spans="1:18" x14ac:dyDescent="0.25">
      <c r="A28" s="33" t="s">
        <v>50</v>
      </c>
      <c r="B28" s="32">
        <v>183627.21599999999</v>
      </c>
      <c r="C28" s="32">
        <v>179724.889</v>
      </c>
      <c r="D28" s="32">
        <v>186573.44899999999</v>
      </c>
      <c r="E28" s="32">
        <v>163462.31200000001</v>
      </c>
      <c r="F28" s="32">
        <v>136935.766</v>
      </c>
      <c r="G28" s="32">
        <v>121483.473</v>
      </c>
      <c r="H28" s="32">
        <v>132687.96599999999</v>
      </c>
      <c r="I28" s="32">
        <v>135634.59099999999</v>
      </c>
      <c r="J28" s="32">
        <v>122793.357</v>
      </c>
      <c r="K28" s="32"/>
      <c r="L28" s="32"/>
      <c r="M28" s="32"/>
      <c r="N28" s="32"/>
      <c r="O28" s="32"/>
      <c r="P28" s="32"/>
      <c r="Q28" s="32"/>
      <c r="R28" s="32">
        <v>1362923.0190000001</v>
      </c>
    </row>
    <row r="29" spans="1:18" x14ac:dyDescent="0.25">
      <c r="A29" s="33" t="s">
        <v>32</v>
      </c>
      <c r="B29" s="32">
        <v>71267.751999999993</v>
      </c>
      <c r="C29" s="32">
        <v>69965.150999999998</v>
      </c>
      <c r="D29" s="32">
        <v>72717.010999999999</v>
      </c>
      <c r="E29" s="32">
        <v>69853.892999999996</v>
      </c>
      <c r="F29" s="32">
        <v>63661.572</v>
      </c>
      <c r="G29" s="32">
        <v>59939.995999999999</v>
      </c>
      <c r="H29" s="32">
        <v>58838.180999999997</v>
      </c>
      <c r="I29" s="32">
        <v>61440.385000000002</v>
      </c>
      <c r="J29" s="32">
        <v>58632.976000000002</v>
      </c>
      <c r="K29" s="32"/>
      <c r="L29" s="32"/>
      <c r="M29" s="32"/>
      <c r="N29" s="32"/>
      <c r="O29" s="32"/>
      <c r="P29" s="32"/>
      <c r="Q29" s="32"/>
      <c r="R29" s="32">
        <v>586316.9169999999</v>
      </c>
    </row>
    <row r="30" spans="1:18" x14ac:dyDescent="0.25">
      <c r="A30" s="33" t="s">
        <v>46</v>
      </c>
      <c r="B30" s="32">
        <v>36425.932999999997</v>
      </c>
      <c r="C30" s="32">
        <v>33061.968999999997</v>
      </c>
      <c r="D30" s="32">
        <v>31197.277999999998</v>
      </c>
      <c r="E30" s="32">
        <v>29911.64</v>
      </c>
      <c r="F30" s="32">
        <v>28261.96</v>
      </c>
      <c r="G30" s="32">
        <v>24167.19</v>
      </c>
      <c r="H30" s="32">
        <v>25010.518</v>
      </c>
      <c r="I30" s="32">
        <v>25249.697</v>
      </c>
      <c r="J30" s="32">
        <v>24641.817999999999</v>
      </c>
      <c r="K30" s="32"/>
      <c r="L30" s="32"/>
      <c r="M30" s="32"/>
      <c r="N30" s="32"/>
      <c r="O30" s="32"/>
      <c r="P30" s="32"/>
      <c r="Q30" s="32"/>
      <c r="R30" s="32">
        <v>257928.003</v>
      </c>
    </row>
    <row r="31" spans="1:18" x14ac:dyDescent="0.25">
      <c r="A31" s="33" t="s">
        <v>49</v>
      </c>
      <c r="B31" s="32">
        <v>8720.5499999999993</v>
      </c>
      <c r="C31" s="32">
        <v>8842.1820000000007</v>
      </c>
      <c r="D31" s="32">
        <v>9048.634</v>
      </c>
      <c r="E31" s="32">
        <v>8860.1049999999996</v>
      </c>
      <c r="F31" s="32">
        <v>8067.0230000000001</v>
      </c>
      <c r="G31" s="32">
        <v>8129.8630000000003</v>
      </c>
      <c r="H31" s="32">
        <v>7994.5519999999997</v>
      </c>
      <c r="I31" s="32">
        <v>7610.5919999999996</v>
      </c>
      <c r="J31" s="32">
        <v>7386.3090000000002</v>
      </c>
      <c r="K31" s="32"/>
      <c r="L31" s="32"/>
      <c r="M31" s="32"/>
      <c r="N31" s="32"/>
      <c r="O31" s="32"/>
      <c r="P31" s="32"/>
      <c r="Q31" s="32"/>
      <c r="R31" s="32">
        <v>74659.81</v>
      </c>
    </row>
    <row r="32" spans="1:18" x14ac:dyDescent="0.25">
      <c r="A32" s="33" t="s">
        <v>25</v>
      </c>
      <c r="B32" s="32">
        <v>5078.8770000000004</v>
      </c>
      <c r="C32" s="32">
        <v>5259.2730000000001</v>
      </c>
      <c r="D32" s="32">
        <v>5396.1639999999998</v>
      </c>
      <c r="E32" s="32">
        <v>5576.6459999999997</v>
      </c>
      <c r="F32" s="32">
        <v>5361.6329999999998</v>
      </c>
      <c r="G32" s="32">
        <v>5056.22</v>
      </c>
      <c r="H32" s="32">
        <v>4599.3810000000003</v>
      </c>
      <c r="I32" s="32">
        <v>4383.8980000000001</v>
      </c>
      <c r="J32" s="32">
        <v>4024.8739999999998</v>
      </c>
      <c r="K32" s="32"/>
      <c r="L32" s="32"/>
      <c r="M32" s="32"/>
      <c r="N32" s="32"/>
      <c r="O32" s="32"/>
      <c r="P32" s="32"/>
      <c r="Q32" s="32"/>
      <c r="R32" s="32">
        <v>44736.966</v>
      </c>
    </row>
    <row r="33" spans="1:18" x14ac:dyDescent="0.25">
      <c r="A33" s="33" t="s">
        <v>41</v>
      </c>
      <c r="B33" s="32">
        <v>1971.258</v>
      </c>
      <c r="C33" s="32">
        <v>1985.7650000000001</v>
      </c>
      <c r="D33" s="32">
        <v>2027.364</v>
      </c>
      <c r="E33" s="32">
        <v>2018.585</v>
      </c>
      <c r="F33" s="32">
        <v>1897.1130000000001</v>
      </c>
      <c r="G33" s="32">
        <v>1878.307</v>
      </c>
      <c r="H33" s="32">
        <v>1931.566</v>
      </c>
      <c r="I33" s="32">
        <v>2052.4299999999998</v>
      </c>
      <c r="J33" s="32">
        <v>1697.3040000000001</v>
      </c>
      <c r="K33" s="32"/>
      <c r="L33" s="32"/>
      <c r="M33" s="32"/>
      <c r="N33" s="32"/>
      <c r="O33" s="32"/>
      <c r="P33" s="32"/>
      <c r="Q33" s="32"/>
      <c r="R33" s="32">
        <v>17459.692000000003</v>
      </c>
    </row>
    <row r="34" spans="1:18" x14ac:dyDescent="0.25">
      <c r="A34" s="33" t="s">
        <v>24</v>
      </c>
      <c r="B34" s="32"/>
      <c r="C34" s="32"/>
      <c r="D34" s="32"/>
      <c r="E34" s="32"/>
      <c r="F34" s="32"/>
      <c r="G34" s="32"/>
      <c r="H34" s="32"/>
      <c r="I34" s="32"/>
      <c r="J34" s="32">
        <v>8511.9879999999994</v>
      </c>
      <c r="K34" s="32"/>
      <c r="L34" s="32"/>
      <c r="M34" s="32"/>
      <c r="N34" s="32"/>
      <c r="O34" s="32"/>
      <c r="P34" s="32"/>
      <c r="Q34" s="32"/>
      <c r="R34" s="32">
        <v>8511.9879999999994</v>
      </c>
    </row>
    <row r="35" spans="1:18" x14ac:dyDescent="0.25">
      <c r="A35" s="31" t="s">
        <v>30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</row>
    <row r="36" spans="1:18" x14ac:dyDescent="0.25">
      <c r="A36" s="33" t="s">
        <v>30</v>
      </c>
      <c r="B36" s="32">
        <v>131263.79399999999</v>
      </c>
      <c r="C36" s="32">
        <v>126979.057</v>
      </c>
      <c r="D36" s="32">
        <v>126634.815</v>
      </c>
      <c r="E36" s="32">
        <v>124129.806</v>
      </c>
      <c r="F36" s="32">
        <v>111092.554</v>
      </c>
      <c r="G36" s="32">
        <v>115570.78</v>
      </c>
      <c r="H36" s="32">
        <v>105582.769</v>
      </c>
      <c r="I36" s="32">
        <v>103660.84</v>
      </c>
      <c r="J36" s="32">
        <v>102651.61900000001</v>
      </c>
      <c r="K36" s="32"/>
      <c r="L36" s="32"/>
      <c r="M36" s="32"/>
      <c r="N36" s="32"/>
      <c r="O36" s="32"/>
      <c r="P36" s="32"/>
      <c r="Q36" s="32"/>
      <c r="R36" s="32">
        <v>1047566.034</v>
      </c>
    </row>
    <row r="37" spans="1:18" x14ac:dyDescent="0.25">
      <c r="A37" s="31" t="s">
        <v>31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</row>
    <row r="38" spans="1:18" x14ac:dyDescent="0.25">
      <c r="A38" s="33" t="s">
        <v>31</v>
      </c>
      <c r="B38" s="32">
        <v>475051.53499999997</v>
      </c>
      <c r="C38" s="32">
        <v>478074.86800000002</v>
      </c>
      <c r="D38" s="32">
        <v>487148.43199999997</v>
      </c>
      <c r="E38" s="32">
        <v>472853.53399999999</v>
      </c>
      <c r="F38" s="32">
        <v>428294.50199999998</v>
      </c>
      <c r="G38" s="32">
        <v>454864.59899999999</v>
      </c>
      <c r="H38" s="32">
        <v>450333.239</v>
      </c>
      <c r="I38" s="32">
        <v>452585.88</v>
      </c>
      <c r="J38" s="32">
        <v>480936.56</v>
      </c>
      <c r="K38" s="32"/>
      <c r="L38" s="32"/>
      <c r="M38" s="32"/>
      <c r="N38" s="32"/>
      <c r="O38" s="32"/>
      <c r="P38" s="32"/>
      <c r="Q38" s="32"/>
      <c r="R38" s="32">
        <v>4180143.1489999997</v>
      </c>
    </row>
    <row r="39" spans="1:18" x14ac:dyDescent="0.25">
      <c r="A39" s="31" t="s">
        <v>73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</row>
    <row r="40" spans="1:18" x14ac:dyDescent="0.25">
      <c r="A40" s="33" t="s">
        <v>44</v>
      </c>
      <c r="B40" s="32"/>
      <c r="C40" s="32"/>
      <c r="D40" s="32"/>
      <c r="E40" s="32">
        <v>19342.442999999999</v>
      </c>
      <c r="F40" s="32">
        <v>19215.689999999999</v>
      </c>
      <c r="G40" s="32">
        <v>19335.303</v>
      </c>
      <c r="H40" s="32">
        <v>19231.024000000001</v>
      </c>
      <c r="I40" s="32">
        <v>18588.71</v>
      </c>
      <c r="J40" s="32">
        <v>24695.755000000001</v>
      </c>
      <c r="K40" s="32"/>
      <c r="L40" s="32"/>
      <c r="M40" s="32"/>
      <c r="N40" s="32"/>
      <c r="O40" s="32"/>
      <c r="P40" s="32"/>
      <c r="Q40" s="32"/>
      <c r="R40" s="32">
        <v>120408.92500000002</v>
      </c>
    </row>
    <row r="41" spans="1:18" x14ac:dyDescent="0.25">
      <c r="A41" s="33" t="s">
        <v>34</v>
      </c>
      <c r="B41" s="32"/>
      <c r="C41" s="32"/>
      <c r="D41" s="32"/>
      <c r="E41" s="32"/>
      <c r="F41" s="32"/>
      <c r="G41" s="32"/>
      <c r="H41" s="32"/>
      <c r="I41" s="32"/>
      <c r="J41" s="32">
        <v>1779.8810000000001</v>
      </c>
      <c r="K41" s="32"/>
      <c r="L41" s="32"/>
      <c r="M41" s="32"/>
      <c r="N41" s="32"/>
      <c r="O41" s="32"/>
      <c r="P41" s="32"/>
      <c r="Q41" s="32"/>
      <c r="R41" s="32">
        <v>1779.8810000000001</v>
      </c>
    </row>
    <row r="42" spans="1:18" x14ac:dyDescent="0.25">
      <c r="A42" s="33" t="s">
        <v>38</v>
      </c>
      <c r="B42" s="32"/>
      <c r="C42" s="32"/>
      <c r="D42" s="32"/>
      <c r="E42" s="32">
        <v>19.882999999999999</v>
      </c>
      <c r="F42" s="32">
        <v>13.379</v>
      </c>
      <c r="G42" s="32">
        <v>1.796</v>
      </c>
      <c r="H42" s="32">
        <v>1.546</v>
      </c>
      <c r="I42" s="32">
        <v>1.0960000000000001</v>
      </c>
      <c r="J42" s="32">
        <v>0.94299999999999995</v>
      </c>
      <c r="K42" s="32"/>
      <c r="L42" s="32"/>
      <c r="M42" s="32"/>
      <c r="N42" s="32"/>
      <c r="O42" s="32"/>
      <c r="P42" s="32"/>
      <c r="Q42" s="32"/>
      <c r="R42" s="32">
        <v>38.643000000000001</v>
      </c>
    </row>
    <row r="43" spans="1:18" x14ac:dyDescent="0.25">
      <c r="A43" s="31" t="s">
        <v>60</v>
      </c>
      <c r="B43" s="32">
        <v>2014076.6979999999</v>
      </c>
      <c r="C43" s="32">
        <v>2035788.8900000001</v>
      </c>
      <c r="D43" s="32">
        <v>2164732.4409999996</v>
      </c>
      <c r="E43" s="32">
        <v>2119676.4519999996</v>
      </c>
      <c r="F43" s="32">
        <v>1879610.9439999999</v>
      </c>
      <c r="G43" s="32">
        <v>1938884.1939999999</v>
      </c>
      <c r="H43" s="32">
        <v>1904517.4110000003</v>
      </c>
      <c r="I43" s="32">
        <v>1867158.6880000001</v>
      </c>
      <c r="J43" s="32">
        <v>1895844.2009999997</v>
      </c>
      <c r="K43" s="32"/>
      <c r="L43" s="32"/>
      <c r="M43" s="32"/>
      <c r="N43" s="32"/>
      <c r="O43" s="32"/>
      <c r="P43" s="32"/>
      <c r="Q43" s="32"/>
      <c r="R43" s="32">
        <v>17820289.919</v>
      </c>
    </row>
  </sheetData>
  <pageMargins left="0.7" right="0.7" top="0.78740157499999996" bottom="0.78740157499999996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L68"/>
  <sheetViews>
    <sheetView zoomScale="85" zoomScaleNormal="85" workbookViewId="0">
      <selection activeCell="I16" sqref="I16"/>
    </sheetView>
  </sheetViews>
  <sheetFormatPr defaultColWidth="11.42578125" defaultRowHeight="15" x14ac:dyDescent="0.25"/>
  <cols>
    <col min="1" max="1" width="25.85546875" customWidth="1"/>
    <col min="2" max="8" width="10.7109375" customWidth="1"/>
    <col min="9" max="9" width="14" customWidth="1"/>
    <col min="10" max="10" width="11.42578125" customWidth="1"/>
    <col min="11" max="16" width="10.7109375" customWidth="1"/>
    <col min="17" max="24" width="10.42578125" customWidth="1"/>
    <col min="25" max="32" width="10.7109375" customWidth="1"/>
    <col min="33" max="40" width="10.42578125" customWidth="1"/>
    <col min="41" max="48" width="10.7109375" customWidth="1"/>
    <col min="49" max="56" width="10.42578125" customWidth="1"/>
    <col min="57" max="64" width="10.7109375" customWidth="1"/>
  </cols>
  <sheetData>
    <row r="1" spans="1:10" ht="15.75" thickBot="1" x14ac:dyDescent="0.3">
      <c r="A1" s="47" t="s">
        <v>78</v>
      </c>
      <c r="B1" s="48"/>
    </row>
    <row r="3" spans="1:10" x14ac:dyDescent="0.25">
      <c r="A3" t="s">
        <v>64</v>
      </c>
      <c r="B3" t="s">
        <v>61</v>
      </c>
    </row>
    <row r="4" spans="1:10" x14ac:dyDescent="0.25">
      <c r="A4" t="s">
        <v>59</v>
      </c>
      <c r="B4" t="s">
        <v>66</v>
      </c>
      <c r="C4" t="s">
        <v>89</v>
      </c>
      <c r="D4" t="s">
        <v>70</v>
      </c>
      <c r="E4" t="s">
        <v>68</v>
      </c>
      <c r="F4" t="s">
        <v>71</v>
      </c>
      <c r="G4" t="s">
        <v>72</v>
      </c>
      <c r="H4" t="s">
        <v>74</v>
      </c>
      <c r="I4" t="s">
        <v>60</v>
      </c>
    </row>
    <row r="5" spans="1:10" x14ac:dyDescent="0.25">
      <c r="A5" s="31" t="s">
        <v>2</v>
      </c>
      <c r="B5" s="32">
        <v>504309.55000000005</v>
      </c>
      <c r="C5" s="32">
        <v>475051.53499999997</v>
      </c>
      <c r="D5" s="32">
        <v>533081.04099999985</v>
      </c>
      <c r="E5" s="32">
        <v>336997.62300000002</v>
      </c>
      <c r="F5" s="32">
        <v>131263.79399999999</v>
      </c>
      <c r="G5" s="32">
        <v>33373.154999999999</v>
      </c>
      <c r="H5" s="32"/>
      <c r="I5" s="32">
        <v>2014076.6979999999</v>
      </c>
    </row>
    <row r="6" spans="1:10" x14ac:dyDescent="0.25">
      <c r="A6" s="31" t="s">
        <v>3</v>
      </c>
      <c r="B6" s="32">
        <v>527441.49399999995</v>
      </c>
      <c r="C6" s="32">
        <v>478074.86800000002</v>
      </c>
      <c r="D6" s="32">
        <v>526278.69800000009</v>
      </c>
      <c r="E6" s="32">
        <v>344630.40100000001</v>
      </c>
      <c r="F6" s="32">
        <v>126979.057</v>
      </c>
      <c r="G6" s="32">
        <v>32384.371999999999</v>
      </c>
      <c r="H6" s="32"/>
      <c r="I6" s="32">
        <v>2035788.8900000001</v>
      </c>
    </row>
    <row r="7" spans="1:10" x14ac:dyDescent="0.25">
      <c r="A7" s="31" t="s">
        <v>4</v>
      </c>
      <c r="B7" s="32">
        <v>528231.54800000007</v>
      </c>
      <c r="C7" s="32">
        <v>487148.43199999997</v>
      </c>
      <c r="D7" s="32">
        <v>533365.89</v>
      </c>
      <c r="E7" s="32">
        <v>457600.49599999998</v>
      </c>
      <c r="F7" s="32">
        <v>126634.815</v>
      </c>
      <c r="G7" s="32">
        <v>31751.26</v>
      </c>
      <c r="H7" s="32"/>
      <c r="I7" s="32">
        <v>2164732.4409999996</v>
      </c>
    </row>
    <row r="8" spans="1:10" x14ac:dyDescent="0.25">
      <c r="A8" s="31" t="s">
        <v>5</v>
      </c>
      <c r="B8" s="32">
        <v>531692.59400000004</v>
      </c>
      <c r="C8" s="32">
        <v>472853.53399999999</v>
      </c>
      <c r="D8" s="32">
        <v>500359.50599999999</v>
      </c>
      <c r="E8" s="32">
        <v>439199.712</v>
      </c>
      <c r="F8" s="32">
        <v>124129.806</v>
      </c>
      <c r="G8" s="32">
        <v>32078.973999999998</v>
      </c>
      <c r="H8" s="32">
        <v>19362.326000000001</v>
      </c>
      <c r="I8" s="32">
        <v>2119676.452</v>
      </c>
    </row>
    <row r="9" spans="1:10" x14ac:dyDescent="0.25">
      <c r="A9" s="31" t="s">
        <v>6</v>
      </c>
      <c r="B9" s="32">
        <v>474536.52100000012</v>
      </c>
      <c r="C9" s="32">
        <v>428294.50199999998</v>
      </c>
      <c r="D9" s="32">
        <v>429066.66900000005</v>
      </c>
      <c r="E9" s="32">
        <v>390031.79599999997</v>
      </c>
      <c r="F9" s="32">
        <v>111092.554</v>
      </c>
      <c r="G9" s="32">
        <v>27359.832999999999</v>
      </c>
      <c r="H9" s="32">
        <v>19229.069</v>
      </c>
      <c r="I9" s="32">
        <v>1879610.9440000001</v>
      </c>
    </row>
    <row r="10" spans="1:10" x14ac:dyDescent="0.25">
      <c r="A10" s="31" t="s">
        <v>7</v>
      </c>
      <c r="B10" s="32">
        <v>505176.60700000002</v>
      </c>
      <c r="C10" s="32">
        <v>454864.59899999999</v>
      </c>
      <c r="D10" s="32">
        <v>412144.58799999999</v>
      </c>
      <c r="E10" s="32">
        <v>400870.81</v>
      </c>
      <c r="F10" s="32">
        <v>115570.78</v>
      </c>
      <c r="G10" s="32">
        <v>30919.710999999999</v>
      </c>
      <c r="H10" s="32">
        <v>19337.098999999998</v>
      </c>
      <c r="I10" s="32">
        <v>1938884.1939999999</v>
      </c>
    </row>
    <row r="11" spans="1:10" x14ac:dyDescent="0.25">
      <c r="A11" s="31" t="s">
        <v>8</v>
      </c>
      <c r="B11" s="32">
        <v>464602.75200000004</v>
      </c>
      <c r="C11" s="32">
        <v>450333.239</v>
      </c>
      <c r="D11" s="32">
        <v>421024.12</v>
      </c>
      <c r="E11" s="32">
        <v>413142.54300000001</v>
      </c>
      <c r="F11" s="32">
        <v>105582.769</v>
      </c>
      <c r="G11" s="32">
        <v>30599.418000000001</v>
      </c>
      <c r="H11" s="32">
        <v>19232.57</v>
      </c>
      <c r="I11" s="32">
        <v>1904517.4110000003</v>
      </c>
    </row>
    <row r="12" spans="1:10" x14ac:dyDescent="0.25">
      <c r="A12" s="31" t="s">
        <v>9</v>
      </c>
      <c r="B12" s="32">
        <v>457432.42300000001</v>
      </c>
      <c r="C12" s="32">
        <v>452585.88</v>
      </c>
      <c r="D12" s="32">
        <v>415446.70199999999</v>
      </c>
      <c r="E12" s="32">
        <v>391055.97699999996</v>
      </c>
      <c r="F12" s="32">
        <v>103660.84</v>
      </c>
      <c r="G12" s="32">
        <v>28387.06</v>
      </c>
      <c r="H12" s="32">
        <v>18589.806</v>
      </c>
      <c r="I12" s="32">
        <v>1867158.6880000001</v>
      </c>
    </row>
    <row r="13" spans="1:10" x14ac:dyDescent="0.25">
      <c r="A13" s="31" t="s">
        <v>10</v>
      </c>
      <c r="B13" s="32">
        <v>474328.33900000015</v>
      </c>
      <c r="C13" s="32">
        <v>480936.56</v>
      </c>
      <c r="D13" s="32">
        <v>392087.81000000006</v>
      </c>
      <c r="E13" s="32">
        <v>389512.57</v>
      </c>
      <c r="F13" s="32">
        <v>102651.61900000001</v>
      </c>
      <c r="G13" s="32">
        <v>29850.723999999998</v>
      </c>
      <c r="H13" s="32">
        <v>26476.579000000002</v>
      </c>
      <c r="I13" s="32">
        <v>1895844.2010000001</v>
      </c>
    </row>
    <row r="14" spans="1:10" x14ac:dyDescent="0.25">
      <c r="A14" s="31" t="s">
        <v>60</v>
      </c>
      <c r="B14" s="32">
        <v>4467751.8279999997</v>
      </c>
      <c r="C14" s="32">
        <v>4180143.1489999997</v>
      </c>
      <c r="D14" s="32">
        <v>4162855.0240000007</v>
      </c>
      <c r="E14" s="32">
        <v>3563041.9279999998</v>
      </c>
      <c r="F14" s="32">
        <v>1047566.034</v>
      </c>
      <c r="G14" s="32">
        <v>276704.50699999998</v>
      </c>
      <c r="H14" s="32">
        <v>122227.44900000001</v>
      </c>
      <c r="I14" s="32">
        <v>17820289.919</v>
      </c>
    </row>
    <row r="15" spans="1:10" x14ac:dyDescent="0.25">
      <c r="A15" s="31"/>
      <c r="B15" s="32"/>
      <c r="C15" s="32"/>
      <c r="D15" s="32"/>
      <c r="E15" s="32"/>
      <c r="F15" s="32"/>
      <c r="G15" s="32"/>
      <c r="H15" s="32"/>
      <c r="I15" s="32"/>
    </row>
    <row r="16" spans="1:10" ht="18.75" x14ac:dyDescent="0.3">
      <c r="A16" s="61" t="s">
        <v>79</v>
      </c>
      <c r="B16" s="128">
        <v>20</v>
      </c>
      <c r="J16" s="52"/>
    </row>
    <row r="17" spans="1:64" x14ac:dyDescent="0.25">
      <c r="J17" s="52"/>
    </row>
    <row r="18" spans="1:64" x14ac:dyDescent="0.25">
      <c r="B18" s="484" t="s">
        <v>80</v>
      </c>
      <c r="C18" s="485"/>
      <c r="D18" s="485"/>
      <c r="E18" s="485"/>
      <c r="F18" s="485"/>
      <c r="G18" s="486"/>
      <c r="H18" s="52"/>
      <c r="I18" s="52"/>
      <c r="J18" s="484" t="s">
        <v>81</v>
      </c>
      <c r="K18" s="485"/>
      <c r="L18" s="485"/>
      <c r="M18" s="485"/>
      <c r="N18" s="485"/>
      <c r="O18" s="486"/>
    </row>
    <row r="19" spans="1:64" x14ac:dyDescent="0.25">
      <c r="B19" s="487" t="s">
        <v>76</v>
      </c>
      <c r="C19" s="488"/>
      <c r="D19" s="488"/>
      <c r="E19" s="488"/>
      <c r="F19" s="488"/>
      <c r="G19" s="489"/>
      <c r="H19" s="52"/>
      <c r="I19" s="56"/>
      <c r="J19" s="487" t="s">
        <v>77</v>
      </c>
      <c r="K19" s="488"/>
      <c r="L19" s="488"/>
      <c r="M19" s="488"/>
      <c r="N19" s="488"/>
      <c r="O19" s="489"/>
    </row>
    <row r="20" spans="1:64" x14ac:dyDescent="0.25">
      <c r="B20" s="58">
        <f>($B$16/R31)^(1/($Q$68-$Q$31))-1</f>
        <v>-4.0978535653533155E-2</v>
      </c>
      <c r="C20" s="59">
        <f>($B$16/S31)^(1/($Q$68-$Q$31))-1</f>
        <v>-4.2884380962646462E-2</v>
      </c>
      <c r="D20" s="59">
        <f t="shared" ref="D20:F20" si="0">($B$16/T31)^(1/($Q$68-$Q$31))-1</f>
        <v>-3.4583778789358588E-2</v>
      </c>
      <c r="E20" s="59">
        <f t="shared" si="0"/>
        <v>-4.6305970755582848E-2</v>
      </c>
      <c r="F20" s="59">
        <f t="shared" si="0"/>
        <v>-3.6182423983328826E-2</v>
      </c>
      <c r="G20" s="60">
        <f>($B$16/W31)^(1/($Q$68-$Q$31))-1</f>
        <v>-3.967513747943141E-2</v>
      </c>
      <c r="J20" s="58">
        <f>($B$16-R31)/($Q$68-$Q$31)/R31</f>
        <v>-2.1279958291233934E-2</v>
      </c>
      <c r="K20" s="59">
        <f>($B$16-S31)/($Q$68-$Q$31)/S31</f>
        <v>-2.1687765368202137E-2</v>
      </c>
      <c r="L20" s="59">
        <f t="shared" ref="L20:O20" si="1">($B$16-T31)/($Q$68-$Q$31)/T31</f>
        <v>-1.9677859144096567E-2</v>
      </c>
      <c r="M20" s="59">
        <f t="shared" si="1"/>
        <v>-2.2350390344999093E-2</v>
      </c>
      <c r="N20" s="59">
        <f t="shared" si="1"/>
        <v>-2.0114968273997311E-2</v>
      </c>
      <c r="O20" s="60">
        <f t="shared" si="1"/>
        <v>-2.0983775532274925E-2</v>
      </c>
    </row>
    <row r="21" spans="1:64" x14ac:dyDescent="0.25">
      <c r="B21" s="53" t="str">
        <f>IF(B4=B22,"ok","error")</f>
        <v>ok</v>
      </c>
      <c r="C21" s="54" t="str">
        <f t="shared" ref="C21:G21" si="2">IF(C4=C22,"ok","error")</f>
        <v>ok</v>
      </c>
      <c r="D21" s="54" t="str">
        <f t="shared" si="2"/>
        <v>ok</v>
      </c>
      <c r="E21" s="54" t="str">
        <f t="shared" si="2"/>
        <v>ok</v>
      </c>
      <c r="F21" s="54" t="str">
        <f t="shared" si="2"/>
        <v>ok</v>
      </c>
      <c r="G21" s="55" t="str">
        <f t="shared" si="2"/>
        <v>ok</v>
      </c>
      <c r="J21" s="53" t="str">
        <f>B21</f>
        <v>ok</v>
      </c>
      <c r="K21" s="54" t="str">
        <f t="shared" ref="K21:O21" si="3">C21</f>
        <v>ok</v>
      </c>
      <c r="L21" s="54" t="str">
        <f t="shared" si="3"/>
        <v>ok</v>
      </c>
      <c r="M21" s="54" t="str">
        <f t="shared" si="3"/>
        <v>ok</v>
      </c>
      <c r="N21" s="54" t="str">
        <f t="shared" si="3"/>
        <v>ok</v>
      </c>
      <c r="O21" s="55" t="str">
        <f t="shared" si="3"/>
        <v>ok</v>
      </c>
      <c r="R21" s="483" t="s">
        <v>82</v>
      </c>
      <c r="S21" s="483"/>
      <c r="T21" s="483"/>
      <c r="U21" s="483"/>
      <c r="V21" s="483"/>
      <c r="W21" s="483"/>
      <c r="Z21" s="483" t="s">
        <v>83</v>
      </c>
      <c r="AA21" s="483"/>
      <c r="AB21" s="483"/>
      <c r="AC21" s="483"/>
      <c r="AD21" s="483"/>
      <c r="AE21" s="483"/>
      <c r="AH21" s="483" t="s">
        <v>84</v>
      </c>
      <c r="AI21" s="483"/>
      <c r="AJ21" s="483"/>
      <c r="AK21" s="483"/>
      <c r="AL21" s="483"/>
      <c r="AM21" s="483"/>
      <c r="AP21" s="483" t="s">
        <v>85</v>
      </c>
      <c r="AQ21" s="483"/>
      <c r="AR21" s="483"/>
      <c r="AS21" s="483"/>
      <c r="AT21" s="483"/>
      <c r="AU21" s="483"/>
      <c r="AX21" s="483" t="s">
        <v>119</v>
      </c>
      <c r="AY21" s="483"/>
      <c r="AZ21" s="483"/>
      <c r="BA21" s="483"/>
      <c r="BB21" s="483"/>
      <c r="BC21" s="483"/>
      <c r="BF21" s="483" t="s">
        <v>120</v>
      </c>
      <c r="BG21" s="483"/>
      <c r="BH21" s="483"/>
      <c r="BI21" s="483"/>
      <c r="BJ21" s="483"/>
      <c r="BK21" s="483"/>
    </row>
    <row r="22" spans="1:64" x14ac:dyDescent="0.25">
      <c r="A22" t="str">
        <f>""</f>
        <v/>
      </c>
      <c r="B22" s="49" t="str">
        <f>B4</f>
        <v>EUN</v>
      </c>
      <c r="C22" s="50" t="str">
        <f t="shared" ref="C22:G22" si="4">C4</f>
        <v>DEU</v>
      </c>
      <c r="D22" s="50" t="str">
        <f t="shared" si="4"/>
        <v>EUS</v>
      </c>
      <c r="E22" s="50" t="str">
        <f t="shared" si="4"/>
        <v>EUE</v>
      </c>
      <c r="F22" s="50" t="str">
        <f t="shared" si="4"/>
        <v>FRA</v>
      </c>
      <c r="G22" s="51" t="str">
        <f t="shared" si="4"/>
        <v>AUT</v>
      </c>
      <c r="H22" s="44" t="s">
        <v>75</v>
      </c>
      <c r="I22" s="40"/>
      <c r="J22" s="49" t="str">
        <f>B22</f>
        <v>EUN</v>
      </c>
      <c r="K22" s="50" t="str">
        <f>C22</f>
        <v>DEU</v>
      </c>
      <c r="L22" s="50" t="str">
        <f>D22</f>
        <v>EUS</v>
      </c>
      <c r="M22" s="50" t="str">
        <f>E22</f>
        <v>EUE</v>
      </c>
      <c r="N22" s="50" t="str">
        <f>F22</f>
        <v>FRA</v>
      </c>
      <c r="O22" s="51" t="str">
        <f>G22</f>
        <v>AUT</v>
      </c>
      <c r="P22" s="44" t="s">
        <v>75</v>
      </c>
      <c r="Q22" s="41"/>
      <c r="R22" s="39" t="str">
        <f t="shared" ref="R22:W22" si="5">J22</f>
        <v>EUN</v>
      </c>
      <c r="S22" s="39" t="str">
        <f t="shared" si="5"/>
        <v>DEU</v>
      </c>
      <c r="T22" s="39" t="str">
        <f t="shared" si="5"/>
        <v>EUS</v>
      </c>
      <c r="U22" s="39" t="str">
        <f t="shared" si="5"/>
        <v>EUE</v>
      </c>
      <c r="V22" s="39" t="str">
        <f t="shared" si="5"/>
        <v>FRA</v>
      </c>
      <c r="W22" s="39" t="str">
        <f t="shared" si="5"/>
        <v>AUT</v>
      </c>
      <c r="X22" s="44" t="s">
        <v>86</v>
      </c>
      <c r="Y22" s="41"/>
      <c r="Z22" s="39" t="str">
        <f t="shared" ref="Z22:AF22" si="6">R22</f>
        <v>EUN</v>
      </c>
      <c r="AA22" s="39" t="str">
        <f t="shared" si="6"/>
        <v>DEU</v>
      </c>
      <c r="AB22" s="39" t="str">
        <f t="shared" si="6"/>
        <v>EUS</v>
      </c>
      <c r="AC22" s="39" t="str">
        <f t="shared" si="6"/>
        <v>EUE</v>
      </c>
      <c r="AD22" s="39" t="str">
        <f t="shared" si="6"/>
        <v>FRA</v>
      </c>
      <c r="AE22" s="39" t="str">
        <f t="shared" si="6"/>
        <v>AUT</v>
      </c>
      <c r="AF22" s="44" t="str">
        <f t="shared" si="6"/>
        <v>Gew. Ø</v>
      </c>
      <c r="AG22" s="41"/>
      <c r="AH22" s="39" t="str">
        <f t="shared" ref="AH22:AM22" si="7">Z22</f>
        <v>EUN</v>
      </c>
      <c r="AI22" s="39" t="str">
        <f t="shared" si="7"/>
        <v>DEU</v>
      </c>
      <c r="AJ22" s="39" t="str">
        <f t="shared" si="7"/>
        <v>EUS</v>
      </c>
      <c r="AK22" s="39" t="str">
        <f t="shared" si="7"/>
        <v>EUE</v>
      </c>
      <c r="AL22" s="39" t="str">
        <f t="shared" si="7"/>
        <v>FRA</v>
      </c>
      <c r="AM22" s="39" t="str">
        <f t="shared" si="7"/>
        <v>AUT</v>
      </c>
      <c r="AN22" s="44" t="s">
        <v>75</v>
      </c>
      <c r="AO22" s="41"/>
      <c r="AP22" s="39" t="str">
        <f t="shared" ref="AP22" si="8">AH22</f>
        <v>EUN</v>
      </c>
      <c r="AQ22" s="39" t="str">
        <f t="shared" ref="AQ22" si="9">AI22</f>
        <v>DEU</v>
      </c>
      <c r="AR22" s="39" t="str">
        <f t="shared" ref="AR22" si="10">AJ22</f>
        <v>EUS</v>
      </c>
      <c r="AS22" s="39" t="str">
        <f t="shared" ref="AS22" si="11">AK22</f>
        <v>EUE</v>
      </c>
      <c r="AT22" s="39" t="str">
        <f t="shared" ref="AT22" si="12">AL22</f>
        <v>FRA</v>
      </c>
      <c r="AU22" s="39" t="str">
        <f t="shared" ref="AU22" si="13">AM22</f>
        <v>AUT</v>
      </c>
      <c r="AV22" s="44" t="str">
        <f t="shared" ref="AV22" si="14">AN22</f>
        <v>TOTAL</v>
      </c>
      <c r="AW22" s="41"/>
      <c r="AX22" s="39" t="str">
        <f t="shared" ref="AX22" si="15">AP22</f>
        <v>EUN</v>
      </c>
      <c r="AY22" s="39" t="str">
        <f t="shared" ref="AY22" si="16">AQ22</f>
        <v>DEU</v>
      </c>
      <c r="AZ22" s="39" t="str">
        <f t="shared" ref="AZ22" si="17">AR22</f>
        <v>EUS</v>
      </c>
      <c r="BA22" s="39" t="str">
        <f t="shared" ref="BA22" si="18">AS22</f>
        <v>EUE</v>
      </c>
      <c r="BB22" s="39" t="str">
        <f t="shared" ref="BB22" si="19">AT22</f>
        <v>FRA</v>
      </c>
      <c r="BC22" s="39" t="str">
        <f t="shared" ref="BC22" si="20">AU22</f>
        <v>AUT</v>
      </c>
      <c r="BD22" s="44" t="s">
        <v>75</v>
      </c>
      <c r="BE22" s="41"/>
      <c r="BF22" s="39" t="str">
        <f t="shared" ref="BF22" si="21">AX22</f>
        <v>EUN</v>
      </c>
      <c r="BG22" s="39" t="str">
        <f t="shared" ref="BG22" si="22">AY22</f>
        <v>DEU</v>
      </c>
      <c r="BH22" s="39" t="str">
        <f t="shared" ref="BH22" si="23">AZ22</f>
        <v>EUS</v>
      </c>
      <c r="BI22" s="39" t="str">
        <f t="shared" ref="BI22" si="24">BA22</f>
        <v>EUE</v>
      </c>
      <c r="BJ22" s="39" t="str">
        <f t="shared" ref="BJ22" si="25">BB22</f>
        <v>FRA</v>
      </c>
      <c r="BK22" s="39" t="str">
        <f t="shared" ref="BK22" si="26">BC22</f>
        <v>AUT</v>
      </c>
      <c r="BL22" s="44" t="str">
        <f t="shared" ref="BL22" si="27">BD22</f>
        <v>TOTAL</v>
      </c>
    </row>
    <row r="23" spans="1:64" x14ac:dyDescent="0.25">
      <c r="A23" s="35">
        <v>2005</v>
      </c>
      <c r="B23" s="34">
        <f>GETPIVOTDATA("Verified emissions",$A$3,"Year","2005","Country2","EUN")</f>
        <v>504309.55000000005</v>
      </c>
      <c r="C23" s="34">
        <f>GETPIVOTDATA("Verified emissions",$A$3,"Year","2005","Country2","DEU")</f>
        <v>475051.53499999997</v>
      </c>
      <c r="D23" s="34">
        <f>GETPIVOTDATA("Verified emissions",$A$3,"Year","2005","Country2","EUS")</f>
        <v>533081.04099999985</v>
      </c>
      <c r="E23" s="34">
        <f>GETPIVOTDATA("Verified emissions",$A$3,"Year","2005","Country2","EUE")</f>
        <v>336997.62300000002</v>
      </c>
      <c r="F23" s="34">
        <f>GETPIVOTDATA("Verified emissions",$A$3,"Year","2005","Country2","FRA")</f>
        <v>131263.79399999999</v>
      </c>
      <c r="G23" s="34">
        <f>GETPIVOTDATA("Verified emissions",$A$3,"Year","2005","Country2","AUT")</f>
        <v>33373.154999999999</v>
      </c>
      <c r="H23" s="42">
        <f>SUM(B23:G23)</f>
        <v>2014076.6979999999</v>
      </c>
      <c r="I23" s="35">
        <f t="shared" ref="I23:I68" si="28">A23</f>
        <v>2005</v>
      </c>
      <c r="J23" s="34">
        <f>B23</f>
        <v>504309.55000000005</v>
      </c>
      <c r="K23" s="34">
        <f t="shared" ref="K23:O31" si="29">C23</f>
        <v>475051.53499999997</v>
      </c>
      <c r="L23" s="34">
        <f t="shared" si="29"/>
        <v>533081.04099999985</v>
      </c>
      <c r="M23" s="34">
        <f t="shared" si="29"/>
        <v>336997.62300000002</v>
      </c>
      <c r="N23" s="34">
        <f t="shared" si="29"/>
        <v>131263.79399999999</v>
      </c>
      <c r="O23" s="34">
        <f t="shared" si="29"/>
        <v>33373.154999999999</v>
      </c>
      <c r="P23" s="42">
        <f>SUM(J23:O23)</f>
        <v>2014076.6979999999</v>
      </c>
      <c r="Q23" s="35">
        <f t="shared" ref="Q23:Q68" si="30">I23</f>
        <v>2005</v>
      </c>
      <c r="R23" s="45">
        <f>B23/B$23*100</f>
        <v>100</v>
      </c>
      <c r="S23" s="45">
        <f t="shared" ref="S23:W23" si="31">C23/C$23*100</f>
        <v>100</v>
      </c>
      <c r="T23" s="45">
        <f t="shared" si="31"/>
        <v>100</v>
      </c>
      <c r="U23" s="45">
        <f t="shared" si="31"/>
        <v>100</v>
      </c>
      <c r="V23" s="45">
        <f t="shared" si="31"/>
        <v>100</v>
      </c>
      <c r="W23" s="45">
        <f t="shared" si="31"/>
        <v>100</v>
      </c>
      <c r="X23" s="42">
        <f>SUMPRODUCT(R23:W23,B23:G23)/H23</f>
        <v>100.00000000000001</v>
      </c>
      <c r="Y23" s="35">
        <f t="shared" ref="Y23:Y68" si="32">Q23</f>
        <v>2005</v>
      </c>
      <c r="Z23" s="45">
        <f>J23/J$23*100</f>
        <v>100</v>
      </c>
      <c r="AA23" s="45">
        <f t="shared" ref="AA23:AE38" si="33">K23/K$23*100</f>
        <v>100</v>
      </c>
      <c r="AB23" s="45">
        <f t="shared" si="33"/>
        <v>100</v>
      </c>
      <c r="AC23" s="45">
        <f t="shared" si="33"/>
        <v>100</v>
      </c>
      <c r="AD23" s="45">
        <f t="shared" si="33"/>
        <v>100</v>
      </c>
      <c r="AE23" s="45">
        <f t="shared" si="33"/>
        <v>100</v>
      </c>
      <c r="AF23" s="42">
        <f>SUMPRODUCT(Z23:AE23,J23:O23)/P23</f>
        <v>100.00000000000001</v>
      </c>
      <c r="AG23" s="35">
        <f t="shared" ref="AG23:AG68" si="34">Y23</f>
        <v>2005</v>
      </c>
      <c r="AH23" s="45">
        <f>R23/R$25*100</f>
        <v>95.471304565095764</v>
      </c>
      <c r="AI23" s="45">
        <f>S23/S$25*100</f>
        <v>97.516794429505623</v>
      </c>
      <c r="AJ23" s="45">
        <f t="shared" ref="AJ23:AM23" si="35">T23/T$25*100</f>
        <v>99.946594072598032</v>
      </c>
      <c r="AK23" s="45">
        <f t="shared" si="35"/>
        <v>73.644505621340059</v>
      </c>
      <c r="AL23" s="45">
        <f t="shared" si="35"/>
        <v>103.65537628810844</v>
      </c>
      <c r="AM23" s="45">
        <f t="shared" si="35"/>
        <v>105.10812799240095</v>
      </c>
      <c r="AN23" s="42">
        <f>SUMPRODUCT(AH23:AM23,B23:G23)/H23</f>
        <v>94.179253091435257</v>
      </c>
      <c r="AO23" s="35">
        <f t="shared" ref="AO23:AO68" si="36">AG23</f>
        <v>2005</v>
      </c>
      <c r="AP23" s="45">
        <f>Z23/Z$25*100</f>
        <v>95.471304565095764</v>
      </c>
      <c r="AQ23" s="45">
        <f t="shared" ref="AQ23:AU38" si="37">AA23/AA$25*100</f>
        <v>97.516794429505623</v>
      </c>
      <c r="AR23" s="45">
        <f t="shared" si="37"/>
        <v>99.946594072598032</v>
      </c>
      <c r="AS23" s="45">
        <f t="shared" si="37"/>
        <v>73.644505621340059</v>
      </c>
      <c r="AT23" s="45">
        <f t="shared" si="37"/>
        <v>103.65537628810844</v>
      </c>
      <c r="AU23" s="45">
        <f t="shared" si="37"/>
        <v>105.10812799240095</v>
      </c>
      <c r="AV23" s="42">
        <f>SUMPRODUCT(AP23:AU23,J23:O23)/$P23</f>
        <v>94.179253091435257</v>
      </c>
      <c r="AW23" s="35">
        <f t="shared" ref="AW23:AW68" si="38">AO23</f>
        <v>2005</v>
      </c>
      <c r="AX23" s="45">
        <f>AH23/AH$28*100</f>
        <v>99.82836556800423</v>
      </c>
      <c r="AY23" s="45">
        <f t="shared" ref="AY23:BC23" si="39">AI23/AI$28*100</f>
        <v>104.43800991424264</v>
      </c>
      <c r="AZ23" s="45">
        <f t="shared" si="39"/>
        <v>129.34321025222337</v>
      </c>
      <c r="BA23" s="45">
        <f t="shared" si="39"/>
        <v>84.066391114883132</v>
      </c>
      <c r="BB23" s="45">
        <f t="shared" si="39"/>
        <v>113.57870389037782</v>
      </c>
      <c r="BC23" s="45">
        <f t="shared" si="39"/>
        <v>107.93488658415986</v>
      </c>
      <c r="BD23" s="42">
        <f>SUMPRODUCT(AX23:BC23,J23:O23)/$P23</f>
        <v>107.1207078115538</v>
      </c>
      <c r="BE23" s="35">
        <f t="shared" ref="BE23:BE68" si="40">AW23</f>
        <v>2005</v>
      </c>
      <c r="BF23" s="45">
        <f>AP23/AP$28*100</f>
        <v>99.82836556800423</v>
      </c>
      <c r="BG23" s="45">
        <f t="shared" ref="BG23:BK23" si="41">AQ23/AQ$28*100</f>
        <v>104.43800991424264</v>
      </c>
      <c r="BH23" s="45">
        <f t="shared" si="41"/>
        <v>129.34321025222337</v>
      </c>
      <c r="BI23" s="45">
        <f t="shared" si="41"/>
        <v>84.066391114883132</v>
      </c>
      <c r="BJ23" s="45">
        <f t="shared" si="41"/>
        <v>113.57870389037782</v>
      </c>
      <c r="BK23" s="45">
        <f t="shared" si="41"/>
        <v>107.93488658415986</v>
      </c>
      <c r="BL23" s="42">
        <f>SUMPRODUCT(BF23:BK23,J23:O23)/P23</f>
        <v>107.1207078115538</v>
      </c>
    </row>
    <row r="24" spans="1:64" x14ac:dyDescent="0.25">
      <c r="A24" s="35">
        <v>2006</v>
      </c>
      <c r="B24" s="34">
        <f>GETPIVOTDATA("Verified emissions",$A$3,"Year","2006","Country2","EUN")</f>
        <v>527441.49399999995</v>
      </c>
      <c r="C24" s="34">
        <f>GETPIVOTDATA("Verified emissions",$A$3,"Year","2006","Country2","DEU")</f>
        <v>478074.86800000002</v>
      </c>
      <c r="D24" s="34">
        <f>GETPIVOTDATA("Verified emissions",$A$3,"Year","2006","Country2","EUS")</f>
        <v>526278.69800000009</v>
      </c>
      <c r="E24" s="34">
        <f>GETPIVOTDATA("Verified emissions",$A$3,"Year","2006","Country2","EUE")</f>
        <v>344630.40100000001</v>
      </c>
      <c r="F24" s="34">
        <f>GETPIVOTDATA("Verified emissions",$A$3,"Year","2006","Country2","FRA")</f>
        <v>126979.057</v>
      </c>
      <c r="G24" s="34">
        <f>GETPIVOTDATA("Verified emissions",$A$3,"Year","2006","Country2","AUT")</f>
        <v>32384.371999999999</v>
      </c>
      <c r="H24" s="42">
        <f t="shared" ref="H24:H68" si="42">SUM(B24:G24)</f>
        <v>2035788.8900000001</v>
      </c>
      <c r="I24" s="35">
        <f t="shared" si="28"/>
        <v>2006</v>
      </c>
      <c r="J24" s="34">
        <f t="shared" ref="J24:J31" si="43">B24</f>
        <v>527441.49399999995</v>
      </c>
      <c r="K24" s="34">
        <f t="shared" si="29"/>
        <v>478074.86800000002</v>
      </c>
      <c r="L24" s="34">
        <f t="shared" si="29"/>
        <v>526278.69800000009</v>
      </c>
      <c r="M24" s="34">
        <f t="shared" si="29"/>
        <v>344630.40100000001</v>
      </c>
      <c r="N24" s="34">
        <f t="shared" si="29"/>
        <v>126979.057</v>
      </c>
      <c r="O24" s="34">
        <f t="shared" si="29"/>
        <v>32384.371999999999</v>
      </c>
      <c r="P24" s="42">
        <f t="shared" ref="P24:P68" si="44">SUM(J24:O24)</f>
        <v>2035788.8900000001</v>
      </c>
      <c r="Q24" s="35">
        <f t="shared" si="30"/>
        <v>2006</v>
      </c>
      <c r="R24" s="45">
        <f>B24/B$23*100</f>
        <v>104.58685424458052</v>
      </c>
      <c r="S24" s="45">
        <f t="shared" ref="S24:S68" si="45">C24/C$23*100</f>
        <v>100.63642210944546</v>
      </c>
      <c r="T24" s="45">
        <f t="shared" ref="T24:T68" si="46">D24/D$23*100</f>
        <v>98.723957057778804</v>
      </c>
      <c r="U24" s="45">
        <f t="shared" ref="U24:U68" si="47">E24/E$23*100</f>
        <v>102.26493526335645</v>
      </c>
      <c r="V24" s="45">
        <f t="shared" ref="V24:V68" si="48">F24/F$23*100</f>
        <v>96.735781536224692</v>
      </c>
      <c r="W24" s="45">
        <f t="shared" ref="W24:W68" si="49">G24/G$23*100</f>
        <v>97.037190520344879</v>
      </c>
      <c r="X24" s="42">
        <f t="shared" ref="X24:X68" si="50">SUMPRODUCT(R24:W24,B24:G24)/H24</f>
        <v>101.14065358446182</v>
      </c>
      <c r="Y24" s="35">
        <f t="shared" si="32"/>
        <v>2006</v>
      </c>
      <c r="Z24" s="45">
        <f t="shared" ref="Z24:AE68" si="51">J24/J$23*100</f>
        <v>104.58685424458052</v>
      </c>
      <c r="AA24" s="45">
        <f t="shared" si="33"/>
        <v>100.63642210944546</v>
      </c>
      <c r="AB24" s="45">
        <f t="shared" si="33"/>
        <v>98.723957057778804</v>
      </c>
      <c r="AC24" s="45">
        <f t="shared" si="33"/>
        <v>102.26493526335645</v>
      </c>
      <c r="AD24" s="45">
        <f t="shared" si="33"/>
        <v>96.735781536224692</v>
      </c>
      <c r="AE24" s="45">
        <f t="shared" si="33"/>
        <v>97.037190520344879</v>
      </c>
      <c r="AF24" s="42">
        <f t="shared" ref="AF24:AF68" si="52">SUMPRODUCT(Z24:AE24,J24:O24)/P24</f>
        <v>101.14065358446182</v>
      </c>
      <c r="AG24" s="35">
        <f t="shared" si="34"/>
        <v>2006</v>
      </c>
      <c r="AH24" s="45">
        <f t="shared" ref="AH24:AH68" si="53">R24/R$25*100</f>
        <v>99.850434150896248</v>
      </c>
      <c r="AI24" s="45">
        <f t="shared" ref="AI24:AI68" si="54">S24/S$25*100</f>
        <v>98.13741286967749</v>
      </c>
      <c r="AJ24" s="45">
        <f t="shared" ref="AJ24:AJ68" si="55">T24/T$25*100</f>
        <v>98.671232612944195</v>
      </c>
      <c r="AK24" s="45">
        <f t="shared" ref="AK24:AK68" si="56">U24/U$25*100</f>
        <v>75.312505998682312</v>
      </c>
      <c r="AL24" s="45">
        <f t="shared" ref="AL24:AL68" si="57">V24/V$25*100</f>
        <v>100.27183835661624</v>
      </c>
      <c r="AM24" s="45">
        <f t="shared" ref="AM24:AM68" si="58">W24/W$25*100</f>
        <v>101.99397441235405</v>
      </c>
      <c r="AN24" s="42">
        <f t="shared" ref="AN24:AN68" si="59">SUMPRODUCT(AH24:AM24,B24:G24)/H24</f>
        <v>95.049774109030452</v>
      </c>
      <c r="AO24" s="35">
        <f t="shared" si="36"/>
        <v>2006</v>
      </c>
      <c r="AP24" s="45">
        <f t="shared" ref="AP24:AP68" si="60">Z24/Z$25*100</f>
        <v>99.850434150896248</v>
      </c>
      <c r="AQ24" s="45">
        <f t="shared" si="37"/>
        <v>98.13741286967749</v>
      </c>
      <c r="AR24" s="45">
        <f t="shared" si="37"/>
        <v>98.671232612944195</v>
      </c>
      <c r="AS24" s="45">
        <f t="shared" si="37"/>
        <v>75.312505998682312</v>
      </c>
      <c r="AT24" s="45">
        <f t="shared" si="37"/>
        <v>100.27183835661624</v>
      </c>
      <c r="AU24" s="45">
        <f t="shared" si="37"/>
        <v>101.99397441235405</v>
      </c>
      <c r="AV24" s="42">
        <f t="shared" ref="AV24:AV68" si="61">SUMPRODUCT(AP24:AU24,J24:O24)/$P24</f>
        <v>95.049774109030452</v>
      </c>
      <c r="AW24" s="35">
        <f t="shared" si="38"/>
        <v>2006</v>
      </c>
      <c r="AX24" s="45">
        <f t="shared" ref="AX24:AX29" si="62">AH24/AH$28*100</f>
        <v>104.40734719135558</v>
      </c>
      <c r="AY24" s="45">
        <f t="shared" ref="AY24:AY29" si="63">AI24/AI$28*100</f>
        <v>105.10267650000173</v>
      </c>
      <c r="AZ24" s="45">
        <f t="shared" ref="AZ24:AZ29" si="64">AJ24/AJ$28*100</f>
        <v>127.69273534655758</v>
      </c>
      <c r="BA24" s="45">
        <f t="shared" ref="BA24:BA29" si="65">AK24/AK$28*100</f>
        <v>85.970440451875263</v>
      </c>
      <c r="BB24" s="45">
        <f t="shared" ref="BB24:BB29" si="66">AL24/AL$28*100</f>
        <v>109.87124686707143</v>
      </c>
      <c r="BC24" s="45">
        <f t="shared" ref="BC24:BC29" si="67">AM24/AM$28*100</f>
        <v>104.73698153258937</v>
      </c>
      <c r="BD24" s="42">
        <f t="shared" ref="BD24:BD68" si="68">SUMPRODUCT(AX24:BC24,J24:O24)/$P24</f>
        <v>107.81515658109083</v>
      </c>
      <c r="BE24" s="35">
        <f t="shared" si="40"/>
        <v>2006</v>
      </c>
      <c r="BF24" s="45">
        <f t="shared" ref="BF24:BF68" si="69">AP24/AP$28*100</f>
        <v>104.40734719135558</v>
      </c>
      <c r="BG24" s="45">
        <f t="shared" ref="BG24:BG68" si="70">AQ24/AQ$28*100</f>
        <v>105.10267650000173</v>
      </c>
      <c r="BH24" s="45">
        <f t="shared" ref="BH24:BH68" si="71">AR24/AR$28*100</f>
        <v>127.69273534655758</v>
      </c>
      <c r="BI24" s="45">
        <f t="shared" ref="BI24:BI68" si="72">AS24/AS$28*100</f>
        <v>85.970440451875263</v>
      </c>
      <c r="BJ24" s="45">
        <f t="shared" ref="BJ24:BJ68" si="73">AT24/AT$28*100</f>
        <v>109.87124686707143</v>
      </c>
      <c r="BK24" s="45">
        <f t="shared" ref="BK24:BK68" si="74">AU24/AU$28*100</f>
        <v>104.73698153258937</v>
      </c>
      <c r="BL24" s="42">
        <f t="shared" ref="BL24:BL68" si="75">SUMPRODUCT(BF24:BK24,J24:O24)/P24</f>
        <v>107.81515658109083</v>
      </c>
    </row>
    <row r="25" spans="1:64" x14ac:dyDescent="0.25">
      <c r="A25" s="35">
        <v>2007</v>
      </c>
      <c r="B25" s="34">
        <f>GETPIVOTDATA("Verified emissions",$A$3,"Year","2007","Country2","EUN")</f>
        <v>528231.54800000007</v>
      </c>
      <c r="C25" s="34">
        <f>GETPIVOTDATA("Verified emissions",$A$3,"Year","2007","Country2","DEU")</f>
        <v>487148.43199999997</v>
      </c>
      <c r="D25" s="34">
        <f>GETPIVOTDATA("Verified emissions",$A$3,"Year","2007","Country2","EUS")</f>
        <v>533365.89</v>
      </c>
      <c r="E25" s="34">
        <f>GETPIVOTDATA("Verified emissions",$A$3,"Year","2007","Country2","EUE")</f>
        <v>457600.49599999998</v>
      </c>
      <c r="F25" s="34">
        <f>GETPIVOTDATA("Verified emissions",$A$3,"Year","2007","Country2","FRA")</f>
        <v>126634.815</v>
      </c>
      <c r="G25" s="34">
        <f>GETPIVOTDATA("Verified emissions",$A$3,"Year","2007","Country2","AUT")</f>
        <v>31751.26</v>
      </c>
      <c r="H25" s="42">
        <f t="shared" si="42"/>
        <v>2164732.4410000001</v>
      </c>
      <c r="I25" s="35">
        <f t="shared" si="28"/>
        <v>2007</v>
      </c>
      <c r="J25" s="34">
        <f t="shared" si="43"/>
        <v>528231.54800000007</v>
      </c>
      <c r="K25" s="34">
        <f t="shared" si="29"/>
        <v>487148.43199999997</v>
      </c>
      <c r="L25" s="34">
        <f t="shared" si="29"/>
        <v>533365.89</v>
      </c>
      <c r="M25" s="34">
        <f t="shared" si="29"/>
        <v>457600.49599999998</v>
      </c>
      <c r="N25" s="34">
        <f t="shared" si="29"/>
        <v>126634.815</v>
      </c>
      <c r="O25" s="34">
        <f t="shared" si="29"/>
        <v>31751.26</v>
      </c>
      <c r="P25" s="42">
        <f t="shared" si="44"/>
        <v>2164732.4410000001</v>
      </c>
      <c r="Q25" s="35">
        <f t="shared" si="30"/>
        <v>2007</v>
      </c>
      <c r="R25" s="45">
        <f t="shared" ref="R25:R68" si="76">B25/B$23*100</f>
        <v>104.74351477183012</v>
      </c>
      <c r="S25" s="45">
        <f t="shared" si="45"/>
        <v>102.54643888267827</v>
      </c>
      <c r="T25" s="45">
        <f t="shared" si="46"/>
        <v>100.05343446457331</v>
      </c>
      <c r="U25" s="45">
        <f t="shared" si="47"/>
        <v>135.78745509430493</v>
      </c>
      <c r="V25" s="45">
        <f t="shared" si="48"/>
        <v>96.47352947911898</v>
      </c>
      <c r="W25" s="45">
        <f t="shared" si="49"/>
        <v>95.140120854621017</v>
      </c>
      <c r="X25" s="42">
        <f t="shared" si="50"/>
        <v>109.03120569713052</v>
      </c>
      <c r="Y25" s="35">
        <f t="shared" si="32"/>
        <v>2007</v>
      </c>
      <c r="Z25" s="45">
        <f t="shared" si="51"/>
        <v>104.74351477183012</v>
      </c>
      <c r="AA25" s="45">
        <f t="shared" si="33"/>
        <v>102.54643888267827</v>
      </c>
      <c r="AB25" s="45">
        <f t="shared" si="33"/>
        <v>100.05343446457331</v>
      </c>
      <c r="AC25" s="45">
        <f t="shared" si="33"/>
        <v>135.78745509430493</v>
      </c>
      <c r="AD25" s="45">
        <f t="shared" si="33"/>
        <v>96.47352947911898</v>
      </c>
      <c r="AE25" s="45">
        <f t="shared" si="33"/>
        <v>95.140120854621017</v>
      </c>
      <c r="AF25" s="42">
        <f t="shared" si="52"/>
        <v>109.03120569713052</v>
      </c>
      <c r="AG25" s="35">
        <f t="shared" si="34"/>
        <v>2007</v>
      </c>
      <c r="AH25" s="45">
        <f t="shared" si="53"/>
        <v>100</v>
      </c>
      <c r="AI25" s="45">
        <f t="shared" si="54"/>
        <v>100</v>
      </c>
      <c r="AJ25" s="45">
        <f t="shared" si="55"/>
        <v>100</v>
      </c>
      <c r="AK25" s="45">
        <f t="shared" si="56"/>
        <v>100</v>
      </c>
      <c r="AL25" s="45">
        <f t="shared" si="57"/>
        <v>100</v>
      </c>
      <c r="AM25" s="45">
        <f t="shared" si="58"/>
        <v>100</v>
      </c>
      <c r="AN25" s="42">
        <f t="shared" si="59"/>
        <v>99.999999999999986</v>
      </c>
      <c r="AO25" s="35">
        <f t="shared" si="36"/>
        <v>2007</v>
      </c>
      <c r="AP25" s="45">
        <f t="shared" si="60"/>
        <v>100</v>
      </c>
      <c r="AQ25" s="45">
        <f t="shared" si="37"/>
        <v>100</v>
      </c>
      <c r="AR25" s="45">
        <f t="shared" si="37"/>
        <v>100</v>
      </c>
      <c r="AS25" s="45">
        <f t="shared" si="37"/>
        <v>100</v>
      </c>
      <c r="AT25" s="45">
        <f t="shared" si="37"/>
        <v>100</v>
      </c>
      <c r="AU25" s="45">
        <f t="shared" si="37"/>
        <v>100</v>
      </c>
      <c r="AV25" s="42">
        <f t="shared" si="61"/>
        <v>99.999999999999986</v>
      </c>
      <c r="AW25" s="35">
        <f t="shared" si="38"/>
        <v>2007</v>
      </c>
      <c r="AX25" s="45">
        <f t="shared" si="62"/>
        <v>104.56373883519909</v>
      </c>
      <c r="AY25" s="45">
        <f t="shared" si="63"/>
        <v>107.09746000699431</v>
      </c>
      <c r="AZ25" s="45">
        <f t="shared" si="64"/>
        <v>129.41232410408361</v>
      </c>
      <c r="BA25" s="45">
        <f t="shared" si="65"/>
        <v>114.15161308452468</v>
      </c>
      <c r="BB25" s="45">
        <f t="shared" si="66"/>
        <v>109.57338437968491</v>
      </c>
      <c r="BC25" s="45">
        <f t="shared" si="67"/>
        <v>102.68938154046781</v>
      </c>
      <c r="BD25" s="42">
        <f t="shared" si="68"/>
        <v>113.54867575755631</v>
      </c>
      <c r="BE25" s="35">
        <f t="shared" si="40"/>
        <v>2007</v>
      </c>
      <c r="BF25" s="45">
        <f t="shared" si="69"/>
        <v>104.56373883519909</v>
      </c>
      <c r="BG25" s="45">
        <f t="shared" si="70"/>
        <v>107.09746000699431</v>
      </c>
      <c r="BH25" s="45">
        <f t="shared" si="71"/>
        <v>129.41232410408361</v>
      </c>
      <c r="BI25" s="45">
        <f t="shared" si="72"/>
        <v>114.15161308452468</v>
      </c>
      <c r="BJ25" s="45">
        <f t="shared" si="73"/>
        <v>109.57338437968491</v>
      </c>
      <c r="BK25" s="45">
        <f t="shared" si="74"/>
        <v>102.68938154046781</v>
      </c>
      <c r="BL25" s="42">
        <f t="shared" si="75"/>
        <v>113.54867575755631</v>
      </c>
    </row>
    <row r="26" spans="1:64" x14ac:dyDescent="0.25">
      <c r="A26" s="35">
        <v>2008</v>
      </c>
      <c r="B26" s="34">
        <f>GETPIVOTDATA("Verified emissions",$A$3,"Year","2008","Country2","EUN")</f>
        <v>531692.59400000004</v>
      </c>
      <c r="C26" s="34">
        <f>GETPIVOTDATA("Verified emissions",$A$3,"Year","2008","Country2","DEU")</f>
        <v>472853.53399999999</v>
      </c>
      <c r="D26" s="34">
        <f>GETPIVOTDATA("Verified emissions",$A$3,"Year","2008","Country2","EUS")</f>
        <v>500359.50599999999</v>
      </c>
      <c r="E26" s="34">
        <f>GETPIVOTDATA("Verified emissions",$A$3,"Year","2008","Country2","EUE")</f>
        <v>439199.712</v>
      </c>
      <c r="F26" s="34">
        <f>GETPIVOTDATA("Verified emissions",$A$3,"Year","2008","Country2","FRA")</f>
        <v>124129.806</v>
      </c>
      <c r="G26" s="34">
        <f>GETPIVOTDATA("Verified emissions",$A$3,"Year","2008","Country2","AUT")</f>
        <v>32078.973999999998</v>
      </c>
      <c r="H26" s="42">
        <f t="shared" si="42"/>
        <v>2100314.1260000002</v>
      </c>
      <c r="I26" s="35">
        <f t="shared" si="28"/>
        <v>2008</v>
      </c>
      <c r="J26" s="34">
        <f t="shared" si="43"/>
        <v>531692.59400000004</v>
      </c>
      <c r="K26" s="34">
        <f t="shared" si="29"/>
        <v>472853.53399999999</v>
      </c>
      <c r="L26" s="34">
        <f t="shared" si="29"/>
        <v>500359.50599999999</v>
      </c>
      <c r="M26" s="34">
        <f t="shared" si="29"/>
        <v>439199.712</v>
      </c>
      <c r="N26" s="34">
        <f t="shared" si="29"/>
        <v>124129.806</v>
      </c>
      <c r="O26" s="34">
        <f t="shared" si="29"/>
        <v>32078.973999999998</v>
      </c>
      <c r="P26" s="42">
        <f t="shared" si="44"/>
        <v>2100314.1260000002</v>
      </c>
      <c r="Q26" s="35">
        <f t="shared" si="30"/>
        <v>2008</v>
      </c>
      <c r="R26" s="45">
        <f t="shared" si="76"/>
        <v>105.42980873552762</v>
      </c>
      <c r="S26" s="45">
        <f t="shared" si="45"/>
        <v>99.537313146456839</v>
      </c>
      <c r="T26" s="45">
        <f t="shared" si="46"/>
        <v>93.861808527533086</v>
      </c>
      <c r="U26" s="45">
        <f t="shared" si="47"/>
        <v>130.32724328741037</v>
      </c>
      <c r="V26" s="45">
        <f t="shared" si="48"/>
        <v>94.565151758450625</v>
      </c>
      <c r="W26" s="45">
        <f t="shared" si="49"/>
        <v>96.122089745485553</v>
      </c>
      <c r="X26" s="42">
        <f t="shared" si="50"/>
        <v>105.76941984642875</v>
      </c>
      <c r="Y26" s="35">
        <f t="shared" si="32"/>
        <v>2008</v>
      </c>
      <c r="Z26" s="45">
        <f t="shared" si="51"/>
        <v>105.42980873552762</v>
      </c>
      <c r="AA26" s="45">
        <f t="shared" si="33"/>
        <v>99.537313146456839</v>
      </c>
      <c r="AB26" s="45">
        <f t="shared" si="33"/>
        <v>93.861808527533086</v>
      </c>
      <c r="AC26" s="45">
        <f t="shared" si="33"/>
        <v>130.32724328741037</v>
      </c>
      <c r="AD26" s="45">
        <f t="shared" si="33"/>
        <v>94.565151758450625</v>
      </c>
      <c r="AE26" s="45">
        <f t="shared" si="33"/>
        <v>96.122089745485553</v>
      </c>
      <c r="AF26" s="42">
        <f t="shared" si="52"/>
        <v>105.76941984642875</v>
      </c>
      <c r="AG26" s="35">
        <f t="shared" si="34"/>
        <v>2008</v>
      </c>
      <c r="AH26" s="45">
        <f>R26/R$25*100</f>
        <v>100.6552138002935</v>
      </c>
      <c r="AI26" s="45">
        <f t="shared" si="54"/>
        <v>97.065597041683588</v>
      </c>
      <c r="AJ26" s="45">
        <f t="shared" si="55"/>
        <v>93.811680758212717</v>
      </c>
      <c r="AK26" s="45">
        <f t="shared" si="56"/>
        <v>95.978854008934462</v>
      </c>
      <c r="AL26" s="45">
        <f t="shared" si="57"/>
        <v>98.021863892642784</v>
      </c>
      <c r="AM26" s="45">
        <f t="shared" si="58"/>
        <v>101.03212911865546</v>
      </c>
      <c r="AN26" s="42">
        <f t="shared" si="59"/>
        <v>97.088970199127218</v>
      </c>
      <c r="AO26" s="35">
        <f t="shared" si="36"/>
        <v>2008</v>
      </c>
      <c r="AP26" s="45">
        <f t="shared" si="60"/>
        <v>100.6552138002935</v>
      </c>
      <c r="AQ26" s="45">
        <f t="shared" si="37"/>
        <v>97.065597041683588</v>
      </c>
      <c r="AR26" s="45">
        <f t="shared" si="37"/>
        <v>93.811680758212717</v>
      </c>
      <c r="AS26" s="45">
        <f t="shared" si="37"/>
        <v>95.978854008934462</v>
      </c>
      <c r="AT26" s="45">
        <f t="shared" si="37"/>
        <v>98.021863892642784</v>
      </c>
      <c r="AU26" s="45">
        <f t="shared" si="37"/>
        <v>101.03212911865546</v>
      </c>
      <c r="AV26" s="42">
        <f t="shared" si="61"/>
        <v>97.088970199127218</v>
      </c>
      <c r="AW26" s="35">
        <f t="shared" si="38"/>
        <v>2008</v>
      </c>
      <c r="AX26" s="45">
        <f t="shared" si="62"/>
        <v>105.24885488215017</v>
      </c>
      <c r="AY26" s="45">
        <f t="shared" si="63"/>
        <v>103.95478897226734</v>
      </c>
      <c r="AZ26" s="45">
        <f t="shared" si="64"/>
        <v>121.40387635030648</v>
      </c>
      <c r="BA26" s="45">
        <f t="shared" si="65"/>
        <v>109.56141007123968</v>
      </c>
      <c r="BB26" s="45">
        <f t="shared" si="66"/>
        <v>107.40587369921705</v>
      </c>
      <c r="BC26" s="45">
        <f t="shared" si="67"/>
        <v>103.74926854911419</v>
      </c>
      <c r="BD26" s="42">
        <f t="shared" si="68"/>
        <v>109.81252130575727</v>
      </c>
      <c r="BE26" s="35">
        <f t="shared" si="40"/>
        <v>2008</v>
      </c>
      <c r="BF26" s="45">
        <f t="shared" si="69"/>
        <v>105.24885488215017</v>
      </c>
      <c r="BG26" s="45">
        <f t="shared" si="70"/>
        <v>103.95478897226734</v>
      </c>
      <c r="BH26" s="45">
        <f t="shared" si="71"/>
        <v>121.40387635030648</v>
      </c>
      <c r="BI26" s="45">
        <f t="shared" si="72"/>
        <v>109.56141007123968</v>
      </c>
      <c r="BJ26" s="45">
        <f t="shared" si="73"/>
        <v>107.40587369921705</v>
      </c>
      <c r="BK26" s="45">
        <f t="shared" si="74"/>
        <v>103.74926854911419</v>
      </c>
      <c r="BL26" s="42">
        <f t="shared" si="75"/>
        <v>109.81252130575727</v>
      </c>
    </row>
    <row r="27" spans="1:64" x14ac:dyDescent="0.25">
      <c r="A27" s="35">
        <v>2009</v>
      </c>
      <c r="B27" s="34">
        <f>GETPIVOTDATA("Verified emissions",$A$3,"Year","2009","Country2","EUN")</f>
        <v>474536.52100000012</v>
      </c>
      <c r="C27" s="34">
        <f>GETPIVOTDATA("Verified emissions",$A$3,"Year","2009","Country2","DEU")</f>
        <v>428294.50199999998</v>
      </c>
      <c r="D27" s="34">
        <f>GETPIVOTDATA("Verified emissions",$A$3,"Year","2009","Country2","EUS")</f>
        <v>429066.66900000005</v>
      </c>
      <c r="E27" s="34">
        <f>GETPIVOTDATA("Verified emissions",$A$3,"Year","2009","Country2","EUE")</f>
        <v>390031.79599999997</v>
      </c>
      <c r="F27" s="34">
        <f>GETPIVOTDATA("Verified emissions",$A$3,"Year","2009","Country2","FRA")</f>
        <v>111092.554</v>
      </c>
      <c r="G27" s="34">
        <f>GETPIVOTDATA("Verified emissions",$A$3,"Year","2009","Country2","AUT")</f>
        <v>27359.832999999999</v>
      </c>
      <c r="H27" s="42">
        <f t="shared" si="42"/>
        <v>1860381.875</v>
      </c>
      <c r="I27" s="35">
        <f t="shared" si="28"/>
        <v>2009</v>
      </c>
      <c r="J27" s="34">
        <f t="shared" si="43"/>
        <v>474536.52100000012</v>
      </c>
      <c r="K27" s="34">
        <f t="shared" si="29"/>
        <v>428294.50199999998</v>
      </c>
      <c r="L27" s="34">
        <f t="shared" si="29"/>
        <v>429066.66900000005</v>
      </c>
      <c r="M27" s="34">
        <f t="shared" si="29"/>
        <v>390031.79599999997</v>
      </c>
      <c r="N27" s="34">
        <f t="shared" si="29"/>
        <v>111092.554</v>
      </c>
      <c r="O27" s="34">
        <f t="shared" si="29"/>
        <v>27359.832999999999</v>
      </c>
      <c r="P27" s="42">
        <f t="shared" si="44"/>
        <v>1860381.875</v>
      </c>
      <c r="Q27" s="35">
        <f t="shared" si="30"/>
        <v>2009</v>
      </c>
      <c r="R27" s="45">
        <f t="shared" si="76"/>
        <v>94.096278961998664</v>
      </c>
      <c r="S27" s="45">
        <f t="shared" si="45"/>
        <v>90.157481966667049</v>
      </c>
      <c r="T27" s="45">
        <f t="shared" si="46"/>
        <v>80.48807517054432</v>
      </c>
      <c r="U27" s="45">
        <f t="shared" si="47"/>
        <v>115.7372543247879</v>
      </c>
      <c r="V27" s="45">
        <f t="shared" si="48"/>
        <v>84.633051212888148</v>
      </c>
      <c r="W27" s="45">
        <f t="shared" si="49"/>
        <v>81.981559729668945</v>
      </c>
      <c r="X27" s="42">
        <f t="shared" si="50"/>
        <v>93.844785372115425</v>
      </c>
      <c r="Y27" s="35">
        <f t="shared" si="32"/>
        <v>2009</v>
      </c>
      <c r="Z27" s="45">
        <f t="shared" si="51"/>
        <v>94.096278961998664</v>
      </c>
      <c r="AA27" s="45">
        <f t="shared" si="33"/>
        <v>90.157481966667049</v>
      </c>
      <c r="AB27" s="45">
        <f t="shared" si="33"/>
        <v>80.48807517054432</v>
      </c>
      <c r="AC27" s="45">
        <f t="shared" si="33"/>
        <v>115.7372543247879</v>
      </c>
      <c r="AD27" s="45">
        <f t="shared" si="33"/>
        <v>84.633051212888148</v>
      </c>
      <c r="AE27" s="45">
        <f t="shared" si="33"/>
        <v>81.981559729668945</v>
      </c>
      <c r="AF27" s="42">
        <f t="shared" si="52"/>
        <v>93.844785372115425</v>
      </c>
      <c r="AG27" s="35">
        <f t="shared" si="34"/>
        <v>2009</v>
      </c>
      <c r="AH27" s="45">
        <f t="shared" si="53"/>
        <v>89.834945072231861</v>
      </c>
      <c r="AI27" s="45">
        <f t="shared" si="54"/>
        <v>87.918686352253317</v>
      </c>
      <c r="AJ27" s="45">
        <f t="shared" si="55"/>
        <v>80.445089767551508</v>
      </c>
      <c r="AK27" s="45">
        <f t="shared" si="56"/>
        <v>85.23412876720306</v>
      </c>
      <c r="AL27" s="45">
        <f t="shared" si="57"/>
        <v>87.726707698826729</v>
      </c>
      <c r="AM27" s="45">
        <f t="shared" si="58"/>
        <v>86.169282730827064</v>
      </c>
      <c r="AN27" s="42">
        <f t="shared" si="59"/>
        <v>86.08379960248304</v>
      </c>
      <c r="AO27" s="35">
        <f t="shared" si="36"/>
        <v>2009</v>
      </c>
      <c r="AP27" s="45">
        <f t="shared" si="60"/>
        <v>89.834945072231861</v>
      </c>
      <c r="AQ27" s="45">
        <f t="shared" si="37"/>
        <v>87.918686352253317</v>
      </c>
      <c r="AR27" s="45">
        <f t="shared" si="37"/>
        <v>80.445089767551508</v>
      </c>
      <c r="AS27" s="45">
        <f t="shared" si="37"/>
        <v>85.23412876720306</v>
      </c>
      <c r="AT27" s="45">
        <f t="shared" si="37"/>
        <v>87.726707698826729</v>
      </c>
      <c r="AU27" s="45">
        <f t="shared" si="37"/>
        <v>86.169282730827064</v>
      </c>
      <c r="AV27" s="42">
        <f t="shared" si="61"/>
        <v>86.08379960248304</v>
      </c>
      <c r="AW27" s="35">
        <f t="shared" si="38"/>
        <v>2009</v>
      </c>
      <c r="AX27" s="45">
        <f t="shared" si="62"/>
        <v>93.934777348073069</v>
      </c>
      <c r="AY27" s="45">
        <f t="shared" si="63"/>
        <v>94.158679954779259</v>
      </c>
      <c r="AZ27" s="45">
        <f t="shared" si="64"/>
        <v>104.10586029580475</v>
      </c>
      <c r="BA27" s="45">
        <f t="shared" si="65"/>
        <v>97.296132886303184</v>
      </c>
      <c r="BB27" s="45">
        <f t="shared" si="66"/>
        <v>96.125122630478046</v>
      </c>
      <c r="BC27" s="45">
        <f t="shared" si="67"/>
        <v>88.486703514143443</v>
      </c>
      <c r="BD27" s="42">
        <f t="shared" si="68"/>
        <v>97.087504867958387</v>
      </c>
      <c r="BE27" s="35">
        <f t="shared" si="40"/>
        <v>2009</v>
      </c>
      <c r="BF27" s="45">
        <f t="shared" si="69"/>
        <v>93.934777348073069</v>
      </c>
      <c r="BG27" s="45">
        <f t="shared" si="70"/>
        <v>94.158679954779259</v>
      </c>
      <c r="BH27" s="45">
        <f t="shared" si="71"/>
        <v>104.10586029580475</v>
      </c>
      <c r="BI27" s="45">
        <f t="shared" si="72"/>
        <v>97.296132886303184</v>
      </c>
      <c r="BJ27" s="45">
        <f t="shared" si="73"/>
        <v>96.125122630478046</v>
      </c>
      <c r="BK27" s="45">
        <f t="shared" si="74"/>
        <v>88.486703514143443</v>
      </c>
      <c r="BL27" s="42">
        <f t="shared" si="75"/>
        <v>97.087504867958387</v>
      </c>
    </row>
    <row r="28" spans="1:64" x14ac:dyDescent="0.25">
      <c r="A28" s="35">
        <v>2010</v>
      </c>
      <c r="B28" s="34">
        <f>GETPIVOTDATA("Verified emissions",$A$3,"Year","2010","Country2","EUN")</f>
        <v>505176.60700000002</v>
      </c>
      <c r="C28" s="34">
        <f>GETPIVOTDATA("Verified emissions",$A$3,"Year","2010","Country2","DEU")</f>
        <v>454864.59899999999</v>
      </c>
      <c r="D28" s="34">
        <f>GETPIVOTDATA("Verified emissions",$A$3,"Year","2010","Country2","EUS")</f>
        <v>412144.58799999999</v>
      </c>
      <c r="E28" s="34">
        <f>GETPIVOTDATA("Verified emissions",$A$3,"Year","2010","Country2","EUE")</f>
        <v>400870.81</v>
      </c>
      <c r="F28" s="34">
        <f>GETPIVOTDATA("Verified emissions",$A$3,"Year","2010","Country2","FRA")</f>
        <v>115570.78</v>
      </c>
      <c r="G28" s="34">
        <f>GETPIVOTDATA("Verified emissions",$A$3,"Year","2010","Country2","AUT")</f>
        <v>30919.710999999999</v>
      </c>
      <c r="H28" s="42">
        <f t="shared" si="42"/>
        <v>1919547.095</v>
      </c>
      <c r="I28" s="35">
        <f t="shared" si="28"/>
        <v>2010</v>
      </c>
      <c r="J28" s="34">
        <f t="shared" si="43"/>
        <v>505176.60700000002</v>
      </c>
      <c r="K28" s="34">
        <f t="shared" si="29"/>
        <v>454864.59899999999</v>
      </c>
      <c r="L28" s="34">
        <f t="shared" si="29"/>
        <v>412144.58799999999</v>
      </c>
      <c r="M28" s="34">
        <f t="shared" si="29"/>
        <v>400870.81</v>
      </c>
      <c r="N28" s="34">
        <f t="shared" si="29"/>
        <v>115570.78</v>
      </c>
      <c r="O28" s="34">
        <f t="shared" si="29"/>
        <v>30919.710999999999</v>
      </c>
      <c r="P28" s="42">
        <f t="shared" si="44"/>
        <v>1919547.095</v>
      </c>
      <c r="Q28" s="35">
        <f t="shared" si="30"/>
        <v>2010</v>
      </c>
      <c r="R28" s="45">
        <f t="shared" si="76"/>
        <v>100.17192952225473</v>
      </c>
      <c r="S28" s="45">
        <f t="shared" si="45"/>
        <v>95.750579776570973</v>
      </c>
      <c r="T28" s="45">
        <f t="shared" si="46"/>
        <v>77.313683342942241</v>
      </c>
      <c r="U28" s="45">
        <f t="shared" si="47"/>
        <v>118.95360164009227</v>
      </c>
      <c r="V28" s="45">
        <f t="shared" si="48"/>
        <v>88.044674375326991</v>
      </c>
      <c r="W28" s="45">
        <f t="shared" si="49"/>
        <v>92.648450528576049</v>
      </c>
      <c r="X28" s="42">
        <f t="shared" si="50"/>
        <v>97.287304307658914</v>
      </c>
      <c r="Y28" s="35">
        <f t="shared" si="32"/>
        <v>2010</v>
      </c>
      <c r="Z28" s="45">
        <f t="shared" si="51"/>
        <v>100.17192952225473</v>
      </c>
      <c r="AA28" s="45">
        <f t="shared" si="33"/>
        <v>95.750579776570973</v>
      </c>
      <c r="AB28" s="45">
        <f t="shared" si="33"/>
        <v>77.313683342942241</v>
      </c>
      <c r="AC28" s="45">
        <f t="shared" si="33"/>
        <v>118.95360164009227</v>
      </c>
      <c r="AD28" s="45">
        <f t="shared" si="33"/>
        <v>88.044674375326991</v>
      </c>
      <c r="AE28" s="45">
        <f t="shared" si="33"/>
        <v>92.648450528576049</v>
      </c>
      <c r="AF28" s="42">
        <f t="shared" si="52"/>
        <v>97.287304307658914</v>
      </c>
      <c r="AG28" s="35">
        <f t="shared" si="34"/>
        <v>2010</v>
      </c>
      <c r="AH28" s="45">
        <f t="shared" si="53"/>
        <v>95.635447922924882</v>
      </c>
      <c r="AI28" s="45">
        <f t="shared" si="54"/>
        <v>93.372896045778504</v>
      </c>
      <c r="AJ28" s="45">
        <f t="shared" si="55"/>
        <v>77.272393253344333</v>
      </c>
      <c r="AK28" s="45">
        <f t="shared" si="56"/>
        <v>87.602791846624214</v>
      </c>
      <c r="AL28" s="45">
        <f t="shared" si="57"/>
        <v>91.263038525384971</v>
      </c>
      <c r="AM28" s="45">
        <f t="shared" si="58"/>
        <v>97.381051964551972</v>
      </c>
      <c r="AN28" s="42">
        <f t="shared" si="59"/>
        <v>89.243942903166996</v>
      </c>
      <c r="AO28" s="35">
        <f t="shared" si="36"/>
        <v>2010</v>
      </c>
      <c r="AP28" s="45">
        <f t="shared" si="60"/>
        <v>95.635447922924882</v>
      </c>
      <c r="AQ28" s="45">
        <f t="shared" si="37"/>
        <v>93.372896045778504</v>
      </c>
      <c r="AR28" s="45">
        <f t="shared" si="37"/>
        <v>77.272393253344333</v>
      </c>
      <c r="AS28" s="45">
        <f t="shared" si="37"/>
        <v>87.602791846624214</v>
      </c>
      <c r="AT28" s="45">
        <f t="shared" si="37"/>
        <v>91.263038525384971</v>
      </c>
      <c r="AU28" s="45">
        <f t="shared" si="37"/>
        <v>97.381051964551972</v>
      </c>
      <c r="AV28" s="42">
        <f t="shared" si="61"/>
        <v>89.243942903166996</v>
      </c>
      <c r="AW28" s="35">
        <f t="shared" si="38"/>
        <v>2010</v>
      </c>
      <c r="AX28" s="45">
        <f t="shared" si="62"/>
        <v>100</v>
      </c>
      <c r="AY28" s="45">
        <f t="shared" si="63"/>
        <v>100</v>
      </c>
      <c r="AZ28" s="45">
        <f t="shared" si="64"/>
        <v>100</v>
      </c>
      <c r="BA28" s="45">
        <f t="shared" si="65"/>
        <v>100</v>
      </c>
      <c r="BB28" s="45">
        <f t="shared" si="66"/>
        <v>100</v>
      </c>
      <c r="BC28" s="45">
        <f t="shared" si="67"/>
        <v>100</v>
      </c>
      <c r="BD28" s="42">
        <f t="shared" si="68"/>
        <v>99.999999999999986</v>
      </c>
      <c r="BE28" s="35">
        <f t="shared" si="40"/>
        <v>2010</v>
      </c>
      <c r="BF28" s="45">
        <f t="shared" si="69"/>
        <v>100</v>
      </c>
      <c r="BG28" s="45">
        <f t="shared" si="70"/>
        <v>100</v>
      </c>
      <c r="BH28" s="45">
        <f t="shared" si="71"/>
        <v>100</v>
      </c>
      <c r="BI28" s="45">
        <f t="shared" si="72"/>
        <v>100</v>
      </c>
      <c r="BJ28" s="45">
        <f t="shared" si="73"/>
        <v>100</v>
      </c>
      <c r="BK28" s="45">
        <f t="shared" si="74"/>
        <v>100</v>
      </c>
      <c r="BL28" s="42">
        <f t="shared" si="75"/>
        <v>99.999999999999986</v>
      </c>
    </row>
    <row r="29" spans="1:64" x14ac:dyDescent="0.25">
      <c r="A29" s="35">
        <v>2011</v>
      </c>
      <c r="B29" s="34">
        <f>GETPIVOTDATA("Verified emissions",$A$3,"Year","2011","Country2","EUN")</f>
        <v>464602.75200000004</v>
      </c>
      <c r="C29" s="34">
        <f>GETPIVOTDATA("Verified emissions",$A$3,"Year","2011","Country2","DEU")</f>
        <v>450333.239</v>
      </c>
      <c r="D29" s="34">
        <f>GETPIVOTDATA("Verified emissions",$A$3,"Year","2011","Country2","EUS")</f>
        <v>421024.12</v>
      </c>
      <c r="E29" s="34">
        <f>GETPIVOTDATA("Verified emissions",$A$3,"Year","2011","Country2","EUE")</f>
        <v>413142.54300000001</v>
      </c>
      <c r="F29" s="34">
        <f>GETPIVOTDATA("Verified emissions",$A$3,"Year","2011","Country2","FRA")</f>
        <v>105582.769</v>
      </c>
      <c r="G29" s="34">
        <f>GETPIVOTDATA("Verified emissions",$A$3,"Year","2011","Country2","AUT")</f>
        <v>30599.418000000001</v>
      </c>
      <c r="H29" s="42">
        <f t="shared" si="42"/>
        <v>1885284.8410000002</v>
      </c>
      <c r="I29" s="35">
        <f t="shared" si="28"/>
        <v>2011</v>
      </c>
      <c r="J29" s="34">
        <f t="shared" si="43"/>
        <v>464602.75200000004</v>
      </c>
      <c r="K29" s="34">
        <f t="shared" si="29"/>
        <v>450333.239</v>
      </c>
      <c r="L29" s="34">
        <f t="shared" si="29"/>
        <v>421024.12</v>
      </c>
      <c r="M29" s="34">
        <f t="shared" si="29"/>
        <v>413142.54300000001</v>
      </c>
      <c r="N29" s="34">
        <f t="shared" si="29"/>
        <v>105582.769</v>
      </c>
      <c r="O29" s="34">
        <f t="shared" si="29"/>
        <v>30599.418000000001</v>
      </c>
      <c r="P29" s="42">
        <f t="shared" si="44"/>
        <v>1885284.8410000002</v>
      </c>
      <c r="Q29" s="35">
        <f t="shared" si="30"/>
        <v>2011</v>
      </c>
      <c r="R29" s="45">
        <f t="shared" si="76"/>
        <v>92.126502859206212</v>
      </c>
      <c r="S29" s="45">
        <f t="shared" si="45"/>
        <v>94.796712739808328</v>
      </c>
      <c r="T29" s="45">
        <f t="shared" si="46"/>
        <v>78.979383549301673</v>
      </c>
      <c r="U29" s="45">
        <f t="shared" si="47"/>
        <v>122.59509112323916</v>
      </c>
      <c r="V29" s="45">
        <f t="shared" si="48"/>
        <v>80.435560928552775</v>
      </c>
      <c r="W29" s="45">
        <f t="shared" si="49"/>
        <v>91.68871807295416</v>
      </c>
      <c r="X29" s="42">
        <f t="shared" si="50"/>
        <v>95.843364009341116</v>
      </c>
      <c r="Y29" s="35">
        <f t="shared" si="32"/>
        <v>2011</v>
      </c>
      <c r="Z29" s="45">
        <f t="shared" si="51"/>
        <v>92.126502859206212</v>
      </c>
      <c r="AA29" s="45">
        <f t="shared" si="33"/>
        <v>94.796712739808328</v>
      </c>
      <c r="AB29" s="45">
        <f t="shared" si="33"/>
        <v>78.979383549301673</v>
      </c>
      <c r="AC29" s="45">
        <f t="shared" si="33"/>
        <v>122.59509112323916</v>
      </c>
      <c r="AD29" s="45">
        <f t="shared" si="33"/>
        <v>80.435560928552775</v>
      </c>
      <c r="AE29" s="45">
        <f t="shared" si="33"/>
        <v>91.68871807295416</v>
      </c>
      <c r="AF29" s="42">
        <f t="shared" si="52"/>
        <v>95.843364009341116</v>
      </c>
      <c r="AG29" s="35">
        <f t="shared" si="34"/>
        <v>2011</v>
      </c>
      <c r="AH29" s="45">
        <f t="shared" si="53"/>
        <v>87.954374129884414</v>
      </c>
      <c r="AI29" s="45">
        <f t="shared" si="54"/>
        <v>92.442715488407856</v>
      </c>
      <c r="AJ29" s="45">
        <f t="shared" si="55"/>
        <v>78.937203877060824</v>
      </c>
      <c r="AK29" s="45">
        <f t="shared" si="56"/>
        <v>90.284548773740823</v>
      </c>
      <c r="AL29" s="45">
        <f t="shared" si="57"/>
        <v>83.375783349942111</v>
      </c>
      <c r="AM29" s="45">
        <f t="shared" si="58"/>
        <v>96.372295146712318</v>
      </c>
      <c r="AN29" s="42">
        <f t="shared" si="59"/>
        <v>87.403614171991109</v>
      </c>
      <c r="AO29" s="35">
        <f t="shared" si="36"/>
        <v>2011</v>
      </c>
      <c r="AP29" s="45">
        <f t="shared" si="60"/>
        <v>87.954374129884414</v>
      </c>
      <c r="AQ29" s="45">
        <f t="shared" si="37"/>
        <v>92.442715488407856</v>
      </c>
      <c r="AR29" s="45">
        <f t="shared" si="37"/>
        <v>78.937203877060824</v>
      </c>
      <c r="AS29" s="45">
        <f t="shared" si="37"/>
        <v>90.284548773740823</v>
      </c>
      <c r="AT29" s="45">
        <f t="shared" si="37"/>
        <v>83.375783349942111</v>
      </c>
      <c r="AU29" s="45">
        <f t="shared" si="37"/>
        <v>96.372295146712318</v>
      </c>
      <c r="AV29" s="42">
        <f t="shared" si="61"/>
        <v>87.403614171991109</v>
      </c>
      <c r="AW29" s="35">
        <f t="shared" si="38"/>
        <v>2011</v>
      </c>
      <c r="AX29" s="45">
        <f t="shared" si="62"/>
        <v>91.968382059306236</v>
      </c>
      <c r="AY29" s="45">
        <f t="shared" si="63"/>
        <v>99.003800249577139</v>
      </c>
      <c r="AZ29" s="45">
        <f t="shared" si="64"/>
        <v>102.1544701200832</v>
      </c>
      <c r="BA29" s="45">
        <f t="shared" si="65"/>
        <v>103.06126879130959</v>
      </c>
      <c r="BB29" s="45">
        <f t="shared" si="66"/>
        <v>91.357667569605411</v>
      </c>
      <c r="BC29" s="45">
        <f t="shared" si="67"/>
        <v>98.964113862513159</v>
      </c>
      <c r="BD29" s="42">
        <f t="shared" si="68"/>
        <v>98.43392985703413</v>
      </c>
      <c r="BE29" s="35">
        <f t="shared" si="40"/>
        <v>2011</v>
      </c>
      <c r="BF29" s="45">
        <f t="shared" si="69"/>
        <v>91.968382059306236</v>
      </c>
      <c r="BG29" s="45">
        <f t="shared" si="70"/>
        <v>99.003800249577139</v>
      </c>
      <c r="BH29" s="45">
        <f t="shared" si="71"/>
        <v>102.1544701200832</v>
      </c>
      <c r="BI29" s="45">
        <f t="shared" si="72"/>
        <v>103.06126879130959</v>
      </c>
      <c r="BJ29" s="45">
        <f t="shared" si="73"/>
        <v>91.357667569605411</v>
      </c>
      <c r="BK29" s="45">
        <f t="shared" si="74"/>
        <v>98.964113862513159</v>
      </c>
      <c r="BL29" s="42">
        <f t="shared" si="75"/>
        <v>98.43392985703413</v>
      </c>
    </row>
    <row r="30" spans="1:64" x14ac:dyDescent="0.25">
      <c r="A30" s="35">
        <v>2012</v>
      </c>
      <c r="B30" s="34">
        <f>GETPIVOTDATA("Verified emissions",$A$3,"Year","2012","Country2","EUN")</f>
        <v>457432.42300000001</v>
      </c>
      <c r="C30" s="34">
        <f>GETPIVOTDATA("Verified emissions",$A$3,"Year","2012","Country2","DEU")</f>
        <v>452585.88</v>
      </c>
      <c r="D30" s="34">
        <f>GETPIVOTDATA("Verified emissions",$A$3,"Year","2012","Country2","EUS")</f>
        <v>415446.70199999999</v>
      </c>
      <c r="E30" s="34">
        <f>GETPIVOTDATA("Verified emissions",$A$3,"Year","2012","Country2","EUE")</f>
        <v>391055.97699999996</v>
      </c>
      <c r="F30" s="34">
        <f>GETPIVOTDATA("Verified emissions",$A$3,"Year","2012","Country2","FRA")</f>
        <v>103660.84</v>
      </c>
      <c r="G30" s="34">
        <f>GETPIVOTDATA("Verified emissions",$A$3,"Year","2012","Country2","AUT")</f>
        <v>28387.06</v>
      </c>
      <c r="H30" s="42">
        <f t="shared" si="42"/>
        <v>1848568.8820000002</v>
      </c>
      <c r="I30" s="35">
        <f t="shared" si="28"/>
        <v>2012</v>
      </c>
      <c r="J30" s="34">
        <f t="shared" si="43"/>
        <v>457432.42300000001</v>
      </c>
      <c r="K30" s="34">
        <f t="shared" si="29"/>
        <v>452585.88</v>
      </c>
      <c r="L30" s="34">
        <f t="shared" si="29"/>
        <v>415446.70199999999</v>
      </c>
      <c r="M30" s="34">
        <f t="shared" si="29"/>
        <v>391055.97699999996</v>
      </c>
      <c r="N30" s="34">
        <f t="shared" si="29"/>
        <v>103660.84</v>
      </c>
      <c r="O30" s="34">
        <f t="shared" si="29"/>
        <v>28387.06</v>
      </c>
      <c r="P30" s="42">
        <f t="shared" si="44"/>
        <v>1848568.8820000002</v>
      </c>
      <c r="Q30" s="35">
        <f t="shared" si="30"/>
        <v>2012</v>
      </c>
      <c r="R30" s="45">
        <f t="shared" si="76"/>
        <v>90.704691790984313</v>
      </c>
      <c r="S30" s="45">
        <f t="shared" si="45"/>
        <v>95.270901503349535</v>
      </c>
      <c r="T30" s="45">
        <f t="shared" si="46"/>
        <v>77.933122742588807</v>
      </c>
      <c r="U30" s="45">
        <f t="shared" si="47"/>
        <v>116.04116774437901</v>
      </c>
      <c r="V30" s="45">
        <f t="shared" si="48"/>
        <v>78.97138795180642</v>
      </c>
      <c r="W30" s="45">
        <f t="shared" si="49"/>
        <v>85.059563592354408</v>
      </c>
      <c r="X30" s="42">
        <f t="shared" si="50"/>
        <v>93.567524485405556</v>
      </c>
      <c r="Y30" s="35">
        <f t="shared" si="32"/>
        <v>2012</v>
      </c>
      <c r="Z30" s="45">
        <f t="shared" si="51"/>
        <v>90.704691790984313</v>
      </c>
      <c r="AA30" s="45">
        <f t="shared" si="33"/>
        <v>95.270901503349535</v>
      </c>
      <c r="AB30" s="45">
        <f t="shared" si="33"/>
        <v>77.933122742588807</v>
      </c>
      <c r="AC30" s="45">
        <f t="shared" si="33"/>
        <v>116.04116774437901</v>
      </c>
      <c r="AD30" s="45">
        <f t="shared" si="33"/>
        <v>78.97138795180642</v>
      </c>
      <c r="AE30" s="45">
        <f t="shared" si="33"/>
        <v>85.059563592354408</v>
      </c>
      <c r="AF30" s="42">
        <f t="shared" si="52"/>
        <v>93.567524485405556</v>
      </c>
      <c r="AG30" s="35">
        <f t="shared" si="34"/>
        <v>2012</v>
      </c>
      <c r="AH30" s="45">
        <f t="shared" si="53"/>
        <v>86.596952554602041</v>
      </c>
      <c r="AI30" s="45">
        <f t="shared" si="54"/>
        <v>92.905129170158148</v>
      </c>
      <c r="AJ30" s="45">
        <f t="shared" si="55"/>
        <v>77.891501835634827</v>
      </c>
      <c r="AK30" s="45">
        <f t="shared" si="56"/>
        <v>85.457944302577843</v>
      </c>
      <c r="AL30" s="45">
        <f t="shared" si="57"/>
        <v>81.858089341386872</v>
      </c>
      <c r="AM30" s="45">
        <f t="shared" si="58"/>
        <v>89.404514970429545</v>
      </c>
      <c r="AN30" s="42">
        <f t="shared" si="59"/>
        <v>85.721350230548026</v>
      </c>
      <c r="AO30" s="35">
        <f t="shared" si="36"/>
        <v>2012</v>
      </c>
      <c r="AP30" s="45">
        <f t="shared" si="60"/>
        <v>86.596952554602041</v>
      </c>
      <c r="AQ30" s="45">
        <f t="shared" si="37"/>
        <v>92.905129170158148</v>
      </c>
      <c r="AR30" s="45">
        <f t="shared" si="37"/>
        <v>77.891501835634827</v>
      </c>
      <c r="AS30" s="45">
        <f t="shared" si="37"/>
        <v>85.457944302577843</v>
      </c>
      <c r="AT30" s="45">
        <f t="shared" si="37"/>
        <v>81.858089341386872</v>
      </c>
      <c r="AU30" s="45">
        <f t="shared" si="37"/>
        <v>89.404514970429545</v>
      </c>
      <c r="AV30" s="42">
        <f t="shared" si="61"/>
        <v>85.721350230548026</v>
      </c>
      <c r="AW30" s="35">
        <f t="shared" si="38"/>
        <v>2012</v>
      </c>
      <c r="AX30" s="45">
        <f t="shared" ref="AX30:AX68" si="77">AH30/AH$28*100</f>
        <v>90.54901130843534</v>
      </c>
      <c r="AY30" s="45">
        <f t="shared" ref="AY30:AY68" si="78">AI30/AI$28*100</f>
        <v>99.499033557456514</v>
      </c>
      <c r="AZ30" s="45">
        <f t="shared" ref="AZ30:AZ68" si="79">AJ30/AJ$28*100</f>
        <v>100.80120280506996</v>
      </c>
      <c r="BA30" s="45">
        <f t="shared" ref="BA30:BA68" si="80">AK30/AK$28*100</f>
        <v>97.551621930267245</v>
      </c>
      <c r="BB30" s="45">
        <f t="shared" ref="BB30:BB68" si="81">AL30/AL$28*100</f>
        <v>89.694678879903719</v>
      </c>
      <c r="BC30" s="45">
        <f t="shared" ref="BC30:BC68" si="82">AM30/AM$28*100</f>
        <v>91.808943492389062</v>
      </c>
      <c r="BD30" s="42">
        <f t="shared" si="68"/>
        <v>96.497131846328372</v>
      </c>
      <c r="BE30" s="35">
        <f t="shared" si="40"/>
        <v>2012</v>
      </c>
      <c r="BF30" s="45">
        <f t="shared" si="69"/>
        <v>90.54901130843534</v>
      </c>
      <c r="BG30" s="45">
        <f t="shared" si="70"/>
        <v>99.499033557456514</v>
      </c>
      <c r="BH30" s="45">
        <f t="shared" si="71"/>
        <v>100.80120280506996</v>
      </c>
      <c r="BI30" s="45">
        <f t="shared" si="72"/>
        <v>97.551621930267245</v>
      </c>
      <c r="BJ30" s="45">
        <f t="shared" si="73"/>
        <v>89.694678879903719</v>
      </c>
      <c r="BK30" s="45">
        <f t="shared" si="74"/>
        <v>91.808943492389062</v>
      </c>
      <c r="BL30" s="42">
        <f t="shared" si="75"/>
        <v>96.497131846328372</v>
      </c>
    </row>
    <row r="31" spans="1:64" s="38" customFormat="1" x14ac:dyDescent="0.25">
      <c r="A31" s="36">
        <v>2013</v>
      </c>
      <c r="B31" s="37">
        <f>GETPIVOTDATA("Verified emissions",$A$3,"Year","2013","Country2","EUN")</f>
        <v>474328.33900000015</v>
      </c>
      <c r="C31" s="37">
        <f>GETPIVOTDATA("Verified emissions",$A$3,"Year","2013","Country2","DEU")</f>
        <v>480936.56</v>
      </c>
      <c r="D31" s="37">
        <f>GETPIVOTDATA("Verified emissions",$A$3,"Year","2013","Country2","EUS")</f>
        <v>392087.81000000006</v>
      </c>
      <c r="E31" s="37">
        <f>GETPIVOTDATA("Verified emissions",$A$3,"Year","2013","Country2","EUE")</f>
        <v>389512.57</v>
      </c>
      <c r="F31" s="37">
        <f>GETPIVOTDATA("Verified emissions",$A$3,"Year","2013","Country2","FRA")</f>
        <v>102651.61900000001</v>
      </c>
      <c r="G31" s="37">
        <f>GETPIVOTDATA("Verified emissions",$A$3,"Year","2013","Country2","AUT")</f>
        <v>29850.723999999998</v>
      </c>
      <c r="H31" s="43">
        <f t="shared" si="42"/>
        <v>1869367.6220000002</v>
      </c>
      <c r="I31" s="36">
        <f t="shared" si="28"/>
        <v>2013</v>
      </c>
      <c r="J31" s="37">
        <f t="shared" si="43"/>
        <v>474328.33900000015</v>
      </c>
      <c r="K31" s="37">
        <f t="shared" si="29"/>
        <v>480936.56</v>
      </c>
      <c r="L31" s="37">
        <f t="shared" si="29"/>
        <v>392087.81000000006</v>
      </c>
      <c r="M31" s="37">
        <f t="shared" si="29"/>
        <v>389512.57</v>
      </c>
      <c r="N31" s="37">
        <f t="shared" si="29"/>
        <v>102651.61900000001</v>
      </c>
      <c r="O31" s="37">
        <f t="shared" si="29"/>
        <v>29850.723999999998</v>
      </c>
      <c r="P31" s="43">
        <f t="shared" si="44"/>
        <v>1869367.6220000002</v>
      </c>
      <c r="Q31" s="36">
        <f t="shared" si="30"/>
        <v>2013</v>
      </c>
      <c r="R31" s="46">
        <f t="shared" si="76"/>
        <v>94.054998363604284</v>
      </c>
      <c r="S31" s="46">
        <f t="shared" si="45"/>
        <v>101.2388182263215</v>
      </c>
      <c r="T31" s="46">
        <f t="shared" si="46"/>
        <v>73.551257659527252</v>
      </c>
      <c r="U31" s="46">
        <f t="shared" si="47"/>
        <v>115.58318024100723</v>
      </c>
      <c r="V31" s="46">
        <f t="shared" si="48"/>
        <v>78.202538469975963</v>
      </c>
      <c r="W31" s="46">
        <f t="shared" si="49"/>
        <v>89.445316153057746</v>
      </c>
      <c r="X31" s="43">
        <f t="shared" si="50"/>
        <v>95.144302160721125</v>
      </c>
      <c r="Y31" s="36">
        <f t="shared" si="32"/>
        <v>2013</v>
      </c>
      <c r="Z31" s="46">
        <f t="shared" si="51"/>
        <v>94.054998363604284</v>
      </c>
      <c r="AA31" s="46">
        <f t="shared" si="33"/>
        <v>101.2388182263215</v>
      </c>
      <c r="AB31" s="46">
        <f t="shared" si="33"/>
        <v>73.551257659527252</v>
      </c>
      <c r="AC31" s="46">
        <f t="shared" si="33"/>
        <v>115.58318024100723</v>
      </c>
      <c r="AD31" s="46">
        <f t="shared" si="33"/>
        <v>78.202538469975963</v>
      </c>
      <c r="AE31" s="46">
        <f t="shared" si="33"/>
        <v>89.445316153057746</v>
      </c>
      <c r="AF31" s="43">
        <f t="shared" si="52"/>
        <v>95.144302160721125</v>
      </c>
      <c r="AG31" s="36">
        <f t="shared" si="34"/>
        <v>2013</v>
      </c>
      <c r="AH31" s="46">
        <f t="shared" si="53"/>
        <v>89.795533946412476</v>
      </c>
      <c r="AI31" s="46">
        <f t="shared" si="54"/>
        <v>98.724850252622815</v>
      </c>
      <c r="AJ31" s="46">
        <f t="shared" si="55"/>
        <v>73.511976928258377</v>
      </c>
      <c r="AK31" s="46">
        <f t="shared" si="56"/>
        <v>85.120661669912181</v>
      </c>
      <c r="AL31" s="46">
        <f t="shared" si="57"/>
        <v>81.061135517906351</v>
      </c>
      <c r="AM31" s="46">
        <f t="shared" si="58"/>
        <v>94.014297385363605</v>
      </c>
      <c r="AN31" s="42">
        <f t="shared" si="59"/>
        <v>87.291083778783218</v>
      </c>
      <c r="AO31" s="36">
        <f t="shared" si="36"/>
        <v>2013</v>
      </c>
      <c r="AP31" s="46">
        <f t="shared" si="60"/>
        <v>89.795533946412476</v>
      </c>
      <c r="AQ31" s="46">
        <f t="shared" si="37"/>
        <v>98.724850252622815</v>
      </c>
      <c r="AR31" s="46">
        <f t="shared" si="37"/>
        <v>73.511976928258377</v>
      </c>
      <c r="AS31" s="46">
        <f t="shared" si="37"/>
        <v>85.120661669912181</v>
      </c>
      <c r="AT31" s="46">
        <f t="shared" si="37"/>
        <v>81.061135517906351</v>
      </c>
      <c r="AU31" s="46">
        <f t="shared" si="37"/>
        <v>94.014297385363605</v>
      </c>
      <c r="AV31" s="42">
        <f t="shared" si="61"/>
        <v>87.291083778783218</v>
      </c>
      <c r="AW31" s="36">
        <f t="shared" si="38"/>
        <v>2013</v>
      </c>
      <c r="AX31" s="46">
        <f t="shared" si="77"/>
        <v>93.893567601399269</v>
      </c>
      <c r="AY31" s="46">
        <f t="shared" si="78"/>
        <v>105.73180701626774</v>
      </c>
      <c r="AZ31" s="46">
        <f t="shared" si="79"/>
        <v>95.133557837716893</v>
      </c>
      <c r="BA31" s="46">
        <f t="shared" si="80"/>
        <v>97.166608364425457</v>
      </c>
      <c r="BB31" s="46">
        <f t="shared" si="81"/>
        <v>88.821429603572824</v>
      </c>
      <c r="BC31" s="46">
        <f t="shared" si="82"/>
        <v>96.542700544646081</v>
      </c>
      <c r="BD31" s="42">
        <f t="shared" si="68"/>
        <v>97.645067837452558</v>
      </c>
      <c r="BE31" s="36">
        <f t="shared" si="40"/>
        <v>2013</v>
      </c>
      <c r="BF31" s="46">
        <f t="shared" si="69"/>
        <v>93.893567601399269</v>
      </c>
      <c r="BG31" s="46">
        <f t="shared" si="70"/>
        <v>105.73180701626774</v>
      </c>
      <c r="BH31" s="46">
        <f t="shared" si="71"/>
        <v>95.133557837716893</v>
      </c>
      <c r="BI31" s="46">
        <f t="shared" si="72"/>
        <v>97.166608364425457</v>
      </c>
      <c r="BJ31" s="46">
        <f t="shared" si="73"/>
        <v>88.821429603572824</v>
      </c>
      <c r="BK31" s="46">
        <f t="shared" si="74"/>
        <v>96.542700544646081</v>
      </c>
      <c r="BL31" s="42">
        <f t="shared" si="75"/>
        <v>97.645067837452558</v>
      </c>
    </row>
    <row r="32" spans="1:64" x14ac:dyDescent="0.25">
      <c r="A32" s="35">
        <v>2014</v>
      </c>
      <c r="B32" s="57">
        <f t="shared" ref="B32:B68" si="83">B31+(B$20*B31)</f>
        <v>454891.0582488075</v>
      </c>
      <c r="C32" s="57">
        <f t="shared" ref="C32:C68" si="84">C31+(C$20*C31)</f>
        <v>460311.89334209531</v>
      </c>
      <c r="D32" s="57">
        <f t="shared" ref="D32:D68" si="85">D31+(D$20*D31)</f>
        <v>378527.931912956</v>
      </c>
      <c r="E32" s="57">
        <f t="shared" ref="E32:E68" si="86">E31+(E$20*E31)</f>
        <v>371475.81232464808</v>
      </c>
      <c r="F32" s="57">
        <f t="shared" ref="F32:F68" si="87">F31+(F$20*F31)</f>
        <v>98937.434598766878</v>
      </c>
      <c r="G32" s="57">
        <f t="shared" ref="G32:G68" si="88">G31+(G$20*G31)</f>
        <v>28666.392421439436</v>
      </c>
      <c r="H32" s="42">
        <f t="shared" si="42"/>
        <v>1792810.5228487134</v>
      </c>
      <c r="I32" s="35">
        <f t="shared" si="28"/>
        <v>2014</v>
      </c>
      <c r="J32" s="57">
        <f>J31+J$20*J$31</f>
        <v>464234.6517297299</v>
      </c>
      <c r="K32" s="57">
        <f>K31+K$20*K$31</f>
        <v>470506.12072972971</v>
      </c>
      <c r="L32" s="57">
        <f t="shared" ref="L32:O47" si="89">L31+L$20*L$31</f>
        <v>384372.36130270275</v>
      </c>
      <c r="M32" s="57">
        <f t="shared" si="89"/>
        <v>380806.81201621622</v>
      </c>
      <c r="N32" s="57">
        <f t="shared" si="89"/>
        <v>100586.78494054054</v>
      </c>
      <c r="O32" s="57">
        <f t="shared" si="89"/>
        <v>29224.343108108107</v>
      </c>
      <c r="P32" s="42">
        <f t="shared" si="44"/>
        <v>1829731.0738270273</v>
      </c>
      <c r="Q32" s="35">
        <f t="shared" si="30"/>
        <v>2014</v>
      </c>
      <c r="R32" s="45">
        <f t="shared" si="76"/>
        <v>90.200762259768325</v>
      </c>
      <c r="S32" s="45">
        <f t="shared" si="45"/>
        <v>96.897254177295792</v>
      </c>
      <c r="T32" s="45">
        <f t="shared" si="46"/>
        <v>71.007577234951057</v>
      </c>
      <c r="U32" s="45">
        <f t="shared" si="47"/>
        <v>110.23098887692989</v>
      </c>
      <c r="V32" s="45">
        <f t="shared" si="48"/>
        <v>75.372981066482723</v>
      </c>
      <c r="W32" s="45">
        <f t="shared" si="49"/>
        <v>85.896560937793978</v>
      </c>
      <c r="X32" s="42">
        <f t="shared" si="50"/>
        <v>91.130952240935557</v>
      </c>
      <c r="Y32" s="35">
        <f t="shared" si="32"/>
        <v>2014</v>
      </c>
      <c r="Z32" s="45">
        <f t="shared" si="51"/>
        <v>92.053511921344708</v>
      </c>
      <c r="AA32" s="45">
        <f t="shared" si="33"/>
        <v>99.043174490474968</v>
      </c>
      <c r="AB32" s="45">
        <f t="shared" si="33"/>
        <v>72.103926371431925</v>
      </c>
      <c r="AC32" s="45">
        <f t="shared" si="33"/>
        <v>112.99985104530433</v>
      </c>
      <c r="AD32" s="45">
        <f t="shared" si="33"/>
        <v>76.629496889706346</v>
      </c>
      <c r="AE32" s="45">
        <f t="shared" si="33"/>
        <v>87.56841571648863</v>
      </c>
      <c r="AF32" s="42">
        <f t="shared" si="52"/>
        <v>93.099890974038729</v>
      </c>
      <c r="AG32" s="35">
        <f t="shared" si="34"/>
        <v>2014</v>
      </c>
      <c r="AH32" s="45">
        <f t="shared" si="53"/>
        <v>86.115844457061357</v>
      </c>
      <c r="AI32" s="45">
        <f t="shared" si="54"/>
        <v>94.491096163909091</v>
      </c>
      <c r="AJ32" s="45">
        <f t="shared" si="55"/>
        <v>70.969654979803082</v>
      </c>
      <c r="AK32" s="45">
        <f t="shared" si="56"/>
        <v>81.179066799929373</v>
      </c>
      <c r="AL32" s="45">
        <f t="shared" si="57"/>
        <v>78.128147144027395</v>
      </c>
      <c r="AM32" s="45">
        <f t="shared" si="58"/>
        <v>90.284267211567169</v>
      </c>
      <c r="AN32" s="42">
        <f t="shared" si="59"/>
        <v>83.671241482329876</v>
      </c>
      <c r="AO32" s="35">
        <f t="shared" si="36"/>
        <v>2014</v>
      </c>
      <c r="AP32" s="45">
        <f t="shared" si="60"/>
        <v>87.884688729293742</v>
      </c>
      <c r="AQ32" s="45">
        <f t="shared" si="37"/>
        <v>96.583728864333025</v>
      </c>
      <c r="AR32" s="45">
        <f t="shared" si="37"/>
        <v>72.065418600860042</v>
      </c>
      <c r="AS32" s="45">
        <f t="shared" si="37"/>
        <v>83.21818165516504</v>
      </c>
      <c r="AT32" s="45">
        <f t="shared" si="37"/>
        <v>79.430593348709465</v>
      </c>
      <c r="AU32" s="45">
        <f t="shared" si="37"/>
        <v>92.041522472204605</v>
      </c>
      <c r="AV32" s="42">
        <f t="shared" si="61"/>
        <v>85.428882042652688</v>
      </c>
      <c r="AW32" s="35">
        <f t="shared" si="38"/>
        <v>2014</v>
      </c>
      <c r="AX32" s="45">
        <f t="shared" si="77"/>
        <v>90.045946693807906</v>
      </c>
      <c r="AY32" s="45">
        <f t="shared" si="78"/>
        <v>101.19756392431307</v>
      </c>
      <c r="AZ32" s="45">
        <f t="shared" si="79"/>
        <v>91.843479918012676</v>
      </c>
      <c r="BA32" s="45">
        <f t="shared" si="80"/>
        <v>92.667214239083208</v>
      </c>
      <c r="BB32" s="45">
        <f t="shared" si="81"/>
        <v>85.60765497885096</v>
      </c>
      <c r="BC32" s="45">
        <f t="shared" si="82"/>
        <v>92.712355627901687</v>
      </c>
      <c r="BD32" s="42">
        <f t="shared" si="68"/>
        <v>93.635279268150413</v>
      </c>
      <c r="BE32" s="35">
        <f t="shared" si="40"/>
        <v>2014</v>
      </c>
      <c r="BF32" s="45">
        <f t="shared" si="69"/>
        <v>91.895516399026349</v>
      </c>
      <c r="BG32" s="45">
        <f t="shared" si="70"/>
        <v>103.43872039374287</v>
      </c>
      <c r="BH32" s="45">
        <f t="shared" si="71"/>
        <v>93.261533086709548</v>
      </c>
      <c r="BI32" s="45">
        <f t="shared" si="72"/>
        <v>94.994896738980884</v>
      </c>
      <c r="BJ32" s="45">
        <f t="shared" si="73"/>
        <v>87.034789365045867</v>
      </c>
      <c r="BK32" s="45">
        <f t="shared" si="74"/>
        <v>94.516870187137599</v>
      </c>
      <c r="BL32" s="42">
        <f t="shared" si="75"/>
        <v>95.570457964225454</v>
      </c>
    </row>
    <row r="33" spans="1:64" x14ac:dyDescent="0.25">
      <c r="A33" s="35">
        <v>2015</v>
      </c>
      <c r="B33" s="57">
        <f t="shared" si="83"/>
        <v>436250.28879988531</v>
      </c>
      <c r="C33" s="57">
        <f>C32+(C$20*C32)</f>
        <v>440571.70274637581</v>
      </c>
      <c r="D33" s="57">
        <f t="shared" si="85"/>
        <v>365437.00565008493</v>
      </c>
      <c r="E33" s="57">
        <f t="shared" si="86"/>
        <v>354274.26422273653</v>
      </c>
      <c r="F33" s="57">
        <f t="shared" si="87"/>
        <v>95357.638392291425</v>
      </c>
      <c r="G33" s="57">
        <f t="shared" si="88"/>
        <v>27529.049361079495</v>
      </c>
      <c r="H33" s="42">
        <f t="shared" si="42"/>
        <v>1719419.9491724535</v>
      </c>
      <c r="I33" s="35">
        <f t="shared" si="28"/>
        <v>2015</v>
      </c>
      <c r="J33" s="57">
        <f t="shared" ref="J33:O68" si="90">J32+J$20*J$31</f>
        <v>454140.96445945965</v>
      </c>
      <c r="K33" s="57">
        <f t="shared" si="90"/>
        <v>460075.68145945942</v>
      </c>
      <c r="L33" s="57">
        <f t="shared" si="89"/>
        <v>376656.91260540544</v>
      </c>
      <c r="M33" s="57">
        <f t="shared" si="89"/>
        <v>372101.05403243244</v>
      </c>
      <c r="N33" s="57">
        <f t="shared" si="89"/>
        <v>98521.95088108108</v>
      </c>
      <c r="O33" s="57">
        <f t="shared" si="89"/>
        <v>28597.962216216216</v>
      </c>
      <c r="P33" s="42">
        <f t="shared" si="44"/>
        <v>1790094.5256540542</v>
      </c>
      <c r="Q33" s="35">
        <f t="shared" si="30"/>
        <v>2015</v>
      </c>
      <c r="R33" s="45">
        <f t="shared" si="76"/>
        <v>86.50446710753053</v>
      </c>
      <c r="S33" s="45">
        <f t="shared" si="45"/>
        <v>92.741875414922262</v>
      </c>
      <c r="T33" s="45">
        <f t="shared" si="46"/>
        <v>68.551866891489212</v>
      </c>
      <c r="U33" s="45">
        <f t="shared" si="47"/>
        <v>105.12663592963578</v>
      </c>
      <c r="V33" s="45">
        <f t="shared" si="48"/>
        <v>72.645803908647821</v>
      </c>
      <c r="W33" s="45">
        <f t="shared" si="49"/>
        <v>82.488603073576641</v>
      </c>
      <c r="X33" s="42">
        <f t="shared" si="50"/>
        <v>87.291217300422645</v>
      </c>
      <c r="Y33" s="35">
        <f t="shared" si="32"/>
        <v>2015</v>
      </c>
      <c r="Z33" s="45">
        <f t="shared" si="51"/>
        <v>90.052025479085145</v>
      </c>
      <c r="AA33" s="45">
        <f t="shared" si="33"/>
        <v>96.847530754628437</v>
      </c>
      <c r="AB33" s="45">
        <f t="shared" si="33"/>
        <v>70.656595083336597</v>
      </c>
      <c r="AC33" s="45">
        <f t="shared" si="33"/>
        <v>110.41652184960142</v>
      </c>
      <c r="AD33" s="45">
        <f t="shared" si="33"/>
        <v>75.056455309436714</v>
      </c>
      <c r="AE33" s="45">
        <f t="shared" si="33"/>
        <v>85.6915152799195</v>
      </c>
      <c r="AF33" s="42">
        <f t="shared" si="52"/>
        <v>91.055648357064996</v>
      </c>
      <c r="AG33" s="35">
        <f t="shared" si="34"/>
        <v>2015</v>
      </c>
      <c r="AH33" s="45">
        <f t="shared" si="53"/>
        <v>82.586943254643558</v>
      </c>
      <c r="AI33" s="45">
        <f>S33/S$25*100</f>
        <v>90.438903998437965</v>
      </c>
      <c r="AJ33" s="45">
        <f t="shared" si="55"/>
        <v>68.515256131224461</v>
      </c>
      <c r="AK33" s="45">
        <f t="shared" si="56"/>
        <v>77.419991306726317</v>
      </c>
      <c r="AL33" s="45">
        <f t="shared" si="57"/>
        <v>75.301281399030287</v>
      </c>
      <c r="AM33" s="45">
        <f t="shared" si="58"/>
        <v>86.702226497718513</v>
      </c>
      <c r="AN33" s="42">
        <f t="shared" si="59"/>
        <v>80.205363776766688</v>
      </c>
      <c r="AO33" s="35">
        <f t="shared" si="36"/>
        <v>2015</v>
      </c>
      <c r="AP33" s="45">
        <f t="shared" si="60"/>
        <v>85.973843512175009</v>
      </c>
      <c r="AQ33" s="45">
        <f t="shared" si="37"/>
        <v>94.44260747604325</v>
      </c>
      <c r="AR33" s="45">
        <f t="shared" si="37"/>
        <v>70.618860273461692</v>
      </c>
      <c r="AS33" s="45">
        <f t="shared" si="37"/>
        <v>81.315701640417899</v>
      </c>
      <c r="AT33" s="45">
        <f t="shared" si="37"/>
        <v>77.800051179512579</v>
      </c>
      <c r="AU33" s="45">
        <f t="shared" si="37"/>
        <v>90.068747559045605</v>
      </c>
      <c r="AV33" s="42">
        <f t="shared" si="61"/>
        <v>83.566831076759669</v>
      </c>
      <c r="AW33" s="35">
        <f t="shared" si="38"/>
        <v>2015</v>
      </c>
      <c r="AX33" s="45">
        <f t="shared" si="77"/>
        <v>86.355995656759561</v>
      </c>
      <c r="AY33" s="45">
        <f t="shared" si="78"/>
        <v>96.857769040491064</v>
      </c>
      <c r="AZ33" s="45">
        <f t="shared" si="79"/>
        <v>88.667185325283214</v>
      </c>
      <c r="BA33" s="45">
        <f t="shared" si="80"/>
        <v>88.376168926526873</v>
      </c>
      <c r="BB33" s="45">
        <f t="shared" si="81"/>
        <v>82.510162510187641</v>
      </c>
      <c r="BC33" s="45">
        <f t="shared" si="82"/>
        <v>89.033980172322742</v>
      </c>
      <c r="BD33" s="42">
        <f t="shared" si="68"/>
        <v>89.792423477482558</v>
      </c>
      <c r="BE33" s="35">
        <f t="shared" si="40"/>
        <v>2015</v>
      </c>
      <c r="BF33" s="45">
        <f t="shared" si="69"/>
        <v>89.897465196653428</v>
      </c>
      <c r="BG33" s="45">
        <f t="shared" si="70"/>
        <v>101.14563377121803</v>
      </c>
      <c r="BH33" s="45">
        <f t="shared" si="71"/>
        <v>91.389508335702189</v>
      </c>
      <c r="BI33" s="45">
        <f t="shared" si="72"/>
        <v>92.823185113536326</v>
      </c>
      <c r="BJ33" s="45">
        <f t="shared" si="73"/>
        <v>85.248149126518896</v>
      </c>
      <c r="BK33" s="45">
        <f t="shared" si="74"/>
        <v>92.491039829629131</v>
      </c>
      <c r="BL33" s="42">
        <f t="shared" si="75"/>
        <v>93.496030421431357</v>
      </c>
    </row>
    <row r="34" spans="1:64" x14ac:dyDescent="0.25">
      <c r="A34" s="35">
        <v>2016</v>
      </c>
      <c r="B34" s="57">
        <f t="shared" si="83"/>
        <v>418373.39078643511</v>
      </c>
      <c r="C34" s="57">
        <f t="shared" si="84"/>
        <v>421678.05800443841</v>
      </c>
      <c r="D34" s="57">
        <f t="shared" si="85"/>
        <v>352798.81308523682</v>
      </c>
      <c r="E34" s="57">
        <f t="shared" si="86"/>
        <v>337869.25050418288</v>
      </c>
      <c r="F34" s="57">
        <f t="shared" si="87"/>
        <v>91907.367889932575</v>
      </c>
      <c r="G34" s="57">
        <f t="shared" si="88"/>
        <v>26436.830543000611</v>
      </c>
      <c r="H34" s="42">
        <f t="shared" si="42"/>
        <v>1649063.7108132266</v>
      </c>
      <c r="I34" s="35">
        <f t="shared" si="28"/>
        <v>2016</v>
      </c>
      <c r="J34" s="57">
        <f t="shared" si="90"/>
        <v>444047.27718918939</v>
      </c>
      <c r="K34" s="57">
        <f t="shared" si="90"/>
        <v>449645.24218918913</v>
      </c>
      <c r="L34" s="57">
        <f t="shared" si="89"/>
        <v>368941.46390810813</v>
      </c>
      <c r="M34" s="57">
        <f t="shared" si="89"/>
        <v>363395.29604864866</v>
      </c>
      <c r="N34" s="57">
        <f t="shared" si="89"/>
        <v>96457.116821621617</v>
      </c>
      <c r="O34" s="57">
        <f t="shared" si="89"/>
        <v>27971.581324324325</v>
      </c>
      <c r="P34" s="42">
        <f t="shared" si="44"/>
        <v>1750457.9774810812</v>
      </c>
      <c r="Q34" s="35">
        <f t="shared" si="30"/>
        <v>2016</v>
      </c>
      <c r="R34" s="45">
        <f t="shared" si="76"/>
        <v>82.959640717974708</v>
      </c>
      <c r="S34" s="45">
        <f t="shared" si="45"/>
        <v>88.764697498438451</v>
      </c>
      <c r="T34" s="45">
        <f t="shared" si="46"/>
        <v>66.181084291316395</v>
      </c>
      <c r="U34" s="45">
        <f t="shared" si="47"/>
        <v>100.25864500064526</v>
      </c>
      <c r="V34" s="45">
        <f t="shared" si="48"/>
        <v>70.017302631015355</v>
      </c>
      <c r="W34" s="45">
        <f t="shared" si="49"/>
        <v>79.21585640614623</v>
      </c>
      <c r="X34" s="42">
        <f t="shared" si="50"/>
        <v>83.617433295768379</v>
      </c>
      <c r="Y34" s="35">
        <f t="shared" si="32"/>
        <v>2016</v>
      </c>
      <c r="Z34" s="45">
        <f t="shared" si="51"/>
        <v>88.050539036825569</v>
      </c>
      <c r="AA34" s="45">
        <f t="shared" si="33"/>
        <v>94.651887018781906</v>
      </c>
      <c r="AB34" s="45">
        <f t="shared" si="33"/>
        <v>69.209263795241256</v>
      </c>
      <c r="AC34" s="45">
        <f t="shared" si="33"/>
        <v>107.83319265389852</v>
      </c>
      <c r="AD34" s="45">
        <f t="shared" si="33"/>
        <v>73.483413729167097</v>
      </c>
      <c r="AE34" s="45">
        <f t="shared" si="33"/>
        <v>83.81461484335037</v>
      </c>
      <c r="AF34" s="42">
        <f t="shared" si="52"/>
        <v>89.011585760839807</v>
      </c>
      <c r="AG34" s="35">
        <f t="shared" si="34"/>
        <v>2016</v>
      </c>
      <c r="AH34" s="45">
        <f t="shared" si="53"/>
        <v>79.202651255966828</v>
      </c>
      <c r="AI34" s="45">
        <f t="shared" si="54"/>
        <v>86.560487585524754</v>
      </c>
      <c r="AJ34" s="45">
        <f t="shared" si="55"/>
        <v>66.145739669485948</v>
      </c>
      <c r="AK34" s="45">
        <f t="shared" si="56"/>
        <v>73.834983453379564</v>
      </c>
      <c r="AL34" s="45">
        <f t="shared" si="57"/>
        <v>72.576698508962608</v>
      </c>
      <c r="AM34" s="45">
        <f t="shared" si="58"/>
        <v>83.262303741648722</v>
      </c>
      <c r="AN34" s="42">
        <f t="shared" si="59"/>
        <v>76.886764865408949</v>
      </c>
      <c r="AO34" s="35">
        <f t="shared" si="36"/>
        <v>2016</v>
      </c>
      <c r="AP34" s="45">
        <f t="shared" si="60"/>
        <v>84.062998295056275</v>
      </c>
      <c r="AQ34" s="45">
        <f t="shared" si="37"/>
        <v>92.301486087753474</v>
      </c>
      <c r="AR34" s="45">
        <f t="shared" si="37"/>
        <v>69.172301946063342</v>
      </c>
      <c r="AS34" s="45">
        <f t="shared" si="37"/>
        <v>79.413221625670744</v>
      </c>
      <c r="AT34" s="45">
        <f t="shared" si="37"/>
        <v>76.169509010315693</v>
      </c>
      <c r="AU34" s="45">
        <f t="shared" si="37"/>
        <v>88.09597264588659</v>
      </c>
      <c r="AV34" s="42">
        <f t="shared" si="61"/>
        <v>81.704941123015473</v>
      </c>
      <c r="AW34" s="35">
        <f t="shared" si="38"/>
        <v>2016</v>
      </c>
      <c r="AX34" s="45">
        <f t="shared" si="77"/>
        <v>82.817253409842678</v>
      </c>
      <c r="AY34" s="45">
        <f t="shared" si="78"/>
        <v>92.704083573766653</v>
      </c>
      <c r="AZ34" s="45">
        <f t="shared" si="79"/>
        <v>85.600739002118559</v>
      </c>
      <c r="BA34" s="45">
        <f t="shared" si="80"/>
        <v>84.283824632724659</v>
      </c>
      <c r="BB34" s="45">
        <f t="shared" si="81"/>
        <v>79.524744827310641</v>
      </c>
      <c r="BC34" s="45">
        <f t="shared" si="82"/>
        <v>85.501544768644862</v>
      </c>
      <c r="BD34" s="42">
        <f t="shared" si="68"/>
        <v>86.109507516845213</v>
      </c>
      <c r="BE34" s="35">
        <f t="shared" si="40"/>
        <v>2016</v>
      </c>
      <c r="BF34" s="45">
        <f t="shared" si="69"/>
        <v>87.899413994280508</v>
      </c>
      <c r="BG34" s="45">
        <f t="shared" si="70"/>
        <v>98.852547148693191</v>
      </c>
      <c r="BH34" s="45">
        <f t="shared" si="71"/>
        <v>89.51748358469483</v>
      </c>
      <c r="BI34" s="45">
        <f t="shared" si="72"/>
        <v>90.651473488091739</v>
      </c>
      <c r="BJ34" s="45">
        <f t="shared" si="73"/>
        <v>83.461508887991954</v>
      </c>
      <c r="BK34" s="45">
        <f t="shared" si="74"/>
        <v>90.465209472120634</v>
      </c>
      <c r="BL34" s="42">
        <f t="shared" si="75"/>
        <v>91.42179759488431</v>
      </c>
    </row>
    <row r="35" spans="1:64" x14ac:dyDescent="0.25">
      <c r="A35" s="35">
        <v>2017</v>
      </c>
      <c r="B35" s="57">
        <f t="shared" si="83"/>
        <v>401229.06187560363</v>
      </c>
      <c r="C35" s="57">
        <f t="shared" si="84"/>
        <v>403594.65552138712</v>
      </c>
      <c r="D35" s="57">
        <f t="shared" si="85"/>
        <v>340597.6969763487</v>
      </c>
      <c r="E35" s="57">
        <f t="shared" si="86"/>
        <v>322223.88687112549</v>
      </c>
      <c r="F35" s="57">
        <f t="shared" si="87"/>
        <v>88581.936537747257</v>
      </c>
      <c r="G35" s="57">
        <f t="shared" si="88"/>
        <v>25387.945656686632</v>
      </c>
      <c r="H35" s="42">
        <f t="shared" si="42"/>
        <v>1581615.1834388988</v>
      </c>
      <c r="I35" s="35">
        <f t="shared" si="28"/>
        <v>2017</v>
      </c>
      <c r="J35" s="57">
        <f t="shared" si="90"/>
        <v>433953.58991891914</v>
      </c>
      <c r="K35" s="57">
        <f t="shared" si="90"/>
        <v>439214.80291891884</v>
      </c>
      <c r="L35" s="57">
        <f t="shared" si="89"/>
        <v>361226.01521081082</v>
      </c>
      <c r="M35" s="57">
        <f t="shared" si="89"/>
        <v>354689.53806486487</v>
      </c>
      <c r="N35" s="57">
        <f t="shared" si="89"/>
        <v>94392.282762162155</v>
      </c>
      <c r="O35" s="57">
        <f t="shared" si="89"/>
        <v>27345.200432432433</v>
      </c>
      <c r="P35" s="42">
        <f t="shared" si="44"/>
        <v>1710821.4293081083</v>
      </c>
      <c r="Q35" s="35">
        <f t="shared" si="30"/>
        <v>2017</v>
      </c>
      <c r="R35" s="45">
        <f t="shared" si="76"/>
        <v>79.560076123008898</v>
      </c>
      <c r="S35" s="45">
        <f t="shared" si="45"/>
        <v>84.958078394881326</v>
      </c>
      <c r="T35" s="45">
        <f t="shared" si="46"/>
        <v>63.892292312145614</v>
      </c>
      <c r="U35" s="45">
        <f t="shared" si="47"/>
        <v>95.616071117251025</v>
      </c>
      <c r="V35" s="45">
        <f t="shared" si="48"/>
        <v>67.483906901050915</v>
      </c>
      <c r="W35" s="45">
        <f t="shared" si="49"/>
        <v>76.072956412681492</v>
      </c>
      <c r="X35" s="42">
        <f t="shared" si="50"/>
        <v>80.102279844231006</v>
      </c>
      <c r="Y35" s="35">
        <f t="shared" si="32"/>
        <v>2017</v>
      </c>
      <c r="Z35" s="45">
        <f t="shared" si="51"/>
        <v>86.049052594566007</v>
      </c>
      <c r="AA35" s="45">
        <f t="shared" si="33"/>
        <v>92.456243282935375</v>
      </c>
      <c r="AB35" s="45">
        <f t="shared" si="33"/>
        <v>67.761932507145929</v>
      </c>
      <c r="AC35" s="45">
        <f t="shared" si="33"/>
        <v>105.24986345819562</v>
      </c>
      <c r="AD35" s="45">
        <f t="shared" si="33"/>
        <v>71.910372148897466</v>
      </c>
      <c r="AE35" s="45">
        <f t="shared" si="33"/>
        <v>81.93771440678124</v>
      </c>
      <c r="AF35" s="42">
        <f t="shared" si="52"/>
        <v>86.967715697600141</v>
      </c>
      <c r="AG35" s="35">
        <f t="shared" si="34"/>
        <v>2017</v>
      </c>
      <c r="AH35" s="45">
        <f t="shared" si="53"/>
        <v>75.957042587619853</v>
      </c>
      <c r="AI35" s="45">
        <f t="shared" si="54"/>
        <v>82.848394659594661</v>
      </c>
      <c r="AJ35" s="45">
        <f t="shared" si="55"/>
        <v>63.858170040897946</v>
      </c>
      <c r="AK35" s="45">
        <f t="shared" si="56"/>
        <v>70.415982868848431</v>
      </c>
      <c r="AL35" s="45">
        <f t="shared" si="57"/>
        <v>69.950697632201113</v>
      </c>
      <c r="AM35" s="45">
        <f t="shared" si="58"/>
        <v>79.958860393844645</v>
      </c>
      <c r="AN35" s="42">
        <f t="shared" si="59"/>
        <v>73.709054055562476</v>
      </c>
      <c r="AO35" s="35">
        <f t="shared" si="36"/>
        <v>2017</v>
      </c>
      <c r="AP35" s="45">
        <f t="shared" si="60"/>
        <v>82.152153077937555</v>
      </c>
      <c r="AQ35" s="45">
        <f t="shared" si="37"/>
        <v>90.160364699463685</v>
      </c>
      <c r="AR35" s="45">
        <f t="shared" si="37"/>
        <v>67.725743618665007</v>
      </c>
      <c r="AS35" s="45">
        <f t="shared" si="37"/>
        <v>77.510741610923603</v>
      </c>
      <c r="AT35" s="45">
        <f t="shared" si="37"/>
        <v>74.538966841118807</v>
      </c>
      <c r="AU35" s="45">
        <f t="shared" si="37"/>
        <v>86.123197732727576</v>
      </c>
      <c r="AV35" s="42">
        <f t="shared" si="61"/>
        <v>79.843223372475506</v>
      </c>
      <c r="AW35" s="35">
        <f t="shared" si="38"/>
        <v>2017</v>
      </c>
      <c r="AX35" s="45">
        <f t="shared" si="77"/>
        <v>79.423523638259766</v>
      </c>
      <c r="AY35" s="45">
        <f t="shared" si="78"/>
        <v>88.728526336996197</v>
      </c>
      <c r="AZ35" s="45">
        <f t="shared" si="79"/>
        <v>82.640341980263671</v>
      </c>
      <c r="BA35" s="45">
        <f t="shared" si="80"/>
        <v>80.380980314113032</v>
      </c>
      <c r="BB35" s="45">
        <f t="shared" si="81"/>
        <v>76.647346792802878</v>
      </c>
      <c r="BC35" s="45">
        <f t="shared" si="82"/>
        <v>82.10925922524514</v>
      </c>
      <c r="BD35" s="42">
        <f t="shared" si="68"/>
        <v>82.579835267010225</v>
      </c>
      <c r="BE35" s="35">
        <f t="shared" si="40"/>
        <v>2017</v>
      </c>
      <c r="BF35" s="45">
        <f t="shared" si="69"/>
        <v>85.901362791907587</v>
      </c>
      <c r="BG35" s="45">
        <f t="shared" si="70"/>
        <v>96.559460526168323</v>
      </c>
      <c r="BH35" s="45">
        <f t="shared" si="71"/>
        <v>87.645458833687471</v>
      </c>
      <c r="BI35" s="45">
        <f t="shared" si="72"/>
        <v>88.47976186264718</v>
      </c>
      <c r="BJ35" s="45">
        <f t="shared" si="73"/>
        <v>81.674868649464997</v>
      </c>
      <c r="BK35" s="45">
        <f t="shared" si="74"/>
        <v>88.439379114612152</v>
      </c>
      <c r="BL35" s="42">
        <f t="shared" si="75"/>
        <v>89.347773018223322</v>
      </c>
    </row>
    <row r="36" spans="1:64" x14ac:dyDescent="0.25">
      <c r="A36" s="35">
        <v>2018</v>
      </c>
      <c r="B36" s="57">
        <f t="shared" si="83"/>
        <v>384787.28245830053</v>
      </c>
      <c r="C36" s="57">
        <f t="shared" si="84"/>
        <v>386286.74855951988</v>
      </c>
      <c r="D36" s="57">
        <f t="shared" si="85"/>
        <v>328818.54156795365</v>
      </c>
      <c r="E36" s="57">
        <f t="shared" si="86"/>
        <v>307302.9969889209</v>
      </c>
      <c r="F36" s="57">
        <f t="shared" si="87"/>
        <v>85376.827352674154</v>
      </c>
      <c r="G36" s="57">
        <f t="shared" si="88"/>
        <v>24380.675422437256</v>
      </c>
      <c r="H36" s="42">
        <f t="shared" si="42"/>
        <v>1516953.0723498065</v>
      </c>
      <c r="I36" s="35">
        <f t="shared" si="28"/>
        <v>2018</v>
      </c>
      <c r="J36" s="57">
        <f t="shared" si="90"/>
        <v>423859.90264864889</v>
      </c>
      <c r="K36" s="57">
        <f t="shared" si="90"/>
        <v>428784.36364864855</v>
      </c>
      <c r="L36" s="57">
        <f t="shared" si="89"/>
        <v>353510.56651351351</v>
      </c>
      <c r="M36" s="57">
        <f t="shared" si="89"/>
        <v>345983.78008108109</v>
      </c>
      <c r="N36" s="57">
        <f t="shared" si="89"/>
        <v>92327.448702702692</v>
      </c>
      <c r="O36" s="57">
        <f t="shared" si="89"/>
        <v>26718.819540540542</v>
      </c>
      <c r="P36" s="42">
        <f t="shared" si="44"/>
        <v>1671184.8811351352</v>
      </c>
      <c r="Q36" s="35">
        <f t="shared" si="30"/>
        <v>2018</v>
      </c>
      <c r="R36" s="45">
        <f t="shared" si="76"/>
        <v>76.299820707004358</v>
      </c>
      <c r="S36" s="45">
        <f t="shared" si="45"/>
        <v>81.314703795140858</v>
      </c>
      <c r="T36" s="45">
        <f t="shared" si="46"/>
        <v>61.682655408477331</v>
      </c>
      <c r="U36" s="45">
        <f t="shared" si="47"/>
        <v>91.188476124331856</v>
      </c>
      <c r="V36" s="45">
        <f t="shared" si="48"/>
        <v>65.042175569505602</v>
      </c>
      <c r="W36" s="45">
        <f t="shared" si="49"/>
        <v>73.054751408541549</v>
      </c>
      <c r="X36" s="42">
        <f t="shared" si="50"/>
        <v>76.738764629284432</v>
      </c>
      <c r="Y36" s="35">
        <f t="shared" si="32"/>
        <v>2018</v>
      </c>
      <c r="Z36" s="45">
        <f t="shared" si="51"/>
        <v>84.04756615230643</v>
      </c>
      <c r="AA36" s="45">
        <f t="shared" si="33"/>
        <v>90.260599547088844</v>
      </c>
      <c r="AB36" s="45">
        <f t="shared" si="33"/>
        <v>66.314601219050601</v>
      </c>
      <c r="AC36" s="45">
        <f t="shared" si="33"/>
        <v>102.66653426249273</v>
      </c>
      <c r="AD36" s="45">
        <f t="shared" si="33"/>
        <v>70.337330568627848</v>
      </c>
      <c r="AE36" s="45">
        <f t="shared" si="33"/>
        <v>80.060813970212124</v>
      </c>
      <c r="AF36" s="42">
        <f t="shared" si="52"/>
        <v>84.924051866625604</v>
      </c>
      <c r="AG36" s="35">
        <f t="shared" si="34"/>
        <v>2018</v>
      </c>
      <c r="AH36" s="45">
        <f t="shared" si="53"/>
        <v>72.844434209806124</v>
      </c>
      <c r="AI36" s="45">
        <f t="shared" si="54"/>
        <v>79.295492540868921</v>
      </c>
      <c r="AJ36" s="45">
        <f t="shared" si="55"/>
        <v>61.649713214310275</v>
      </c>
      <c r="AK36" s="45">
        <f t="shared" si="56"/>
        <v>67.155302425397906</v>
      </c>
      <c r="AL36" s="45">
        <f t="shared" si="57"/>
        <v>67.419711832543172</v>
      </c>
      <c r="AM36" s="45">
        <f t="shared" si="58"/>
        <v>76.786481615020179</v>
      </c>
      <c r="AN36" s="42">
        <f t="shared" si="59"/>
        <v>70.666122567262434</v>
      </c>
      <c r="AO36" s="35">
        <f t="shared" si="36"/>
        <v>2018</v>
      </c>
      <c r="AP36" s="45">
        <f t="shared" si="60"/>
        <v>80.241307860818807</v>
      </c>
      <c r="AQ36" s="45">
        <f t="shared" si="37"/>
        <v>88.019243311173909</v>
      </c>
      <c r="AR36" s="45">
        <f t="shared" si="37"/>
        <v>66.279185291266657</v>
      </c>
      <c r="AS36" s="45">
        <f t="shared" si="37"/>
        <v>75.608261596176476</v>
      </c>
      <c r="AT36" s="45">
        <f t="shared" si="37"/>
        <v>72.908424671921921</v>
      </c>
      <c r="AU36" s="45">
        <f t="shared" si="37"/>
        <v>84.150422819568576</v>
      </c>
      <c r="AV36" s="42">
        <f t="shared" si="61"/>
        <v>77.981690077896459</v>
      </c>
      <c r="AW36" s="35">
        <f t="shared" si="38"/>
        <v>2018</v>
      </c>
      <c r="AX36" s="45">
        <f t="shared" si="77"/>
        <v>76.168863943120087</v>
      </c>
      <c r="AY36" s="45">
        <f t="shared" si="78"/>
        <v>84.923458411306243</v>
      </c>
      <c r="AZ36" s="45">
        <f t="shared" si="79"/>
        <v>79.782326674141274</v>
      </c>
      <c r="BA36" s="45">
        <f t="shared" si="80"/>
        <v>76.658860990382621</v>
      </c>
      <c r="BB36" s="45">
        <f t="shared" si="81"/>
        <v>73.874059993948435</v>
      </c>
      <c r="BC36" s="45">
        <f t="shared" si="82"/>
        <v>78.851563077149251</v>
      </c>
      <c r="BD36" s="42">
        <f t="shared" si="68"/>
        <v>79.196994895638539</v>
      </c>
      <c r="BE36" s="35">
        <f t="shared" si="40"/>
        <v>2018</v>
      </c>
      <c r="BF36" s="45">
        <f t="shared" si="69"/>
        <v>83.903311589534653</v>
      </c>
      <c r="BG36" s="45">
        <f t="shared" si="70"/>
        <v>94.266373903643483</v>
      </c>
      <c r="BH36" s="45">
        <f t="shared" si="71"/>
        <v>85.773434082680112</v>
      </c>
      <c r="BI36" s="45">
        <f t="shared" si="72"/>
        <v>86.308050237202622</v>
      </c>
      <c r="BJ36" s="45">
        <f t="shared" si="73"/>
        <v>79.888228410938041</v>
      </c>
      <c r="BK36" s="45">
        <f t="shared" si="74"/>
        <v>86.413548757103669</v>
      </c>
      <c r="BL36" s="42">
        <f t="shared" si="75"/>
        <v>87.273971509030986</v>
      </c>
    </row>
    <row r="37" spans="1:64" x14ac:dyDescent="0.25">
      <c r="A37" s="35">
        <v>2019</v>
      </c>
      <c r="B37" s="57">
        <f t="shared" si="83"/>
        <v>369019.26308505691</v>
      </c>
      <c r="C37" s="57">
        <f t="shared" si="84"/>
        <v>369721.08047347143</v>
      </c>
      <c r="D37" s="57">
        <f t="shared" si="85"/>
        <v>317446.75386452803</v>
      </c>
      <c r="E37" s="57">
        <f t="shared" si="86"/>
        <v>293073.03339724895</v>
      </c>
      <c r="F37" s="57">
        <f t="shared" si="87"/>
        <v>82287.686787048238</v>
      </c>
      <c r="G37" s="57">
        <f t="shared" si="88"/>
        <v>23413.368773210663</v>
      </c>
      <c r="H37" s="42">
        <f t="shared" si="42"/>
        <v>1454961.186380564</v>
      </c>
      <c r="I37" s="35">
        <f t="shared" si="28"/>
        <v>2019</v>
      </c>
      <c r="J37" s="57">
        <f t="shared" si="90"/>
        <v>413766.21537837863</v>
      </c>
      <c r="K37" s="57">
        <f t="shared" si="90"/>
        <v>418353.92437837826</v>
      </c>
      <c r="L37" s="57">
        <f t="shared" si="89"/>
        <v>345795.1178162162</v>
      </c>
      <c r="M37" s="57">
        <f t="shared" si="89"/>
        <v>337278.0220972973</v>
      </c>
      <c r="N37" s="57">
        <f t="shared" si="89"/>
        <v>90262.614643243229</v>
      </c>
      <c r="O37" s="57">
        <f t="shared" si="89"/>
        <v>26092.438648648651</v>
      </c>
      <c r="P37" s="42">
        <f t="shared" si="44"/>
        <v>1631548.3329621621</v>
      </c>
      <c r="Q37" s="35">
        <f t="shared" si="30"/>
        <v>2019</v>
      </c>
      <c r="R37" s="45">
        <f t="shared" si="76"/>
        <v>73.17316578380418</v>
      </c>
      <c r="S37" s="45">
        <f t="shared" si="45"/>
        <v>77.827573059725282</v>
      </c>
      <c r="T37" s="45">
        <f t="shared" si="46"/>
        <v>59.549436098690315</v>
      </c>
      <c r="U37" s="45">
        <f t="shared" si="47"/>
        <v>86.965905215672379</v>
      </c>
      <c r="V37" s="45">
        <f t="shared" si="48"/>
        <v>62.688791996251638</v>
      </c>
      <c r="W37" s="45">
        <f t="shared" si="49"/>
        <v>70.156294102881972</v>
      </c>
      <c r="X37" s="42">
        <f t="shared" si="50"/>
        <v>73.520208520226703</v>
      </c>
      <c r="Y37" s="35">
        <f t="shared" si="32"/>
        <v>2019</v>
      </c>
      <c r="Z37" s="45">
        <f t="shared" si="51"/>
        <v>82.046079710046854</v>
      </c>
      <c r="AA37" s="45">
        <f t="shared" si="33"/>
        <v>88.064955811242314</v>
      </c>
      <c r="AB37" s="45">
        <f t="shared" si="33"/>
        <v>64.86726993095526</v>
      </c>
      <c r="AC37" s="45">
        <f t="shared" si="33"/>
        <v>100.08320506678983</v>
      </c>
      <c r="AD37" s="45">
        <f t="shared" si="33"/>
        <v>68.764288988358231</v>
      </c>
      <c r="AE37" s="45">
        <f t="shared" si="33"/>
        <v>78.183913533642993</v>
      </c>
      <c r="AF37" s="42">
        <f t="shared" si="52"/>
        <v>82.880609298427231</v>
      </c>
      <c r="AG37" s="35">
        <f t="shared" si="34"/>
        <v>2019</v>
      </c>
      <c r="AH37" s="45">
        <f t="shared" si="53"/>
        <v>69.859375965378121</v>
      </c>
      <c r="AI37" s="45">
        <f t="shared" si="54"/>
        <v>75.894954430125608</v>
      </c>
      <c r="AJ37" s="45">
        <f t="shared" si="55"/>
        <v>59.517633170079179</v>
      </c>
      <c r="AK37" s="45">
        <f t="shared" si="56"/>
        <v>64.045610955205106</v>
      </c>
      <c r="AL37" s="45">
        <f t="shared" si="57"/>
        <v>64.980303234184248</v>
      </c>
      <c r="AM37" s="45">
        <f t="shared" si="58"/>
        <v>73.739967400382426</v>
      </c>
      <c r="AN37" s="42">
        <f t="shared" si="59"/>
        <v>67.752130937483145</v>
      </c>
      <c r="AO37" s="35">
        <f t="shared" si="36"/>
        <v>2019</v>
      </c>
      <c r="AP37" s="45">
        <f t="shared" si="60"/>
        <v>78.330462643700073</v>
      </c>
      <c r="AQ37" s="45">
        <f t="shared" si="37"/>
        <v>85.878121922884134</v>
      </c>
      <c r="AR37" s="45">
        <f t="shared" si="37"/>
        <v>64.832626963868307</v>
      </c>
      <c r="AS37" s="45">
        <f t="shared" si="37"/>
        <v>73.705781581429335</v>
      </c>
      <c r="AT37" s="45">
        <f t="shared" si="37"/>
        <v>71.277882502725049</v>
      </c>
      <c r="AU37" s="45">
        <f t="shared" si="37"/>
        <v>82.177647906409561</v>
      </c>
      <c r="AV37" s="42">
        <f t="shared" si="61"/>
        <v>76.120354682700352</v>
      </c>
      <c r="AW37" s="35">
        <f t="shared" si="38"/>
        <v>2019</v>
      </c>
      <c r="AX37" s="45">
        <f t="shared" si="77"/>
        <v>73.047575436337823</v>
      </c>
      <c r="AY37" s="45">
        <f t="shared" si="78"/>
        <v>81.281568468130331</v>
      </c>
      <c r="AZ37" s="45">
        <f t="shared" si="79"/>
        <v>77.023152337142434</v>
      </c>
      <c r="BA37" s="45">
        <f t="shared" si="80"/>
        <v>73.109098015205674</v>
      </c>
      <c r="BB37" s="45">
        <f t="shared" si="81"/>
        <v>71.201117433877542</v>
      </c>
      <c r="BC37" s="45">
        <f t="shared" si="82"/>
        <v>75.723116471595304</v>
      </c>
      <c r="BD37" s="42">
        <f t="shared" si="68"/>
        <v>75.954846868035006</v>
      </c>
      <c r="BE37" s="35">
        <f t="shared" si="40"/>
        <v>2019</v>
      </c>
      <c r="BF37" s="45">
        <f t="shared" si="69"/>
        <v>81.905260387161732</v>
      </c>
      <c r="BG37" s="45">
        <f t="shared" si="70"/>
        <v>91.973287281118644</v>
      </c>
      <c r="BH37" s="45">
        <f t="shared" si="71"/>
        <v>83.901409331672753</v>
      </c>
      <c r="BI37" s="45">
        <f t="shared" si="72"/>
        <v>84.136338611758063</v>
      </c>
      <c r="BJ37" s="45">
        <f t="shared" si="73"/>
        <v>78.101588172411098</v>
      </c>
      <c r="BK37" s="45">
        <f t="shared" si="74"/>
        <v>84.387718399595173</v>
      </c>
      <c r="BL37" s="42">
        <f t="shared" si="75"/>
        <v>85.20040932479283</v>
      </c>
    </row>
    <row r="38" spans="1:64" x14ac:dyDescent="0.25">
      <c r="A38" s="35">
        <v>2020</v>
      </c>
      <c r="B38" s="57">
        <f t="shared" si="83"/>
        <v>353897.39405588538</v>
      </c>
      <c r="C38" s="57">
        <f t="shared" si="84"/>
        <v>353865.82080852584</v>
      </c>
      <c r="D38" s="57">
        <f t="shared" si="85"/>
        <v>306468.24555147724</v>
      </c>
      <c r="E38" s="57">
        <f t="shared" si="86"/>
        <v>279502.00208350597</v>
      </c>
      <c r="F38" s="57">
        <f t="shared" si="87"/>
        <v>79310.318815111896</v>
      </c>
      <c r="G38" s="57">
        <f t="shared" si="88"/>
        <v>22484.440148276903</v>
      </c>
      <c r="H38" s="42">
        <f t="shared" si="42"/>
        <v>1395528.2214627832</v>
      </c>
      <c r="I38" s="35">
        <f t="shared" si="28"/>
        <v>2020</v>
      </c>
      <c r="J38" s="57">
        <f t="shared" si="90"/>
        <v>403672.52810810838</v>
      </c>
      <c r="K38" s="57">
        <f t="shared" si="90"/>
        <v>407923.48510810797</v>
      </c>
      <c r="L38" s="57">
        <f t="shared" si="89"/>
        <v>338079.66911891889</v>
      </c>
      <c r="M38" s="57">
        <f t="shared" si="89"/>
        <v>328572.26411351352</v>
      </c>
      <c r="N38" s="57">
        <f t="shared" si="89"/>
        <v>88197.780583783766</v>
      </c>
      <c r="O38" s="57">
        <f t="shared" si="89"/>
        <v>25466.05775675676</v>
      </c>
      <c r="P38" s="42">
        <f t="shared" si="44"/>
        <v>1591911.7847891892</v>
      </c>
      <c r="Q38" s="35">
        <f t="shared" si="30"/>
        <v>2020</v>
      </c>
      <c r="R38" s="45">
        <f t="shared" si="76"/>
        <v>70.174636600850675</v>
      </c>
      <c r="S38" s="45">
        <f t="shared" si="45"/>
        <v>74.489985767233833</v>
      </c>
      <c r="T38" s="45">
        <f t="shared" si="46"/>
        <v>57.48999157362217</v>
      </c>
      <c r="U38" s="45">
        <f t="shared" si="47"/>
        <v>82.938864552022665</v>
      </c>
      <c r="V38" s="45">
        <f t="shared" si="48"/>
        <v>60.420559545240557</v>
      </c>
      <c r="W38" s="45">
        <f t="shared" si="49"/>
        <v>67.372833489302721</v>
      </c>
      <c r="X38" s="42">
        <f t="shared" si="50"/>
        <v>70.440231372927329</v>
      </c>
      <c r="Y38" s="35">
        <f t="shared" si="32"/>
        <v>2020</v>
      </c>
      <c r="Z38" s="45">
        <f t="shared" si="51"/>
        <v>80.044593267787278</v>
      </c>
      <c r="AA38" s="45">
        <f t="shared" si="33"/>
        <v>85.869312075395783</v>
      </c>
      <c r="AB38" s="45">
        <f t="shared" si="33"/>
        <v>63.419938642859933</v>
      </c>
      <c r="AC38" s="45">
        <f t="shared" si="33"/>
        <v>97.499875871086928</v>
      </c>
      <c r="AD38" s="45">
        <f t="shared" si="33"/>
        <v>67.1912474080886</v>
      </c>
      <c r="AE38" s="45">
        <f t="shared" si="33"/>
        <v>76.307013097073863</v>
      </c>
      <c r="AF38" s="42">
        <f t="shared" si="52"/>
        <v>80.837404520477463</v>
      </c>
      <c r="AG38" s="35">
        <f t="shared" si="34"/>
        <v>2020</v>
      </c>
      <c r="AH38" s="45">
        <f t="shared" si="53"/>
        <v>66.996641036647304</v>
      </c>
      <c r="AI38" s="45">
        <f t="shared" si="54"/>
        <v>72.640246291201422</v>
      </c>
      <c r="AJ38" s="45">
        <f t="shared" si="55"/>
        <v>57.459288510458975</v>
      </c>
      <c r="AK38" s="45">
        <f t="shared" si="56"/>
        <v>61.079916767289944</v>
      </c>
      <c r="AL38" s="45">
        <f t="shared" si="57"/>
        <v>62.629158351999727</v>
      </c>
      <c r="AM38" s="45">
        <f t="shared" si="58"/>
        <v>70.814324056043461</v>
      </c>
      <c r="AN38" s="42">
        <f t="shared" si="59"/>
        <v>64.961496992728627</v>
      </c>
      <c r="AO38" s="35">
        <f t="shared" si="36"/>
        <v>2020</v>
      </c>
      <c r="AP38" s="45">
        <f t="shared" si="60"/>
        <v>76.419617426581326</v>
      </c>
      <c r="AQ38" s="45">
        <f t="shared" si="37"/>
        <v>83.737000534594358</v>
      </c>
      <c r="AR38" s="45">
        <f t="shared" si="37"/>
        <v>63.386068636469957</v>
      </c>
      <c r="AS38" s="45">
        <f t="shared" si="37"/>
        <v>71.803301566682194</v>
      </c>
      <c r="AT38" s="45">
        <f t="shared" si="37"/>
        <v>69.647340333528149</v>
      </c>
      <c r="AU38" s="45">
        <f t="shared" si="37"/>
        <v>80.204872993250547</v>
      </c>
      <c r="AV38" s="42">
        <f t="shared" si="61"/>
        <v>74.259231969204578</v>
      </c>
      <c r="AW38" s="35">
        <f t="shared" si="38"/>
        <v>2020</v>
      </c>
      <c r="AX38" s="45">
        <f t="shared" si="77"/>
        <v>70.054192761915701</v>
      </c>
      <c r="AY38" s="45">
        <f t="shared" si="78"/>
        <v>77.795858720701602</v>
      </c>
      <c r="AZ38" s="45">
        <f t="shared" si="79"/>
        <v>74.359400675055639</v>
      </c>
      <c r="BA38" s="45">
        <f t="shared" si="80"/>
        <v>69.723710260546525</v>
      </c>
      <c r="BB38" s="45">
        <f t="shared" si="81"/>
        <v>68.624888414798207</v>
      </c>
      <c r="BC38" s="45">
        <f t="shared" si="82"/>
        <v>72.718791415213744</v>
      </c>
      <c r="BD38" s="42">
        <f t="shared" si="68"/>
        <v>72.847512489796415</v>
      </c>
      <c r="BE38" s="35">
        <f t="shared" si="40"/>
        <v>2020</v>
      </c>
      <c r="BF38" s="45">
        <f t="shared" si="69"/>
        <v>79.907209184788783</v>
      </c>
      <c r="BG38" s="45">
        <f t="shared" si="70"/>
        <v>89.680200658593805</v>
      </c>
      <c r="BH38" s="45">
        <f t="shared" si="71"/>
        <v>82.029384580665393</v>
      </c>
      <c r="BI38" s="45">
        <f t="shared" si="72"/>
        <v>81.964626986313505</v>
      </c>
      <c r="BJ38" s="45">
        <f t="shared" si="73"/>
        <v>76.314947933884127</v>
      </c>
      <c r="BK38" s="45">
        <f t="shared" si="74"/>
        <v>82.36188804208669</v>
      </c>
      <c r="BL38" s="42">
        <f t="shared" si="75"/>
        <v>83.127104342155931</v>
      </c>
    </row>
    <row r="39" spans="1:64" x14ac:dyDescent="0.25">
      <c r="A39" s="35">
        <v>2021</v>
      </c>
      <c r="B39" s="57">
        <f t="shared" si="83"/>
        <v>339395.19707587379</v>
      </c>
      <c r="C39" s="57">
        <f t="shared" si="84"/>
        <v>338690.50413931342</v>
      </c>
      <c r="D39" s="57">
        <f t="shared" si="85"/>
        <v>295869.41554136213</v>
      </c>
      <c r="E39" s="57">
        <f t="shared" si="86"/>
        <v>266559.39054890029</v>
      </c>
      <c r="F39" s="57">
        <f t="shared" si="87"/>
        <v>76440.679233490533</v>
      </c>
      <c r="G39" s="57">
        <f t="shared" si="88"/>
        <v>21592.36689424597</v>
      </c>
      <c r="H39" s="42">
        <f t="shared" si="42"/>
        <v>1338547.5534331861</v>
      </c>
      <c r="I39" s="35">
        <f t="shared" si="28"/>
        <v>2021</v>
      </c>
      <c r="J39" s="57">
        <f t="shared" si="90"/>
        <v>393578.84083783813</v>
      </c>
      <c r="K39" s="57">
        <f t="shared" si="90"/>
        <v>397493.04583783768</v>
      </c>
      <c r="L39" s="57">
        <f t="shared" si="89"/>
        <v>330364.22042162158</v>
      </c>
      <c r="M39" s="57">
        <f t="shared" si="89"/>
        <v>319866.50612972974</v>
      </c>
      <c r="N39" s="57">
        <f t="shared" si="89"/>
        <v>86132.946524324303</v>
      </c>
      <c r="O39" s="57">
        <f t="shared" si="89"/>
        <v>24839.676864864869</v>
      </c>
      <c r="P39" s="42">
        <f t="shared" si="44"/>
        <v>1552275.2366162164</v>
      </c>
      <c r="Q39" s="35">
        <f t="shared" si="30"/>
        <v>2021</v>
      </c>
      <c r="R39" s="45">
        <f t="shared" si="76"/>
        <v>67.298982752928978</v>
      </c>
      <c r="S39" s="45">
        <f t="shared" si="45"/>
        <v>71.295528839689666</v>
      </c>
      <c r="T39" s="45">
        <f t="shared" si="46"/>
        <v>55.501770422437936</v>
      </c>
      <c r="U39" s="45">
        <f t="shared" si="47"/>
        <v>79.098299915575453</v>
      </c>
      <c r="V39" s="45">
        <f t="shared" si="48"/>
        <v>58.234397242464695</v>
      </c>
      <c r="W39" s="45">
        <f t="shared" si="49"/>
        <v>64.699807058235791</v>
      </c>
      <c r="X39" s="42">
        <f t="shared" si="50"/>
        <v>67.492738480315651</v>
      </c>
      <c r="Y39" s="35">
        <f t="shared" si="32"/>
        <v>2021</v>
      </c>
      <c r="Z39" s="45">
        <f t="shared" si="51"/>
        <v>78.043106825527701</v>
      </c>
      <c r="AA39" s="45">
        <f t="shared" si="51"/>
        <v>83.673668339549252</v>
      </c>
      <c r="AB39" s="45">
        <f t="shared" si="51"/>
        <v>61.972607354764598</v>
      </c>
      <c r="AC39" s="45">
        <f t="shared" si="51"/>
        <v>94.916546675384026</v>
      </c>
      <c r="AD39" s="45">
        <f t="shared" si="51"/>
        <v>65.618205827818983</v>
      </c>
      <c r="AE39" s="45">
        <f t="shared" si="51"/>
        <v>74.430112660504733</v>
      </c>
      <c r="AF39" s="42">
        <f t="shared" si="52"/>
        <v>78.794455748330591</v>
      </c>
      <c r="AG39" s="35">
        <f t="shared" si="34"/>
        <v>2021</v>
      </c>
      <c r="AH39" s="45">
        <f t="shared" si="53"/>
        <v>64.251216793260085</v>
      </c>
      <c r="AI39" s="45">
        <f t="shared" si="54"/>
        <v>69.525114296029074</v>
      </c>
      <c r="AJ39" s="45">
        <f t="shared" si="55"/>
        <v>55.472129187219331</v>
      </c>
      <c r="AK39" s="45">
        <f t="shared" si="56"/>
        <v>58.251551927710373</v>
      </c>
      <c r="AL39" s="45">
        <f t="shared" si="57"/>
        <v>60.363083590788627</v>
      </c>
      <c r="AM39" s="45">
        <f t="shared" si="58"/>
        <v>68.004756013606936</v>
      </c>
      <c r="AN39" s="42">
        <f t="shared" si="59"/>
        <v>62.288884364154455</v>
      </c>
      <c r="AO39" s="35">
        <f t="shared" si="36"/>
        <v>2021</v>
      </c>
      <c r="AP39" s="45">
        <f t="shared" si="60"/>
        <v>74.508772209462592</v>
      </c>
      <c r="AQ39" s="45">
        <f t="shared" ref="AQ39:AQ68" si="91">AA39/AA$25*100</f>
        <v>81.595879146304583</v>
      </c>
      <c r="AR39" s="45">
        <f t="shared" ref="AR39:AR68" si="92">AB39/AB$25*100</f>
        <v>61.939510309071608</v>
      </c>
      <c r="AS39" s="45">
        <f t="shared" ref="AS39:AS68" si="93">AC39/AC$25*100</f>
        <v>69.900821551935039</v>
      </c>
      <c r="AT39" s="45">
        <f t="shared" ref="AT39:AT68" si="94">AD39/AD$25*100</f>
        <v>68.016798164331277</v>
      </c>
      <c r="AU39" s="45">
        <f t="shared" ref="AU39:AU68" si="95">AE39/AE$25*100</f>
        <v>78.232098080091532</v>
      </c>
      <c r="AV39" s="42">
        <f t="shared" si="61"/>
        <v>72.398338229561929</v>
      </c>
      <c r="AW39" s="35">
        <f t="shared" si="38"/>
        <v>2021</v>
      </c>
      <c r="AX39" s="45">
        <f t="shared" si="77"/>
        <v>67.183474526142049</v>
      </c>
      <c r="AY39" s="45">
        <f t="shared" si="78"/>
        <v>74.459631478006813</v>
      </c>
      <c r="AZ39" s="45">
        <f t="shared" si="79"/>
        <v>71.787771611200242</v>
      </c>
      <c r="BA39" s="45">
        <f t="shared" si="80"/>
        <v>66.495086172250922</v>
      </c>
      <c r="BB39" s="45">
        <f t="shared" si="81"/>
        <v>66.141873606365337</v>
      </c>
      <c r="BC39" s="45">
        <f t="shared" si="82"/>
        <v>69.833663368477048</v>
      </c>
      <c r="BD39" s="42">
        <f t="shared" si="68"/>
        <v>69.869362961434135</v>
      </c>
      <c r="BE39" s="35">
        <f t="shared" si="40"/>
        <v>2021</v>
      </c>
      <c r="BF39" s="45">
        <f t="shared" si="69"/>
        <v>77.909157982415849</v>
      </c>
      <c r="BG39" s="45">
        <f t="shared" si="70"/>
        <v>87.387114036068965</v>
      </c>
      <c r="BH39" s="45">
        <f t="shared" si="71"/>
        <v>80.15735982965802</v>
      </c>
      <c r="BI39" s="45">
        <f t="shared" si="72"/>
        <v>79.792915360868918</v>
      </c>
      <c r="BJ39" s="45">
        <f t="shared" si="73"/>
        <v>74.528307695357185</v>
      </c>
      <c r="BK39" s="45">
        <f t="shared" si="74"/>
        <v>80.336057684578194</v>
      </c>
      <c r="BL39" s="42">
        <f t="shared" si="75"/>
        <v>81.054076263651297</v>
      </c>
    </row>
    <row r="40" spans="1:64" x14ac:dyDescent="0.25">
      <c r="A40" s="35">
        <v>2022</v>
      </c>
      <c r="B40" s="57">
        <f t="shared" si="83"/>
        <v>325487.2788918622</v>
      </c>
      <c r="C40" s="57">
        <f t="shared" si="84"/>
        <v>324165.97153137228</v>
      </c>
      <c r="D40" s="57">
        <f t="shared" si="85"/>
        <v>285637.13312374282</v>
      </c>
      <c r="E40" s="57">
        <f t="shared" si="86"/>
        <v>254216.09920551692</v>
      </c>
      <c r="F40" s="57">
        <f t="shared" si="87"/>
        <v>73674.870167890738</v>
      </c>
      <c r="G40" s="57">
        <f t="shared" si="88"/>
        <v>20735.686769210439</v>
      </c>
      <c r="H40" s="42">
        <f t="shared" si="42"/>
        <v>1283917.0396895956</v>
      </c>
      <c r="I40" s="35">
        <f t="shared" si="28"/>
        <v>2022</v>
      </c>
      <c r="J40" s="57">
        <f t="shared" si="90"/>
        <v>383485.15356756788</v>
      </c>
      <c r="K40" s="57">
        <f t="shared" si="90"/>
        <v>387062.60656756739</v>
      </c>
      <c r="L40" s="57">
        <f t="shared" si="89"/>
        <v>322648.77172432427</v>
      </c>
      <c r="M40" s="57">
        <f t="shared" si="89"/>
        <v>311160.74814594595</v>
      </c>
      <c r="N40" s="57">
        <f t="shared" si="89"/>
        <v>84068.11246486484</v>
      </c>
      <c r="O40" s="57">
        <f t="shared" si="89"/>
        <v>24213.295972972977</v>
      </c>
      <c r="P40" s="42">
        <f t="shared" si="44"/>
        <v>1512638.6884432433</v>
      </c>
      <c r="Q40" s="35">
        <f t="shared" si="30"/>
        <v>2022</v>
      </c>
      <c r="R40" s="45">
        <f t="shared" si="76"/>
        <v>64.541168988741575</v>
      </c>
      <c r="S40" s="45">
        <f t="shared" si="45"/>
        <v>68.238064219995053</v>
      </c>
      <c r="T40" s="45">
        <f t="shared" si="46"/>
        <v>53.582309471730568</v>
      </c>
      <c r="U40" s="45">
        <f t="shared" si="47"/>
        <v>75.435576352868495</v>
      </c>
      <c r="V40" s="45">
        <f t="shared" si="48"/>
        <v>56.127335591024242</v>
      </c>
      <c r="W40" s="45">
        <f t="shared" si="49"/>
        <v>62.132833318307604</v>
      </c>
      <c r="X40" s="42">
        <f t="shared" si="50"/>
        <v>64.671907642666255</v>
      </c>
      <c r="Y40" s="35">
        <f t="shared" si="32"/>
        <v>2022</v>
      </c>
      <c r="Z40" s="45">
        <f t="shared" si="51"/>
        <v>76.041620383268139</v>
      </c>
      <c r="AA40" s="45">
        <f t="shared" si="51"/>
        <v>81.478024603702721</v>
      </c>
      <c r="AB40" s="45">
        <f t="shared" si="51"/>
        <v>60.525276066669264</v>
      </c>
      <c r="AC40" s="45">
        <f t="shared" si="51"/>
        <v>92.333217479681139</v>
      </c>
      <c r="AD40" s="45">
        <f t="shared" si="51"/>
        <v>64.045164247549351</v>
      </c>
      <c r="AE40" s="45">
        <f t="shared" si="51"/>
        <v>72.553212223935617</v>
      </c>
      <c r="AF40" s="42">
        <f t="shared" si="52"/>
        <v>76.751783106791933</v>
      </c>
      <c r="AG40" s="35">
        <f t="shared" si="34"/>
        <v>2022</v>
      </c>
      <c r="AH40" s="45">
        <f t="shared" si="53"/>
        <v>61.618296015114602</v>
      </c>
      <c r="AI40" s="45">
        <f t="shared" si="54"/>
        <v>66.543572808086608</v>
      </c>
      <c r="AJ40" s="45">
        <f t="shared" si="55"/>
        <v>53.553693342433803</v>
      </c>
      <c r="AK40" s="45">
        <f t="shared" si="56"/>
        <v>55.554157267678505</v>
      </c>
      <c r="AL40" s="45">
        <f t="shared" si="57"/>
        <v>58.179000907365584</v>
      </c>
      <c r="AM40" s="45">
        <f t="shared" si="58"/>
        <v>65.306657969511889</v>
      </c>
      <c r="AN40" s="42">
        <f t="shared" si="59"/>
        <v>59.729191520553826</v>
      </c>
      <c r="AO40" s="35">
        <f t="shared" si="36"/>
        <v>2022</v>
      </c>
      <c r="AP40" s="45">
        <f t="shared" si="60"/>
        <v>72.597926992343858</v>
      </c>
      <c r="AQ40" s="45">
        <f t="shared" si="91"/>
        <v>79.454757758014807</v>
      </c>
      <c r="AR40" s="45">
        <f t="shared" si="92"/>
        <v>60.492951981673258</v>
      </c>
      <c r="AS40" s="45">
        <f t="shared" si="93"/>
        <v>67.998341537187912</v>
      </c>
      <c r="AT40" s="45">
        <f t="shared" si="94"/>
        <v>66.386255995134363</v>
      </c>
      <c r="AU40" s="45">
        <f t="shared" si="95"/>
        <v>76.259323166932532</v>
      </c>
      <c r="AV40" s="42">
        <f t="shared" si="61"/>
        <v>70.537691463576209</v>
      </c>
      <c r="AW40" s="35">
        <f t="shared" si="38"/>
        <v>2022</v>
      </c>
      <c r="AX40" s="45">
        <f t="shared" si="77"/>
        <v>64.43039411994431</v>
      </c>
      <c r="AY40" s="45">
        <f t="shared" si="78"/>
        <v>71.266476275365704</v>
      </c>
      <c r="AZ40" s="45">
        <f t="shared" si="79"/>
        <v>69.305079198017467</v>
      </c>
      <c r="BA40" s="45">
        <f t="shared" si="80"/>
        <v>63.415966656568713</v>
      </c>
      <c r="BB40" s="45">
        <f t="shared" si="81"/>
        <v>63.748700292488067</v>
      </c>
      <c r="BC40" s="45">
        <f t="shared" si="82"/>
        <v>67.063003173640396</v>
      </c>
      <c r="BD40" s="42">
        <f t="shared" si="68"/>
        <v>67.015008926534762</v>
      </c>
      <c r="BE40" s="35">
        <f t="shared" si="40"/>
        <v>2022</v>
      </c>
      <c r="BF40" s="45">
        <f t="shared" si="69"/>
        <v>75.911106780042942</v>
      </c>
      <c r="BG40" s="45">
        <f t="shared" si="70"/>
        <v>85.094027413544111</v>
      </c>
      <c r="BH40" s="45">
        <f t="shared" si="71"/>
        <v>78.285335078650661</v>
      </c>
      <c r="BI40" s="45">
        <f t="shared" si="72"/>
        <v>77.621203735424373</v>
      </c>
      <c r="BJ40" s="45">
        <f t="shared" si="73"/>
        <v>72.7416674568302</v>
      </c>
      <c r="BK40" s="45">
        <f t="shared" si="74"/>
        <v>78.310227327069697</v>
      </c>
      <c r="BL40" s="42">
        <f t="shared" si="75"/>
        <v>78.981346856917327</v>
      </c>
    </row>
    <row r="41" spans="1:64" x14ac:dyDescent="0.25">
      <c r="A41" s="35">
        <v>2023</v>
      </c>
      <c r="B41" s="57">
        <f t="shared" si="83"/>
        <v>312149.28682902054</v>
      </c>
      <c r="C41" s="57">
        <f t="shared" si="84"/>
        <v>310264.31451309449</v>
      </c>
      <c r="D41" s="57">
        <f t="shared" si="85"/>
        <v>275758.7216977647</v>
      </c>
      <c r="E41" s="57">
        <f t="shared" si="86"/>
        <v>242444.3759501079</v>
      </c>
      <c r="F41" s="57">
        <f t="shared" si="87"/>
        <v>71009.134778559412</v>
      </c>
      <c r="G41" s="57">
        <f t="shared" si="88"/>
        <v>19912.995545911588</v>
      </c>
      <c r="H41" s="42">
        <f t="shared" si="42"/>
        <v>1231538.8293144586</v>
      </c>
      <c r="I41" s="35">
        <f t="shared" si="28"/>
        <v>2023</v>
      </c>
      <c r="J41" s="57">
        <f t="shared" si="90"/>
        <v>373391.46629729762</v>
      </c>
      <c r="K41" s="57">
        <f t="shared" si="90"/>
        <v>376632.1672972971</v>
      </c>
      <c r="L41" s="57">
        <f t="shared" si="89"/>
        <v>314933.32302702696</v>
      </c>
      <c r="M41" s="57">
        <f t="shared" si="89"/>
        <v>302454.99016216217</v>
      </c>
      <c r="N41" s="57">
        <f t="shared" si="89"/>
        <v>82003.278405405377</v>
      </c>
      <c r="O41" s="57">
        <f t="shared" si="89"/>
        <v>23586.915081081086</v>
      </c>
      <c r="P41" s="42">
        <f t="shared" si="44"/>
        <v>1473002.1402702702</v>
      </c>
      <c r="Q41" s="35">
        <f t="shared" si="30"/>
        <v>2023</v>
      </c>
      <c r="R41" s="45">
        <f t="shared" si="76"/>
        <v>61.896366394215718</v>
      </c>
      <c r="S41" s="45">
        <f t="shared" si="45"/>
        <v>65.311717077831261</v>
      </c>
      <c r="T41" s="45">
        <f t="shared" si="46"/>
        <v>51.729230733937278</v>
      </c>
      <c r="U41" s="45">
        <f t="shared" si="47"/>
        <v>71.942458760342021</v>
      </c>
      <c r="V41" s="45">
        <f t="shared" si="48"/>
        <v>54.096512537615219</v>
      </c>
      <c r="W41" s="45">
        <f t="shared" si="49"/>
        <v>59.667704614417147</v>
      </c>
      <c r="X41" s="42">
        <f t="shared" si="50"/>
        <v>61.972176829126148</v>
      </c>
      <c r="Y41" s="35">
        <f t="shared" si="32"/>
        <v>2023</v>
      </c>
      <c r="Z41" s="45">
        <f t="shared" si="51"/>
        <v>74.040133941008563</v>
      </c>
      <c r="AA41" s="45">
        <f t="shared" si="51"/>
        <v>79.28238086785619</v>
      </c>
      <c r="AB41" s="45">
        <f t="shared" si="51"/>
        <v>59.077944778573929</v>
      </c>
      <c r="AC41" s="45">
        <f t="shared" si="51"/>
        <v>89.749888283978237</v>
      </c>
      <c r="AD41" s="45">
        <f t="shared" si="51"/>
        <v>62.472122667279741</v>
      </c>
      <c r="AE41" s="45">
        <f t="shared" si="51"/>
        <v>70.676311787366487</v>
      </c>
      <c r="AF41" s="42">
        <f t="shared" si="52"/>
        <v>74.709408886794762</v>
      </c>
      <c r="AG41" s="35">
        <f t="shared" si="34"/>
        <v>2023</v>
      </c>
      <c r="AH41" s="45">
        <f t="shared" si="53"/>
        <v>59.093268474949269</v>
      </c>
      <c r="AI41" s="45">
        <f t="shared" si="54"/>
        <v>63.68989288116903</v>
      </c>
      <c r="AJ41" s="45">
        <f t="shared" si="55"/>
        <v>51.701604258525926</v>
      </c>
      <c r="AK41" s="45">
        <f t="shared" si="56"/>
        <v>52.981668085890334</v>
      </c>
      <c r="AL41" s="45">
        <f t="shared" si="57"/>
        <v>56.073943629608813</v>
      </c>
      <c r="AM41" s="45">
        <f t="shared" si="58"/>
        <v>62.715607336249299</v>
      </c>
      <c r="AN41" s="42">
        <f t="shared" si="59"/>
        <v>57.277541295669948</v>
      </c>
      <c r="AO41" s="35">
        <f t="shared" si="36"/>
        <v>2023</v>
      </c>
      <c r="AP41" s="45">
        <f t="shared" si="60"/>
        <v>70.687081775225124</v>
      </c>
      <c r="AQ41" s="45">
        <f t="shared" si="91"/>
        <v>77.313636369725032</v>
      </c>
      <c r="AR41" s="45">
        <f t="shared" si="92"/>
        <v>59.046393654274922</v>
      </c>
      <c r="AS41" s="45">
        <f t="shared" si="93"/>
        <v>66.095861522440771</v>
      </c>
      <c r="AT41" s="45">
        <f t="shared" si="94"/>
        <v>64.755713825937505</v>
      </c>
      <c r="AU41" s="45">
        <f t="shared" si="95"/>
        <v>74.286548253773518</v>
      </c>
      <c r="AV41" s="42">
        <f t="shared" si="61"/>
        <v>68.677311608455128</v>
      </c>
      <c r="AW41" s="35">
        <f t="shared" si="38"/>
        <v>2023</v>
      </c>
      <c r="AX41" s="45">
        <f t="shared" si="77"/>
        <v>61.790130917328987</v>
      </c>
      <c r="AY41" s="45">
        <f t="shared" si="78"/>
        <v>68.210257556907521</v>
      </c>
      <c r="AZ41" s="45">
        <f t="shared" si="79"/>
        <v>66.908247670054266</v>
      </c>
      <c r="BA41" s="45">
        <f t="shared" si="80"/>
        <v>60.479428759132624</v>
      </c>
      <c r="BB41" s="45">
        <f t="shared" si="81"/>
        <v>61.442117790119113</v>
      </c>
      <c r="BC41" s="45">
        <f t="shared" si="82"/>
        <v>64.402269302942656</v>
      </c>
      <c r="BD41" s="42">
        <f t="shared" si="68"/>
        <v>64.27929049658816</v>
      </c>
      <c r="BE41" s="35">
        <f t="shared" si="40"/>
        <v>2023</v>
      </c>
      <c r="BF41" s="45">
        <f t="shared" si="69"/>
        <v>73.913055577670008</v>
      </c>
      <c r="BG41" s="45">
        <f t="shared" si="70"/>
        <v>82.800940791019272</v>
      </c>
      <c r="BH41" s="45">
        <f t="shared" si="71"/>
        <v>76.413310327643316</v>
      </c>
      <c r="BI41" s="45">
        <f t="shared" si="72"/>
        <v>75.449492109979815</v>
      </c>
      <c r="BJ41" s="45">
        <f t="shared" si="73"/>
        <v>70.955027218303272</v>
      </c>
      <c r="BK41" s="45">
        <f t="shared" si="74"/>
        <v>76.284396969561215</v>
      </c>
      <c r="BL41" s="42">
        <f t="shared" si="75"/>
        <v>76.908940232546314</v>
      </c>
    </row>
    <row r="42" spans="1:64" x14ac:dyDescent="0.25">
      <c r="A42" s="35">
        <v>2024</v>
      </c>
      <c r="B42" s="57">
        <f t="shared" si="83"/>
        <v>299357.8661494726</v>
      </c>
      <c r="C42" s="57">
        <f t="shared" si="84"/>
        <v>296958.82145040057</v>
      </c>
      <c r="D42" s="57">
        <f t="shared" si="85"/>
        <v>266221.9430673329</v>
      </c>
      <c r="E42" s="57">
        <f t="shared" si="86"/>
        <v>231217.75376750669</v>
      </c>
      <c r="F42" s="57">
        <f t="shared" si="87"/>
        <v>68439.852157312242</v>
      </c>
      <c r="G42" s="57">
        <f t="shared" si="88"/>
        <v>19122.94471000024</v>
      </c>
      <c r="H42" s="42">
        <f t="shared" si="42"/>
        <v>1181319.1813020252</v>
      </c>
      <c r="I42" s="35">
        <f t="shared" si="28"/>
        <v>2024</v>
      </c>
      <c r="J42" s="57">
        <f t="shared" si="90"/>
        <v>363297.77902702737</v>
      </c>
      <c r="K42" s="57">
        <f t="shared" si="90"/>
        <v>366201.72802702681</v>
      </c>
      <c r="L42" s="57">
        <f t="shared" si="89"/>
        <v>307217.87432972965</v>
      </c>
      <c r="M42" s="57">
        <f t="shared" si="89"/>
        <v>293749.23217837838</v>
      </c>
      <c r="N42" s="57">
        <f t="shared" si="89"/>
        <v>79938.444345945914</v>
      </c>
      <c r="O42" s="57">
        <f t="shared" si="89"/>
        <v>22960.534189189195</v>
      </c>
      <c r="P42" s="42">
        <f t="shared" si="44"/>
        <v>1433365.5920972973</v>
      </c>
      <c r="Q42" s="35">
        <f t="shared" si="30"/>
        <v>2024</v>
      </c>
      <c r="R42" s="45">
        <f t="shared" si="76"/>
        <v>59.359943937106195</v>
      </c>
      <c r="S42" s="45">
        <f t="shared" si="45"/>
        <v>62.510864521340949</v>
      </c>
      <c r="T42" s="45">
        <f t="shared" si="46"/>
        <v>49.940238461291095</v>
      </c>
      <c r="U42" s="45">
        <f t="shared" si="47"/>
        <v>68.611093368900896</v>
      </c>
      <c r="V42" s="45">
        <f t="shared" si="48"/>
        <v>52.139169584959767</v>
      </c>
      <c r="W42" s="45">
        <f t="shared" si="49"/>
        <v>57.300380230758044</v>
      </c>
      <c r="X42" s="42">
        <f t="shared" si="50"/>
        <v>59.388232403250882</v>
      </c>
      <c r="Y42" s="35">
        <f t="shared" si="32"/>
        <v>2024</v>
      </c>
      <c r="Z42" s="45">
        <f t="shared" si="51"/>
        <v>72.038647498749</v>
      </c>
      <c r="AA42" s="45">
        <f t="shared" si="51"/>
        <v>77.086737132009659</v>
      </c>
      <c r="AB42" s="45">
        <f t="shared" si="51"/>
        <v>57.630613490478602</v>
      </c>
      <c r="AC42" s="45">
        <f t="shared" si="51"/>
        <v>87.166559088275335</v>
      </c>
      <c r="AD42" s="45">
        <f t="shared" si="51"/>
        <v>60.89908108701011</v>
      </c>
      <c r="AE42" s="45">
        <f t="shared" si="51"/>
        <v>68.799411350797357</v>
      </c>
      <c r="AF42" s="42">
        <f t="shared" si="52"/>
        <v>72.667357844897737</v>
      </c>
      <c r="AG42" s="35">
        <f t="shared" si="34"/>
        <v>2024</v>
      </c>
      <c r="AH42" s="45">
        <f t="shared" si="53"/>
        <v>56.671712865864755</v>
      </c>
      <c r="AI42" s="45">
        <f t="shared" si="54"/>
        <v>60.958591251382821</v>
      </c>
      <c r="AJ42" s="45">
        <f t="shared" si="55"/>
        <v>49.913567413794098</v>
      </c>
      <c r="AK42" s="45">
        <f t="shared" si="56"/>
        <v>50.528300512923096</v>
      </c>
      <c r="AL42" s="45">
        <f t="shared" si="57"/>
        <v>54.045052426785034</v>
      </c>
      <c r="AM42" s="45">
        <f t="shared" si="58"/>
        <v>60.227356993077578</v>
      </c>
      <c r="AN42" s="42">
        <f t="shared" si="59"/>
        <v>54.929270887374038</v>
      </c>
      <c r="AO42" s="35">
        <f t="shared" si="36"/>
        <v>2024</v>
      </c>
      <c r="AP42" s="45">
        <f t="shared" si="60"/>
        <v>68.77623655810639</v>
      </c>
      <c r="AQ42" s="45">
        <f t="shared" si="91"/>
        <v>75.172514981435242</v>
      </c>
      <c r="AR42" s="45">
        <f t="shared" si="92"/>
        <v>57.599835326876573</v>
      </c>
      <c r="AS42" s="45">
        <f t="shared" si="93"/>
        <v>64.19338150769363</v>
      </c>
      <c r="AT42" s="45">
        <f t="shared" si="94"/>
        <v>63.125171656740605</v>
      </c>
      <c r="AU42" s="45">
        <f t="shared" si="95"/>
        <v>72.313773340614503</v>
      </c>
      <c r="AV42" s="42">
        <f t="shared" si="61"/>
        <v>66.817220806683636</v>
      </c>
      <c r="AW42" s="35">
        <f t="shared" si="38"/>
        <v>2024</v>
      </c>
      <c r="AX42" s="45">
        <f t="shared" si="77"/>
        <v>59.258061834496743</v>
      </c>
      <c r="AY42" s="45">
        <f t="shared" si="78"/>
        <v>65.285102886276846</v>
      </c>
      <c r="AZ42" s="45">
        <f t="shared" si="79"/>
        <v>64.594307633449475</v>
      </c>
      <c r="BA42" s="45">
        <f t="shared" si="80"/>
        <v>57.678870099697868</v>
      </c>
      <c r="BB42" s="45">
        <f t="shared" si="81"/>
        <v>59.218993033803393</v>
      </c>
      <c r="BC42" s="45">
        <f t="shared" si="82"/>
        <v>61.847100414361059</v>
      </c>
      <c r="BD42" s="42">
        <f t="shared" si="68"/>
        <v>61.657267737294845</v>
      </c>
      <c r="BE42" s="35">
        <f t="shared" si="40"/>
        <v>2024</v>
      </c>
      <c r="BF42" s="45">
        <f t="shared" si="69"/>
        <v>71.915004375297073</v>
      </c>
      <c r="BG42" s="45">
        <f t="shared" si="70"/>
        <v>80.507854168494404</v>
      </c>
      <c r="BH42" s="45">
        <f t="shared" si="71"/>
        <v>74.541285576635957</v>
      </c>
      <c r="BI42" s="45">
        <f t="shared" si="72"/>
        <v>73.277780484535242</v>
      </c>
      <c r="BJ42" s="45">
        <f t="shared" si="73"/>
        <v>69.168386979776301</v>
      </c>
      <c r="BK42" s="45">
        <f t="shared" si="74"/>
        <v>74.258566612052718</v>
      </c>
      <c r="BL42" s="42">
        <f t="shared" si="75"/>
        <v>74.836883168030454</v>
      </c>
    </row>
    <row r="43" spans="1:64" x14ac:dyDescent="0.25">
      <c r="A43" s="35">
        <v>2025</v>
      </c>
      <c r="B43" s="57">
        <f t="shared" si="83"/>
        <v>287090.6191583008</v>
      </c>
      <c r="C43" s="57">
        <f t="shared" si="84"/>
        <v>284223.92622110306</v>
      </c>
      <c r="D43" s="57">
        <f t="shared" si="85"/>
        <v>257014.98227941905</v>
      </c>
      <c r="E43" s="57">
        <f t="shared" si="86"/>
        <v>220510.99122337697</v>
      </c>
      <c r="F43" s="57">
        <f t="shared" si="87"/>
        <v>65963.532409200023</v>
      </c>
      <c r="G43" s="57">
        <f t="shared" si="88"/>
        <v>18364.239249619415</v>
      </c>
      <c r="H43" s="42">
        <f t="shared" si="42"/>
        <v>1133168.2905410193</v>
      </c>
      <c r="I43" s="35">
        <f t="shared" si="28"/>
        <v>2025</v>
      </c>
      <c r="J43" s="57">
        <f t="shared" si="90"/>
        <v>353204.09175675712</v>
      </c>
      <c r="K43" s="57">
        <f t="shared" si="90"/>
        <v>355771.28875675652</v>
      </c>
      <c r="L43" s="57">
        <f t="shared" si="89"/>
        <v>299502.42563243234</v>
      </c>
      <c r="M43" s="57">
        <f t="shared" si="89"/>
        <v>285043.4741945946</v>
      </c>
      <c r="N43" s="57">
        <f t="shared" si="89"/>
        <v>77873.610286486452</v>
      </c>
      <c r="O43" s="57">
        <f t="shared" si="89"/>
        <v>22334.153297297304</v>
      </c>
      <c r="P43" s="42">
        <f t="shared" si="44"/>
        <v>1393729.0439243242</v>
      </c>
      <c r="Q43" s="35">
        <f t="shared" si="30"/>
        <v>2025</v>
      </c>
      <c r="R43" s="45">
        <f t="shared" si="76"/>
        <v>56.927460358087757</v>
      </c>
      <c r="S43" s="45">
        <f t="shared" si="45"/>
        <v>59.830124792903383</v>
      </c>
      <c r="T43" s="45">
        <f t="shared" si="46"/>
        <v>48.21311630165799</v>
      </c>
      <c r="U43" s="45">
        <f t="shared" si="47"/>
        <v>65.433990085852017</v>
      </c>
      <c r="V43" s="45">
        <f t="shared" si="48"/>
        <v>50.252648044898066</v>
      </c>
      <c r="W43" s="45">
        <f t="shared" si="49"/>
        <v>55.026979767479034</v>
      </c>
      <c r="X43" s="42">
        <f t="shared" si="50"/>
        <v>56.914997886578917</v>
      </c>
      <c r="Y43" s="35">
        <f t="shared" si="32"/>
        <v>2025</v>
      </c>
      <c r="Z43" s="45">
        <f t="shared" si="51"/>
        <v>70.037161056489424</v>
      </c>
      <c r="AA43" s="45">
        <f t="shared" si="51"/>
        <v>74.891093396163129</v>
      </c>
      <c r="AB43" s="45">
        <f t="shared" si="51"/>
        <v>56.183282202383268</v>
      </c>
      <c r="AC43" s="45">
        <f t="shared" si="51"/>
        <v>84.583229892572447</v>
      </c>
      <c r="AD43" s="45">
        <f t="shared" si="51"/>
        <v>59.326039506740493</v>
      </c>
      <c r="AE43" s="45">
        <f t="shared" si="51"/>
        <v>66.922510914228226</v>
      </c>
      <c r="AF43" s="42">
        <f t="shared" si="52"/>
        <v>70.625657553887137</v>
      </c>
      <c r="AG43" s="35">
        <f t="shared" si="34"/>
        <v>2025</v>
      </c>
      <c r="AH43" s="45">
        <f t="shared" si="53"/>
        <v>54.349389059644118</v>
      </c>
      <c r="AI43" s="45">
        <f t="shared" si="54"/>
        <v>58.344419801212275</v>
      </c>
      <c r="AJ43" s="45">
        <f t="shared" si="55"/>
        <v>48.187367639767707</v>
      </c>
      <c r="AK43" s="45">
        <f t="shared" si="56"/>
        <v>48.188538507042381</v>
      </c>
      <c r="AL43" s="45">
        <f t="shared" si="57"/>
        <v>52.08957142567786</v>
      </c>
      <c r="AM43" s="45">
        <f t="shared" si="58"/>
        <v>57.837828324354433</v>
      </c>
      <c r="AN43" s="42">
        <f t="shared" si="59"/>
        <v>52.679922307274424</v>
      </c>
      <c r="AO43" s="35">
        <f t="shared" si="36"/>
        <v>2025</v>
      </c>
      <c r="AP43" s="45">
        <f t="shared" si="60"/>
        <v>66.865391340987657</v>
      </c>
      <c r="AQ43" s="45">
        <f t="shared" si="91"/>
        <v>73.031393593145467</v>
      </c>
      <c r="AR43" s="45">
        <f t="shared" si="92"/>
        <v>56.15327699947823</v>
      </c>
      <c r="AS43" s="45">
        <f t="shared" si="93"/>
        <v>62.290901492946503</v>
      </c>
      <c r="AT43" s="45">
        <f t="shared" si="94"/>
        <v>61.494629487543726</v>
      </c>
      <c r="AU43" s="45">
        <f t="shared" si="95"/>
        <v>70.340998427455489</v>
      </c>
      <c r="AV43" s="42">
        <f t="shared" si="61"/>
        <v>64.957443719605507</v>
      </c>
      <c r="AW43" s="35">
        <f t="shared" si="38"/>
        <v>2025</v>
      </c>
      <c r="AX43" s="45">
        <f t="shared" si="77"/>
        <v>56.829753234852539</v>
      </c>
      <c r="AY43" s="45">
        <f t="shared" si="78"/>
        <v>62.485391662916179</v>
      </c>
      <c r="AZ43" s="45">
        <f t="shared" si="79"/>
        <v>62.360392387202488</v>
      </c>
      <c r="BA43" s="45">
        <f t="shared" si="80"/>
        <v>55.007994027646198</v>
      </c>
      <c r="BB43" s="45">
        <f t="shared" si="81"/>
        <v>57.076306319988525</v>
      </c>
      <c r="BC43" s="45">
        <f t="shared" si="82"/>
        <v>59.393308202717087</v>
      </c>
      <c r="BD43" s="42">
        <f t="shared" si="68"/>
        <v>59.144211603012344</v>
      </c>
      <c r="BE43" s="35">
        <f t="shared" si="40"/>
        <v>2025</v>
      </c>
      <c r="BF43" s="45">
        <f t="shared" si="69"/>
        <v>69.916953172924153</v>
      </c>
      <c r="BG43" s="45">
        <f t="shared" si="70"/>
        <v>78.214767545969565</v>
      </c>
      <c r="BH43" s="45">
        <f t="shared" si="71"/>
        <v>72.669260825628598</v>
      </c>
      <c r="BI43" s="45">
        <f t="shared" si="72"/>
        <v>71.106068859090698</v>
      </c>
      <c r="BJ43" s="45">
        <f t="shared" si="73"/>
        <v>67.381746741249344</v>
      </c>
      <c r="BK43" s="45">
        <f t="shared" si="74"/>
        <v>72.232736254544221</v>
      </c>
      <c r="BL43" s="42">
        <f t="shared" si="75"/>
        <v>72.765205486984627</v>
      </c>
    </row>
    <row r="44" spans="1:64" x14ac:dyDescent="0.25">
      <c r="A44" s="35">
        <v>2026</v>
      </c>
      <c r="B44" s="57">
        <f t="shared" si="83"/>
        <v>275326.06598532747</v>
      </c>
      <c r="C44" s="57">
        <f t="shared" si="84"/>
        <v>272035.15909033816</v>
      </c>
      <c r="D44" s="57">
        <f t="shared" si="85"/>
        <v>248126.43298671671</v>
      </c>
      <c r="E44" s="57">
        <f t="shared" si="86"/>
        <v>210300.0157125027</v>
      </c>
      <c r="F44" s="57">
        <f t="shared" si="87"/>
        <v>63576.811912132296</v>
      </c>
      <c r="G44" s="57">
        <f t="shared" si="88"/>
        <v>17635.635532685596</v>
      </c>
      <c r="H44" s="42">
        <f t="shared" si="42"/>
        <v>1087000.1212197028</v>
      </c>
      <c r="I44" s="35">
        <f t="shared" si="28"/>
        <v>2026</v>
      </c>
      <c r="J44" s="57">
        <f t="shared" si="90"/>
        <v>343110.40448648686</v>
      </c>
      <c r="K44" s="57">
        <f t="shared" si="90"/>
        <v>345340.84948648623</v>
      </c>
      <c r="L44" s="57">
        <f t="shared" si="89"/>
        <v>291786.97693513503</v>
      </c>
      <c r="M44" s="57">
        <f t="shared" si="89"/>
        <v>276337.71621081082</v>
      </c>
      <c r="N44" s="57">
        <f t="shared" si="89"/>
        <v>75808.776227026989</v>
      </c>
      <c r="O44" s="57">
        <f t="shared" si="89"/>
        <v>21707.772405405412</v>
      </c>
      <c r="P44" s="42">
        <f t="shared" si="44"/>
        <v>1354092.4957513511</v>
      </c>
      <c r="Q44" s="35">
        <f t="shared" si="30"/>
        <v>2026</v>
      </c>
      <c r="R44" s="45">
        <f t="shared" si="76"/>
        <v>54.594656394138767</v>
      </c>
      <c r="S44" s="45">
        <f t="shared" si="45"/>
        <v>57.264346928241828</v>
      </c>
      <c r="T44" s="45">
        <f t="shared" si="46"/>
        <v>46.545724552735834</v>
      </c>
      <c r="U44" s="45">
        <f t="shared" si="47"/>
        <v>62.404005654515458</v>
      </c>
      <c r="V44" s="45">
        <f t="shared" si="48"/>
        <v>48.434385427052561</v>
      </c>
      <c r="W44" s="45">
        <f t="shared" si="49"/>
        <v>52.843776780126404</v>
      </c>
      <c r="X44" s="42">
        <f t="shared" si="50"/>
        <v>54.547623235475143</v>
      </c>
      <c r="Y44" s="35">
        <f t="shared" si="32"/>
        <v>2026</v>
      </c>
      <c r="Z44" s="45">
        <f t="shared" si="51"/>
        <v>68.035674614229862</v>
      </c>
      <c r="AA44" s="45">
        <f t="shared" si="51"/>
        <v>72.695449660316598</v>
      </c>
      <c r="AB44" s="45">
        <f t="shared" si="51"/>
        <v>54.735950914287926</v>
      </c>
      <c r="AC44" s="45">
        <f t="shared" si="51"/>
        <v>81.999900696869545</v>
      </c>
      <c r="AD44" s="45">
        <f t="shared" si="51"/>
        <v>57.752997926470876</v>
      </c>
      <c r="AE44" s="45">
        <f t="shared" si="51"/>
        <v>65.045610477659096</v>
      </c>
      <c r="AF44" s="42">
        <f t="shared" si="52"/>
        <v>68.58433881495516</v>
      </c>
      <c r="AG44" s="35">
        <f t="shared" si="34"/>
        <v>2026</v>
      </c>
      <c r="AH44" s="45">
        <f t="shared" si="53"/>
        <v>52.122230682315752</v>
      </c>
      <c r="AI44" s="45">
        <f t="shared" si="54"/>
        <v>55.842355475412511</v>
      </c>
      <c r="AJ44" s="45">
        <f t="shared" si="55"/>
        <v>46.520866376872483</v>
      </c>
      <c r="AK44" s="45">
        <f t="shared" si="56"/>
        <v>45.957121452181006</v>
      </c>
      <c r="AL44" s="45">
        <f t="shared" si="57"/>
        <v>50.204844467244094</v>
      </c>
      <c r="AM44" s="45">
        <f t="shared" si="58"/>
        <v>55.543104534073905</v>
      </c>
      <c r="AN44" s="42">
        <f t="shared" si="59"/>
        <v>50.525233260303374</v>
      </c>
      <c r="AO44" s="35">
        <f t="shared" si="36"/>
        <v>2026</v>
      </c>
      <c r="AP44" s="45">
        <f t="shared" si="60"/>
        <v>64.954546123868923</v>
      </c>
      <c r="AQ44" s="45">
        <f t="shared" si="91"/>
        <v>70.890272204855691</v>
      </c>
      <c r="AR44" s="45">
        <f t="shared" si="92"/>
        <v>54.706718672079866</v>
      </c>
      <c r="AS44" s="45">
        <f t="shared" si="93"/>
        <v>60.388421478199362</v>
      </c>
      <c r="AT44" s="45">
        <f t="shared" si="94"/>
        <v>59.864087318346847</v>
      </c>
      <c r="AU44" s="45">
        <f t="shared" si="95"/>
        <v>68.368223514296474</v>
      </c>
      <c r="AV44" s="42">
        <f t="shared" si="61"/>
        <v>63.098007896079324</v>
      </c>
      <c r="AW44" s="35">
        <f t="shared" si="38"/>
        <v>2026</v>
      </c>
      <c r="AX44" s="45">
        <f t="shared" si="77"/>
        <v>54.500953165736647</v>
      </c>
      <c r="AY44" s="45">
        <f t="shared" si="78"/>
        <v>59.805744322243505</v>
      </c>
      <c r="AZ44" s="45">
        <f t="shared" si="79"/>
        <v>60.203734371665874</v>
      </c>
      <c r="BA44" s="45">
        <f t="shared" si="80"/>
        <v>52.46079546487875</v>
      </c>
      <c r="BB44" s="45">
        <f t="shared" si="81"/>
        <v>55.011147205316348</v>
      </c>
      <c r="BC44" s="45">
        <f t="shared" si="82"/>
        <v>57.036870534416032</v>
      </c>
      <c r="BD44" s="42">
        <f t="shared" si="68"/>
        <v>56.735595308074338</v>
      </c>
      <c r="BE44" s="35">
        <f t="shared" si="40"/>
        <v>2026</v>
      </c>
      <c r="BF44" s="45">
        <f t="shared" si="69"/>
        <v>67.918901970551232</v>
      </c>
      <c r="BG44" s="45">
        <f t="shared" si="70"/>
        <v>75.921680923444725</v>
      </c>
      <c r="BH44" s="45">
        <f t="shared" si="71"/>
        <v>70.79723607462121</v>
      </c>
      <c r="BI44" s="45">
        <f t="shared" si="72"/>
        <v>68.934357233646125</v>
      </c>
      <c r="BJ44" s="45">
        <f t="shared" si="73"/>
        <v>65.595106502722402</v>
      </c>
      <c r="BK44" s="45">
        <f t="shared" si="74"/>
        <v>70.206905897035739</v>
      </c>
      <c r="BL44" s="42">
        <f t="shared" si="75"/>
        <v>70.69394050497155</v>
      </c>
    </row>
    <row r="45" spans="1:64" x14ac:dyDescent="0.25">
      <c r="A45" s="35">
        <v>2027</v>
      </c>
      <c r="B45" s="57">
        <f t="shared" si="83"/>
        <v>264043.60697400069</v>
      </c>
      <c r="C45" s="57">
        <f t="shared" si="84"/>
        <v>260369.09969267395</v>
      </c>
      <c r="D45" s="57">
        <f t="shared" si="85"/>
        <v>239545.28331651149</v>
      </c>
      <c r="E45" s="57">
        <f t="shared" si="86"/>
        <v>200561.86933502095</v>
      </c>
      <c r="F45" s="57">
        <f t="shared" si="87"/>
        <v>61276.448748019175</v>
      </c>
      <c r="G45" s="57">
        <f t="shared" si="88"/>
        <v>16935.939268389149</v>
      </c>
      <c r="H45" s="42">
        <f t="shared" si="42"/>
        <v>1042732.2473346153</v>
      </c>
      <c r="I45" s="35">
        <f t="shared" si="28"/>
        <v>2027</v>
      </c>
      <c r="J45" s="57">
        <f t="shared" si="90"/>
        <v>333016.71721621661</v>
      </c>
      <c r="K45" s="57">
        <f t="shared" si="90"/>
        <v>334910.41021621594</v>
      </c>
      <c r="L45" s="57">
        <f t="shared" si="89"/>
        <v>284071.52823783772</v>
      </c>
      <c r="M45" s="57">
        <f t="shared" si="89"/>
        <v>267631.95822702703</v>
      </c>
      <c r="N45" s="57">
        <f t="shared" si="89"/>
        <v>73743.942167567526</v>
      </c>
      <c r="O45" s="57">
        <f t="shared" si="89"/>
        <v>21081.391513513521</v>
      </c>
      <c r="P45" s="42">
        <f t="shared" si="44"/>
        <v>1314455.9475783785</v>
      </c>
      <c r="Q45" s="35">
        <f t="shared" si="30"/>
        <v>2027</v>
      </c>
      <c r="R45" s="45">
        <f t="shared" si="76"/>
        <v>52.357447320599157</v>
      </c>
      <c r="S45" s="45">
        <f t="shared" si="45"/>
        <v>54.808600858993948</v>
      </c>
      <c r="T45" s="45">
        <f t="shared" si="46"/>
        <v>44.9359975112136</v>
      </c>
      <c r="U45" s="45">
        <f t="shared" si="47"/>
        <v>59.514327593646243</v>
      </c>
      <c r="V45" s="45">
        <f t="shared" si="48"/>
        <v>46.681911958158985</v>
      </c>
      <c r="W45" s="45">
        <f t="shared" si="49"/>
        <v>50.747192671442512</v>
      </c>
      <c r="X45" s="42">
        <f t="shared" si="50"/>
        <v>52.28147460762294</v>
      </c>
      <c r="Y45" s="35">
        <f t="shared" si="32"/>
        <v>2027</v>
      </c>
      <c r="Z45" s="45">
        <f t="shared" si="51"/>
        <v>66.034188171970285</v>
      </c>
      <c r="AA45" s="45">
        <f t="shared" si="51"/>
        <v>70.499805924470067</v>
      </c>
      <c r="AB45" s="45">
        <f t="shared" si="51"/>
        <v>53.288619626192592</v>
      </c>
      <c r="AC45" s="45">
        <f t="shared" si="51"/>
        <v>79.416571501166644</v>
      </c>
      <c r="AD45" s="45">
        <f t="shared" si="51"/>
        <v>56.179956346201244</v>
      </c>
      <c r="AE45" s="45">
        <f t="shared" si="51"/>
        <v>63.16871004108998</v>
      </c>
      <c r="AF45" s="42">
        <f t="shared" si="52"/>
        <v>66.543436144452173</v>
      </c>
      <c r="AG45" s="35">
        <f t="shared" si="34"/>
        <v>2027</v>
      </c>
      <c r="AH45" s="45">
        <f t="shared" si="53"/>
        <v>49.986337993958792</v>
      </c>
      <c r="AI45" s="45">
        <f t="shared" si="54"/>
        <v>53.447590629353378</v>
      </c>
      <c r="AJ45" s="45">
        <f t="shared" si="55"/>
        <v>44.911999025005414</v>
      </c>
      <c r="AK45" s="45">
        <f t="shared" si="56"/>
        <v>43.829032330205543</v>
      </c>
      <c r="AL45" s="45">
        <f t="shared" si="57"/>
        <v>48.388311498713186</v>
      </c>
      <c r="AM45" s="45">
        <f t="shared" si="58"/>
        <v>53.339424225650113</v>
      </c>
      <c r="AN45" s="42">
        <f t="shared" si="59"/>
        <v>48.461128434762372</v>
      </c>
      <c r="AO45" s="35">
        <f t="shared" si="36"/>
        <v>2027</v>
      </c>
      <c r="AP45" s="45">
        <f t="shared" si="60"/>
        <v>63.043700906750189</v>
      </c>
      <c r="AQ45" s="45">
        <f t="shared" si="91"/>
        <v>68.749150816565901</v>
      </c>
      <c r="AR45" s="45">
        <f t="shared" si="92"/>
        <v>53.260160344681516</v>
      </c>
      <c r="AS45" s="45">
        <f t="shared" si="93"/>
        <v>58.485941463452221</v>
      </c>
      <c r="AT45" s="45">
        <f t="shared" si="94"/>
        <v>58.233545149149954</v>
      </c>
      <c r="AU45" s="45">
        <f t="shared" si="95"/>
        <v>66.395448601137488</v>
      </c>
      <c r="AV45" s="42">
        <f t="shared" si="61"/>
        <v>61.238944207833924</v>
      </c>
      <c r="AW45" s="35">
        <f t="shared" si="38"/>
        <v>2027</v>
      </c>
      <c r="AX45" s="45">
        <f t="shared" si="77"/>
        <v>52.267583913282969</v>
      </c>
      <c r="AY45" s="45">
        <f t="shared" si="78"/>
        <v>57.241011998973768</v>
      </c>
      <c r="AZ45" s="45">
        <f t="shared" si="79"/>
        <v>58.121661739862873</v>
      </c>
      <c r="BA45" s="45">
        <f t="shared" si="80"/>
        <v>50.031547404267464</v>
      </c>
      <c r="BB45" s="45">
        <f t="shared" si="81"/>
        <v>53.020710553324271</v>
      </c>
      <c r="BC45" s="45">
        <f t="shared" si="82"/>
        <v>54.773924854566559</v>
      </c>
      <c r="BD45" s="42">
        <f t="shared" si="68"/>
        <v>54.427086126096945</v>
      </c>
      <c r="BE45" s="35">
        <f t="shared" si="40"/>
        <v>2027</v>
      </c>
      <c r="BF45" s="45">
        <f t="shared" si="69"/>
        <v>65.920850768178312</v>
      </c>
      <c r="BG45" s="45">
        <f t="shared" si="70"/>
        <v>73.628594300919872</v>
      </c>
      <c r="BH45" s="45">
        <f t="shared" si="71"/>
        <v>68.925211323613851</v>
      </c>
      <c r="BI45" s="45">
        <f t="shared" si="72"/>
        <v>66.762645608201566</v>
      </c>
      <c r="BJ45" s="45">
        <f t="shared" si="73"/>
        <v>63.808466264195438</v>
      </c>
      <c r="BK45" s="45">
        <f t="shared" si="74"/>
        <v>68.181075539527271</v>
      </c>
      <c r="BL45" s="42">
        <f t="shared" si="75"/>
        <v>68.623125555988892</v>
      </c>
    </row>
    <row r="46" spans="1:64" x14ac:dyDescent="0.25">
      <c r="A46" s="35">
        <v>2028</v>
      </c>
      <c r="B46" s="57">
        <f t="shared" si="83"/>
        <v>253223.48661152911</v>
      </c>
      <c r="C46" s="57">
        <f t="shared" si="84"/>
        <v>249203.33203055203</v>
      </c>
      <c r="D46" s="57">
        <f t="shared" si="85"/>
        <v>231260.90222825902</v>
      </c>
      <c r="E46" s="57">
        <f t="shared" si="86"/>
        <v>191274.65727890845</v>
      </c>
      <c r="F46" s="57">
        <f t="shared" si="87"/>
        <v>59059.318299225626</v>
      </c>
      <c r="G46" s="57">
        <f t="shared" si="88"/>
        <v>16264.00354957251</v>
      </c>
      <c r="H46" s="42">
        <f t="shared" si="42"/>
        <v>1000285.6999980467</v>
      </c>
      <c r="I46" s="35">
        <f t="shared" si="28"/>
        <v>2028</v>
      </c>
      <c r="J46" s="57">
        <f t="shared" si="90"/>
        <v>322923.02994594636</v>
      </c>
      <c r="K46" s="57">
        <f t="shared" si="90"/>
        <v>324479.97094594565</v>
      </c>
      <c r="L46" s="57">
        <f t="shared" si="89"/>
        <v>276356.07954054041</v>
      </c>
      <c r="M46" s="57">
        <f t="shared" si="89"/>
        <v>258926.20024324325</v>
      </c>
      <c r="N46" s="57">
        <f t="shared" si="89"/>
        <v>71679.108108108063</v>
      </c>
      <c r="O46" s="57">
        <f t="shared" si="89"/>
        <v>20455.01062162163</v>
      </c>
      <c r="P46" s="42">
        <f t="shared" si="44"/>
        <v>1274819.3994054056</v>
      </c>
      <c r="Q46" s="35">
        <f t="shared" si="30"/>
        <v>2028</v>
      </c>
      <c r="R46" s="45">
        <f t="shared" si="76"/>
        <v>50.211915798843997</v>
      </c>
      <c r="S46" s="45">
        <f t="shared" si="45"/>
        <v>52.458167939727218</v>
      </c>
      <c r="T46" s="45">
        <f t="shared" si="46"/>
        <v>43.38194091360662</v>
      </c>
      <c r="U46" s="45">
        <f t="shared" si="47"/>
        <v>56.758458880556681</v>
      </c>
      <c r="V46" s="45">
        <f t="shared" si="48"/>
        <v>44.992847227336455</v>
      </c>
      <c r="W46" s="45">
        <f t="shared" si="49"/>
        <v>48.733790825507839</v>
      </c>
      <c r="X46" s="42">
        <f t="shared" si="50"/>
        <v>50.112124595636068</v>
      </c>
      <c r="Y46" s="35">
        <f t="shared" si="32"/>
        <v>2028</v>
      </c>
      <c r="Z46" s="45">
        <f t="shared" si="51"/>
        <v>64.032701729710723</v>
      </c>
      <c r="AA46" s="45">
        <f t="shared" si="51"/>
        <v>68.304162188623536</v>
      </c>
      <c r="AB46" s="45">
        <f t="shared" si="51"/>
        <v>51.841288338097257</v>
      </c>
      <c r="AC46" s="45">
        <f t="shared" si="51"/>
        <v>76.833242305463742</v>
      </c>
      <c r="AD46" s="45">
        <f t="shared" si="51"/>
        <v>54.606914765931627</v>
      </c>
      <c r="AE46" s="45">
        <f t="shared" si="51"/>
        <v>61.29180960452085</v>
      </c>
      <c r="AF46" s="42">
        <f t="shared" si="52"/>
        <v>64.502988351443221</v>
      </c>
      <c r="AG46" s="35">
        <f t="shared" si="34"/>
        <v>2028</v>
      </c>
      <c r="AH46" s="45">
        <f t="shared" si="53"/>
        <v>47.937971060283786</v>
      </c>
      <c r="AI46" s="45">
        <f t="shared" si="54"/>
        <v>51.155523791268621</v>
      </c>
      <c r="AJ46" s="45">
        <f t="shared" si="55"/>
        <v>43.358772385736735</v>
      </c>
      <c r="AK46" s="45">
        <f t="shared" si="56"/>
        <v>41.799486440877551</v>
      </c>
      <c r="AL46" s="45">
        <f t="shared" si="57"/>
        <v>46.637505096229361</v>
      </c>
      <c r="AM46" s="45">
        <f t="shared" si="58"/>
        <v>51.223175236423721</v>
      </c>
      <c r="AN46" s="42">
        <f t="shared" si="59"/>
        <v>46.483711184199393</v>
      </c>
      <c r="AO46" s="35">
        <f t="shared" si="36"/>
        <v>2028</v>
      </c>
      <c r="AP46" s="45">
        <f t="shared" si="60"/>
        <v>61.132855689631462</v>
      </c>
      <c r="AQ46" s="45">
        <f t="shared" si="91"/>
        <v>66.608029428276126</v>
      </c>
      <c r="AR46" s="45">
        <f t="shared" si="92"/>
        <v>51.813602017283181</v>
      </c>
      <c r="AS46" s="45">
        <f t="shared" si="93"/>
        <v>56.583461448705073</v>
      </c>
      <c r="AT46" s="45">
        <f t="shared" si="94"/>
        <v>56.603002979953075</v>
      </c>
      <c r="AU46" s="45">
        <f t="shared" si="95"/>
        <v>64.422673687978474</v>
      </c>
      <c r="AV46" s="42">
        <f t="shared" si="61"/>
        <v>59.380287366040179</v>
      </c>
      <c r="AW46" s="35">
        <f t="shared" si="38"/>
        <v>2028</v>
      </c>
      <c r="AX46" s="45">
        <f t="shared" si="77"/>
        <v>50.125734862368454</v>
      </c>
      <c r="AY46" s="45">
        <f t="shared" si="78"/>
        <v>54.78626663372237</v>
      </c>
      <c r="AZ46" s="45">
        <f t="shared" si="79"/>
        <v>56.111595047381527</v>
      </c>
      <c r="BA46" s="45">
        <f t="shared" si="80"/>
        <v>47.714788033308899</v>
      </c>
      <c r="BB46" s="45">
        <f t="shared" si="81"/>
        <v>51.10229272418654</v>
      </c>
      <c r="BC46" s="45">
        <f t="shared" si="82"/>
        <v>52.600761855673582</v>
      </c>
      <c r="BD46" s="42">
        <f t="shared" si="68"/>
        <v>52.21453761118341</v>
      </c>
      <c r="BE46" s="35">
        <f t="shared" si="40"/>
        <v>2028</v>
      </c>
      <c r="BF46" s="45">
        <f t="shared" si="69"/>
        <v>63.922799565805391</v>
      </c>
      <c r="BG46" s="45">
        <f t="shared" si="70"/>
        <v>71.335507678395032</v>
      </c>
      <c r="BH46" s="45">
        <f t="shared" si="71"/>
        <v>67.053186572606506</v>
      </c>
      <c r="BI46" s="45">
        <f t="shared" si="72"/>
        <v>64.590933982756994</v>
      </c>
      <c r="BJ46" s="45">
        <f t="shared" si="73"/>
        <v>62.021826025668489</v>
      </c>
      <c r="BK46" s="45">
        <f t="shared" si="74"/>
        <v>66.155245182018788</v>
      </c>
      <c r="BL46" s="42">
        <f t="shared" si="75"/>
        <v>66.552802617172958</v>
      </c>
    </row>
    <row r="47" spans="1:64" x14ac:dyDescent="0.25">
      <c r="A47" s="35">
        <v>2029</v>
      </c>
      <c r="B47" s="57">
        <f t="shared" si="83"/>
        <v>242846.75893710658</v>
      </c>
      <c r="C47" s="57">
        <f t="shared" si="84"/>
        <v>238516.40140259295</v>
      </c>
      <c r="D47" s="57">
        <f t="shared" si="85"/>
        <v>223263.02634296942</v>
      </c>
      <c r="E47" s="57">
        <f t="shared" si="86"/>
        <v>182417.49859266717</v>
      </c>
      <c r="F47" s="57">
        <f t="shared" si="87"/>
        <v>56922.409004356676</v>
      </c>
      <c r="G47" s="57">
        <f t="shared" si="88"/>
        <v>15618.72697277726</v>
      </c>
      <c r="H47" s="42">
        <f t="shared" si="42"/>
        <v>959584.82125247014</v>
      </c>
      <c r="I47" s="35">
        <f t="shared" si="28"/>
        <v>2029</v>
      </c>
      <c r="J47" s="57">
        <f t="shared" si="90"/>
        <v>312829.3426756761</v>
      </c>
      <c r="K47" s="57">
        <f t="shared" si="90"/>
        <v>314049.53167567536</v>
      </c>
      <c r="L47" s="57">
        <f t="shared" si="89"/>
        <v>268640.6308432431</v>
      </c>
      <c r="M47" s="57">
        <f t="shared" si="89"/>
        <v>250220.44225945947</v>
      </c>
      <c r="N47" s="57">
        <f t="shared" si="89"/>
        <v>69614.2740486486</v>
      </c>
      <c r="O47" s="57">
        <f t="shared" si="89"/>
        <v>19828.629729729739</v>
      </c>
      <c r="P47" s="42">
        <f t="shared" si="44"/>
        <v>1235182.8512324325</v>
      </c>
      <c r="Q47" s="35">
        <f t="shared" si="30"/>
        <v>2029</v>
      </c>
      <c r="R47" s="45">
        <f t="shared" si="76"/>
        <v>48.154305017048863</v>
      </c>
      <c r="S47" s="45">
        <f t="shared" si="45"/>
        <v>50.208531881197473</v>
      </c>
      <c r="T47" s="45">
        <f t="shared" si="46"/>
        <v>41.881629465597427</v>
      </c>
      <c r="U47" s="45">
        <f t="shared" si="47"/>
        <v>54.13020334350167</v>
      </c>
      <c r="V47" s="45">
        <f t="shared" si="48"/>
        <v>43.364896952739826</v>
      </c>
      <c r="W47" s="45">
        <f t="shared" si="49"/>
        <v>46.800270974611962</v>
      </c>
      <c r="X47" s="42">
        <f t="shared" si="50"/>
        <v>48.035342906305218</v>
      </c>
      <c r="Y47" s="35">
        <f t="shared" si="32"/>
        <v>2029</v>
      </c>
      <c r="Z47" s="45">
        <f t="shared" si="51"/>
        <v>62.031215287451147</v>
      </c>
      <c r="AA47" s="45">
        <f t="shared" si="51"/>
        <v>66.108518452777005</v>
      </c>
      <c r="AB47" s="45">
        <f t="shared" si="51"/>
        <v>50.393957050001923</v>
      </c>
      <c r="AC47" s="45">
        <f t="shared" si="51"/>
        <v>74.249913109760854</v>
      </c>
      <c r="AD47" s="45">
        <f t="shared" si="51"/>
        <v>53.033873185661996</v>
      </c>
      <c r="AE47" s="45">
        <f t="shared" si="51"/>
        <v>59.414909167951727</v>
      </c>
      <c r="AF47" s="42">
        <f t="shared" si="52"/>
        <v>62.463039226465931</v>
      </c>
      <c r="AG47" s="35">
        <f t="shared" si="34"/>
        <v>2029</v>
      </c>
      <c r="AH47" s="45">
        <f t="shared" si="53"/>
        <v>45.973543204031905</v>
      </c>
      <c r="AI47" s="45">
        <f t="shared" si="54"/>
        <v>48.961750820660136</v>
      </c>
      <c r="AJ47" s="45">
        <f t="shared" si="55"/>
        <v>41.859262192970277</v>
      </c>
      <c r="AK47" s="45">
        <f t="shared" si="56"/>
        <v>39.863920644147889</v>
      </c>
      <c r="AL47" s="45">
        <f t="shared" si="57"/>
        <v>44.950047113312934</v>
      </c>
      <c r="AM47" s="45">
        <f t="shared" si="58"/>
        <v>49.190888716785608</v>
      </c>
      <c r="AN47" s="42">
        <f t="shared" si="59"/>
        <v>44.589255583341824</v>
      </c>
      <c r="AO47" s="35">
        <f t="shared" si="36"/>
        <v>2029</v>
      </c>
      <c r="AP47" s="45">
        <f t="shared" si="60"/>
        <v>59.222010472512721</v>
      </c>
      <c r="AQ47" s="45">
        <f t="shared" si="91"/>
        <v>64.46690803998635</v>
      </c>
      <c r="AR47" s="45">
        <f t="shared" si="92"/>
        <v>50.367043689884824</v>
      </c>
      <c r="AS47" s="45">
        <f t="shared" si="93"/>
        <v>54.680981433957939</v>
      </c>
      <c r="AT47" s="45">
        <f t="shared" si="94"/>
        <v>54.972460810756182</v>
      </c>
      <c r="AU47" s="45">
        <f t="shared" si="95"/>
        <v>62.449898774819466</v>
      </c>
      <c r="AV47" s="42">
        <f t="shared" si="61"/>
        <v>57.522076537342052</v>
      </c>
      <c r="AW47" s="35">
        <f t="shared" si="38"/>
        <v>2029</v>
      </c>
      <c r="AX47" s="45">
        <f t="shared" si="77"/>
        <v>48.071655649151339</v>
      </c>
      <c r="AY47" s="45">
        <f t="shared" si="78"/>
        <v>52.436791503880698</v>
      </c>
      <c r="AZ47" s="45">
        <f t="shared" si="79"/>
        <v>54.171044056744833</v>
      </c>
      <c r="BA47" s="45">
        <f t="shared" si="80"/>
        <v>45.505308454029652</v>
      </c>
      <c r="BB47" s="45">
        <f t="shared" si="81"/>
        <v>49.25328790231984</v>
      </c>
      <c r="BC47" s="45">
        <f t="shared" si="82"/>
        <v>50.513819397526902</v>
      </c>
      <c r="BD47" s="42">
        <f t="shared" si="68"/>
        <v>50.093982238293975</v>
      </c>
      <c r="BE47" s="35">
        <f t="shared" si="40"/>
        <v>2029</v>
      </c>
      <c r="BF47" s="45">
        <f t="shared" si="69"/>
        <v>61.92474836343245</v>
      </c>
      <c r="BG47" s="45">
        <f t="shared" si="70"/>
        <v>69.042421055870179</v>
      </c>
      <c r="BH47" s="45">
        <f t="shared" si="71"/>
        <v>65.181161821599133</v>
      </c>
      <c r="BI47" s="45">
        <f t="shared" si="72"/>
        <v>62.419222357312442</v>
      </c>
      <c r="BJ47" s="45">
        <f t="shared" si="73"/>
        <v>60.235185787141518</v>
      </c>
      <c r="BK47" s="45">
        <f t="shared" si="74"/>
        <v>64.129414824510306</v>
      </c>
      <c r="BL47" s="42">
        <f t="shared" si="75"/>
        <v>64.483019053781405</v>
      </c>
    </row>
    <row r="48" spans="1:64" x14ac:dyDescent="0.25">
      <c r="A48" s="35">
        <v>2030</v>
      </c>
      <c r="B48" s="57">
        <f t="shared" si="83"/>
        <v>232895.25436765738</v>
      </c>
      <c r="C48" s="57">
        <f t="shared" si="84"/>
        <v>228287.77317900464</v>
      </c>
      <c r="D48" s="57">
        <f t="shared" si="85"/>
        <v>215541.74722808143</v>
      </c>
      <c r="E48" s="57">
        <f t="shared" si="86"/>
        <v>173970.47923752855</v>
      </c>
      <c r="F48" s="57">
        <f t="shared" si="87"/>
        <v>54862.818267608585</v>
      </c>
      <c r="G48" s="57">
        <f t="shared" si="88"/>
        <v>14999.051832878618</v>
      </c>
      <c r="H48" s="42">
        <f t="shared" si="42"/>
        <v>920557.12411275913</v>
      </c>
      <c r="I48" s="35">
        <f t="shared" si="28"/>
        <v>2030</v>
      </c>
      <c r="J48" s="57">
        <f t="shared" si="90"/>
        <v>302735.65540540585</v>
      </c>
      <c r="K48" s="57">
        <f t="shared" si="90"/>
        <v>303619.09240540507</v>
      </c>
      <c r="L48" s="57">
        <f t="shared" si="90"/>
        <v>260925.18214594579</v>
      </c>
      <c r="M48" s="57">
        <f t="shared" si="90"/>
        <v>241514.68427567568</v>
      </c>
      <c r="N48" s="57">
        <f t="shared" si="90"/>
        <v>67549.439989189137</v>
      </c>
      <c r="O48" s="57">
        <f t="shared" si="90"/>
        <v>19202.248837837848</v>
      </c>
      <c r="P48" s="42">
        <f t="shared" si="44"/>
        <v>1195546.3030594597</v>
      </c>
      <c r="Q48" s="35">
        <f t="shared" si="30"/>
        <v>2030</v>
      </c>
      <c r="R48" s="45">
        <f t="shared" si="76"/>
        <v>46.181012112036619</v>
      </c>
      <c r="S48" s="45">
        <f t="shared" si="45"/>
        <v>48.055370072429014</v>
      </c>
      <c r="T48" s="45">
        <f t="shared" si="46"/>
        <v>40.433204456821322</v>
      </c>
      <c r="U48" s="45">
        <f t="shared" si="47"/>
        <v>51.623651730483729</v>
      </c>
      <c r="V48" s="45">
        <f t="shared" si="48"/>
        <v>41.79584986520242</v>
      </c>
      <c r="W48" s="45">
        <f t="shared" si="49"/>
        <v>44.943463789619585</v>
      </c>
      <c r="X48" s="42">
        <f t="shared" si="50"/>
        <v>46.047087464987897</v>
      </c>
      <c r="Y48" s="35">
        <f t="shared" si="32"/>
        <v>2030</v>
      </c>
      <c r="Z48" s="45">
        <f t="shared" si="51"/>
        <v>60.029728845191578</v>
      </c>
      <c r="AA48" s="45">
        <f t="shared" si="51"/>
        <v>63.912874716930467</v>
      </c>
      <c r="AB48" s="45">
        <f t="shared" si="51"/>
        <v>48.946625761906596</v>
      </c>
      <c r="AC48" s="45">
        <f t="shared" si="51"/>
        <v>71.666583914057952</v>
      </c>
      <c r="AD48" s="45">
        <f t="shared" si="51"/>
        <v>51.460831605392379</v>
      </c>
      <c r="AE48" s="45">
        <f t="shared" si="51"/>
        <v>57.538008731382597</v>
      </c>
      <c r="AF48" s="42">
        <f t="shared" si="52"/>
        <v>60.42363836729681</v>
      </c>
      <c r="AG48" s="35">
        <f t="shared" si="34"/>
        <v>2030</v>
      </c>
      <c r="AH48" s="45">
        <f t="shared" si="53"/>
        <v>44.089614724726239</v>
      </c>
      <c r="AI48" s="45">
        <f t="shared" si="54"/>
        <v>46.862056445868774</v>
      </c>
      <c r="AJ48" s="45">
        <f t="shared" si="55"/>
        <v>40.411610729002831</v>
      </c>
      <c r="AK48" s="45">
        <f t="shared" si="56"/>
        <v>38.0179831005971</v>
      </c>
      <c r="AL48" s="45">
        <f t="shared" si="57"/>
        <v>43.32364545058843</v>
      </c>
      <c r="AM48" s="45">
        <f t="shared" si="58"/>
        <v>47.239233444211727</v>
      </c>
      <c r="AN48" s="42">
        <f t="shared" si="59"/>
        <v>42.774198841121311</v>
      </c>
      <c r="AO48" s="35">
        <f t="shared" si="36"/>
        <v>2030</v>
      </c>
      <c r="AP48" s="45">
        <f t="shared" si="60"/>
        <v>57.311165255393995</v>
      </c>
      <c r="AQ48" s="45">
        <f t="shared" si="91"/>
        <v>62.325786651696561</v>
      </c>
      <c r="AR48" s="45">
        <f t="shared" si="92"/>
        <v>48.920485362486481</v>
      </c>
      <c r="AS48" s="45">
        <f t="shared" si="93"/>
        <v>52.778501419210798</v>
      </c>
      <c r="AT48" s="45">
        <f t="shared" si="94"/>
        <v>53.341918641559303</v>
      </c>
      <c r="AU48" s="45">
        <f t="shared" si="95"/>
        <v>60.477123861660452</v>
      </c>
      <c r="AV48" s="42">
        <f t="shared" si="61"/>
        <v>55.664356082429265</v>
      </c>
      <c r="AW48" s="35">
        <f t="shared" si="38"/>
        <v>2030</v>
      </c>
      <c r="AX48" s="45">
        <f t="shared" si="77"/>
        <v>46.101749594208222</v>
      </c>
      <c r="AY48" s="45">
        <f t="shared" si="78"/>
        <v>50.188072160569405</v>
      </c>
      <c r="AZ48" s="45">
        <f t="shared" si="79"/>
        <v>52.297604652297771</v>
      </c>
      <c r="BA48" s="45">
        <f t="shared" si="80"/>
        <v>43.398140971533579</v>
      </c>
      <c r="BB48" s="45">
        <f t="shared" si="81"/>
        <v>47.47118455686514</v>
      </c>
      <c r="BC48" s="45">
        <f t="shared" si="82"/>
        <v>48.509676668318853</v>
      </c>
      <c r="BD48" s="42">
        <f t="shared" si="68"/>
        <v>48.061624464164574</v>
      </c>
      <c r="BE48" s="35">
        <f t="shared" si="40"/>
        <v>2030</v>
      </c>
      <c r="BF48" s="45">
        <f t="shared" si="69"/>
        <v>59.926697161059536</v>
      </c>
      <c r="BG48" s="45">
        <f t="shared" si="70"/>
        <v>66.749334433345325</v>
      </c>
      <c r="BH48" s="45">
        <f t="shared" si="71"/>
        <v>63.309137070591781</v>
      </c>
      <c r="BI48" s="45">
        <f t="shared" si="72"/>
        <v>60.24751073186787</v>
      </c>
      <c r="BJ48" s="45">
        <f t="shared" si="73"/>
        <v>58.448545548614575</v>
      </c>
      <c r="BK48" s="45">
        <f t="shared" si="74"/>
        <v>62.103584467001802</v>
      </c>
      <c r="BL48" s="42">
        <f t="shared" si="75"/>
        <v>62.413828512368809</v>
      </c>
    </row>
    <row r="49" spans="1:64" x14ac:dyDescent="0.25">
      <c r="A49" s="35">
        <v>2031</v>
      </c>
      <c r="B49" s="57">
        <f t="shared" si="83"/>
        <v>223351.54788301367</v>
      </c>
      <c r="C49" s="57">
        <f t="shared" si="84"/>
        <v>218497.79334488197</v>
      </c>
      <c r="D49" s="57">
        <f t="shared" si="85"/>
        <v>208087.49912207361</v>
      </c>
      <c r="E49" s="57">
        <f t="shared" si="86"/>
        <v>165914.60731362083</v>
      </c>
      <c r="F49" s="57">
        <f t="shared" si="87"/>
        <v>52877.74851612965</v>
      </c>
      <c r="G49" s="57">
        <f t="shared" si="88"/>
        <v>14403.962389348042</v>
      </c>
      <c r="H49" s="42">
        <f t="shared" si="42"/>
        <v>883133.15856906783</v>
      </c>
      <c r="I49" s="35">
        <f t="shared" si="28"/>
        <v>2031</v>
      </c>
      <c r="J49" s="57">
        <f t="shared" si="90"/>
        <v>292641.9681351356</v>
      </c>
      <c r="K49" s="57">
        <f t="shared" si="90"/>
        <v>293188.65313513478</v>
      </c>
      <c r="L49" s="57">
        <f t="shared" si="90"/>
        <v>253209.73344864848</v>
      </c>
      <c r="M49" s="57">
        <f t="shared" si="90"/>
        <v>232808.9262918919</v>
      </c>
      <c r="N49" s="57">
        <f t="shared" si="90"/>
        <v>65484.605929729674</v>
      </c>
      <c r="O49" s="57">
        <f t="shared" si="90"/>
        <v>18575.867945945956</v>
      </c>
      <c r="P49" s="42">
        <f t="shared" si="44"/>
        <v>1155909.7548864866</v>
      </c>
      <c r="Q49" s="35">
        <f t="shared" si="30"/>
        <v>2031</v>
      </c>
      <c r="R49" s="45">
        <f t="shared" si="76"/>
        <v>44.28858186068728</v>
      </c>
      <c r="S49" s="45">
        <f t="shared" si="45"/>
        <v>45.994545274942006</v>
      </c>
      <c r="T49" s="45">
        <f t="shared" si="46"/>
        <v>39.034871458141701</v>
      </c>
      <c r="U49" s="45">
        <f t="shared" si="47"/>
        <v>49.233168423155561</v>
      </c>
      <c r="V49" s="45">
        <f t="shared" si="48"/>
        <v>40.283574704636109</v>
      </c>
      <c r="W49" s="45">
        <f t="shared" si="49"/>
        <v>43.160325684964583</v>
      </c>
      <c r="X49" s="42">
        <f t="shared" si="50"/>
        <v>44.143495925598295</v>
      </c>
      <c r="Y49" s="35">
        <f t="shared" si="32"/>
        <v>2031</v>
      </c>
      <c r="Z49" s="45">
        <f t="shared" si="51"/>
        <v>58.028242402932008</v>
      </c>
      <c r="AA49" s="45">
        <f t="shared" si="51"/>
        <v>61.717230981083937</v>
      </c>
      <c r="AB49" s="45">
        <f t="shared" si="51"/>
        <v>47.499294473811261</v>
      </c>
      <c r="AC49" s="45">
        <f t="shared" si="51"/>
        <v>69.083254718355064</v>
      </c>
      <c r="AD49" s="45">
        <f t="shared" si="51"/>
        <v>49.887790025122754</v>
      </c>
      <c r="AE49" s="45">
        <f t="shared" si="51"/>
        <v>55.661108294813474</v>
      </c>
      <c r="AF49" s="42">
        <f t="shared" si="52"/>
        <v>58.384842174612551</v>
      </c>
      <c r="AG49" s="35">
        <f t="shared" si="34"/>
        <v>2031</v>
      </c>
      <c r="AH49" s="45">
        <f t="shared" si="53"/>
        <v>42.282886875778509</v>
      </c>
      <c r="AI49" s="45">
        <f t="shared" si="54"/>
        <v>44.852406164551091</v>
      </c>
      <c r="AJ49" s="45">
        <f t="shared" si="55"/>
        <v>39.01402452302932</v>
      </c>
      <c r="AK49" s="45">
        <f t="shared" si="56"/>
        <v>36.257523486954611</v>
      </c>
      <c r="AL49" s="45">
        <f t="shared" si="57"/>
        <v>41.756090942391829</v>
      </c>
      <c r="AM49" s="45">
        <f t="shared" si="58"/>
        <v>45.365010362889677</v>
      </c>
      <c r="AN49" s="42">
        <f t="shared" si="59"/>
        <v>41.035134054601166</v>
      </c>
      <c r="AO49" s="35">
        <f t="shared" si="36"/>
        <v>2031</v>
      </c>
      <c r="AP49" s="45">
        <f t="shared" si="60"/>
        <v>55.400320038275261</v>
      </c>
      <c r="AQ49" s="45">
        <f t="shared" si="91"/>
        <v>60.184665263406778</v>
      </c>
      <c r="AR49" s="45">
        <f t="shared" si="92"/>
        <v>47.473927035088138</v>
      </c>
      <c r="AS49" s="45">
        <f t="shared" si="93"/>
        <v>50.876021404463664</v>
      </c>
      <c r="AT49" s="45">
        <f t="shared" si="94"/>
        <v>51.711376472362417</v>
      </c>
      <c r="AU49" s="45">
        <f t="shared" si="95"/>
        <v>58.504348948501438</v>
      </c>
      <c r="AV49" s="42">
        <f t="shared" si="61"/>
        <v>53.807176446565641</v>
      </c>
      <c r="AW49" s="35">
        <f t="shared" si="38"/>
        <v>2031</v>
      </c>
      <c r="AX49" s="45">
        <f t="shared" si="77"/>
        <v>44.212567404771704</v>
      </c>
      <c r="AY49" s="45">
        <f t="shared" si="78"/>
        <v>48.035787754254756</v>
      </c>
      <c r="AZ49" s="45">
        <f t="shared" si="79"/>
        <v>50.488955861789364</v>
      </c>
      <c r="BA49" s="45">
        <f t="shared" si="80"/>
        <v>41.38854792485909</v>
      </c>
      <c r="BB49" s="45">
        <f t="shared" si="81"/>
        <v>45.753562030237795</v>
      </c>
      <c r="BC49" s="45">
        <f t="shared" si="82"/>
        <v>46.585048577420537</v>
      </c>
      <c r="BD49" s="42">
        <f t="shared" si="68"/>
        <v>46.113834215303292</v>
      </c>
      <c r="BE49" s="35">
        <f t="shared" si="40"/>
        <v>2031</v>
      </c>
      <c r="BF49" s="45">
        <f t="shared" si="69"/>
        <v>57.928645958686609</v>
      </c>
      <c r="BG49" s="45">
        <f t="shared" si="70"/>
        <v>64.456247810820471</v>
      </c>
      <c r="BH49" s="45">
        <f t="shared" si="71"/>
        <v>61.437112319584429</v>
      </c>
      <c r="BI49" s="45">
        <f t="shared" si="72"/>
        <v>58.075799106423318</v>
      </c>
      <c r="BJ49" s="45">
        <f t="shared" si="73"/>
        <v>56.661905310087626</v>
      </c>
      <c r="BK49" s="45">
        <f t="shared" si="74"/>
        <v>60.077754109493306</v>
      </c>
      <c r="BL49" s="42">
        <f t="shared" si="75"/>
        <v>60.345291997725923</v>
      </c>
    </row>
    <row r="50" spans="1:64" x14ac:dyDescent="0.25">
      <c r="A50" s="35">
        <v>2032</v>
      </c>
      <c r="B50" s="57">
        <f t="shared" si="83"/>
        <v>214198.92851481779</v>
      </c>
      <c r="C50" s="57">
        <f t="shared" si="84"/>
        <v>209127.65073558246</v>
      </c>
      <c r="D50" s="57">
        <f t="shared" si="85"/>
        <v>200891.04708360496</v>
      </c>
      <c r="E50" s="57">
        <f t="shared" si="86"/>
        <v>158231.7703594323</v>
      </c>
      <c r="F50" s="57">
        <f t="shared" si="87"/>
        <v>50964.50340003521</v>
      </c>
      <c r="G50" s="57">
        <f t="shared" si="88"/>
        <v>13832.483201302099</v>
      </c>
      <c r="H50" s="42">
        <f t="shared" si="42"/>
        <v>847246.38329477492</v>
      </c>
      <c r="I50" s="35">
        <f t="shared" si="28"/>
        <v>2032</v>
      </c>
      <c r="J50" s="57">
        <f t="shared" si="90"/>
        <v>282548.28086486534</v>
      </c>
      <c r="K50" s="57">
        <f t="shared" si="90"/>
        <v>282758.21386486449</v>
      </c>
      <c r="L50" s="57">
        <f t="shared" si="90"/>
        <v>245494.28475135117</v>
      </c>
      <c r="M50" s="57">
        <f t="shared" si="90"/>
        <v>224103.16830810811</v>
      </c>
      <c r="N50" s="57">
        <f t="shared" si="90"/>
        <v>63419.771870270211</v>
      </c>
      <c r="O50" s="57">
        <f t="shared" si="90"/>
        <v>17949.487054054065</v>
      </c>
      <c r="P50" s="42">
        <f t="shared" si="44"/>
        <v>1116273.2067135135</v>
      </c>
      <c r="Q50" s="35">
        <f t="shared" si="30"/>
        <v>2032</v>
      </c>
      <c r="R50" s="45">
        <f t="shared" si="76"/>
        <v>42.473700629864688</v>
      </c>
      <c r="S50" s="45">
        <f t="shared" si="45"/>
        <v>44.022097673167707</v>
      </c>
      <c r="T50" s="45">
        <f t="shared" si="46"/>
        <v>37.684898098562279</v>
      </c>
      <c r="U50" s="45">
        <f t="shared" si="47"/>
        <v>46.953378765948237</v>
      </c>
      <c r="V50" s="45">
        <f t="shared" si="48"/>
        <v>38.826017325108864</v>
      </c>
      <c r="W50" s="45">
        <f t="shared" si="49"/>
        <v>41.447933829756579</v>
      </c>
      <c r="X50" s="42">
        <f t="shared" si="50"/>
        <v>42.320877567557766</v>
      </c>
      <c r="Y50" s="35">
        <f t="shared" si="32"/>
        <v>2032</v>
      </c>
      <c r="Z50" s="45">
        <f t="shared" si="51"/>
        <v>56.026755960672439</v>
      </c>
      <c r="AA50" s="45">
        <f t="shared" si="51"/>
        <v>59.521587245237406</v>
      </c>
      <c r="AB50" s="45">
        <f t="shared" si="51"/>
        <v>46.051963185715927</v>
      </c>
      <c r="AC50" s="45">
        <f t="shared" si="51"/>
        <v>66.499925522652163</v>
      </c>
      <c r="AD50" s="45">
        <f t="shared" si="51"/>
        <v>48.31474844485313</v>
      </c>
      <c r="AE50" s="45">
        <f t="shared" si="51"/>
        <v>53.784207858244351</v>
      </c>
      <c r="AF50" s="42">
        <f t="shared" si="52"/>
        <v>56.346715059774425</v>
      </c>
      <c r="AG50" s="35">
        <f t="shared" si="34"/>
        <v>2032</v>
      </c>
      <c r="AH50" s="45">
        <f t="shared" si="53"/>
        <v>40.550196088405109</v>
      </c>
      <c r="AI50" s="45">
        <f t="shared" si="54"/>
        <v>42.928938491499139</v>
      </c>
      <c r="AJ50" s="45">
        <f t="shared" si="55"/>
        <v>37.664772129242259</v>
      </c>
      <c r="AK50" s="45">
        <f t="shared" si="56"/>
        <v>34.578583664697838</v>
      </c>
      <c r="AL50" s="45">
        <f t="shared" si="57"/>
        <v>40.245254356027772</v>
      </c>
      <c r="AM50" s="45">
        <f t="shared" si="58"/>
        <v>43.56514733998619</v>
      </c>
      <c r="AN50" s="42">
        <f t="shared" si="59"/>
        <v>39.36880328835602</v>
      </c>
      <c r="AO50" s="35">
        <f t="shared" si="36"/>
        <v>2032</v>
      </c>
      <c r="AP50" s="45">
        <f t="shared" si="60"/>
        <v>53.489474821156527</v>
      </c>
      <c r="AQ50" s="45">
        <f t="shared" si="91"/>
        <v>58.043543875116995</v>
      </c>
      <c r="AR50" s="45">
        <f t="shared" si="92"/>
        <v>46.027368707689789</v>
      </c>
      <c r="AS50" s="45">
        <f t="shared" si="93"/>
        <v>48.973541389716523</v>
      </c>
      <c r="AT50" s="45">
        <f t="shared" si="94"/>
        <v>50.080834303165531</v>
      </c>
      <c r="AU50" s="45">
        <f t="shared" si="95"/>
        <v>56.531574035342437</v>
      </c>
      <c r="AV50" s="42">
        <f t="shared" si="61"/>
        <v>51.950595239842038</v>
      </c>
      <c r="AW50" s="35">
        <f t="shared" si="38"/>
        <v>2032</v>
      </c>
      <c r="AX50" s="45">
        <f t="shared" si="77"/>
        <v>42.400801135041036</v>
      </c>
      <c r="AY50" s="45">
        <f t="shared" si="78"/>
        <v>45.975802732360478</v>
      </c>
      <c r="AZ50" s="45">
        <f t="shared" si="79"/>
        <v>48.742856980959544</v>
      </c>
      <c r="BA50" s="45">
        <f t="shared" si="80"/>
        <v>39.472011035034527</v>
      </c>
      <c r="BB50" s="45">
        <f t="shared" si="81"/>
        <v>44.098087250112194</v>
      </c>
      <c r="BC50" s="45">
        <f t="shared" si="82"/>
        <v>44.736780370625382</v>
      </c>
      <c r="BD50" s="42">
        <f t="shared" si="68"/>
        <v>44.247140816148416</v>
      </c>
      <c r="BE50" s="35">
        <f t="shared" si="40"/>
        <v>2032</v>
      </c>
      <c r="BF50" s="45">
        <f t="shared" si="69"/>
        <v>55.930594756313681</v>
      </c>
      <c r="BG50" s="45">
        <f t="shared" si="70"/>
        <v>62.163161188295611</v>
      </c>
      <c r="BH50" s="45">
        <f t="shared" si="71"/>
        <v>59.56508756857707</v>
      </c>
      <c r="BI50" s="45">
        <f t="shared" si="72"/>
        <v>55.904087480978745</v>
      </c>
      <c r="BJ50" s="45">
        <f t="shared" si="73"/>
        <v>54.875265071560662</v>
      </c>
      <c r="BK50" s="45">
        <f t="shared" si="74"/>
        <v>58.051923751984837</v>
      </c>
      <c r="BL50" s="42">
        <f t="shared" si="75"/>
        <v>58.277479179258229</v>
      </c>
    </row>
    <row r="51" spans="1:64" x14ac:dyDescent="0.25">
      <c r="A51" s="35">
        <v>2033</v>
      </c>
      <c r="B51" s="57">
        <f t="shared" si="83"/>
        <v>205421.37008572472</v>
      </c>
      <c r="C51" s="57">
        <f t="shared" si="84"/>
        <v>200159.34089161447</v>
      </c>
      <c r="D51" s="57">
        <f t="shared" si="85"/>
        <v>193943.47555050295</v>
      </c>
      <c r="E51" s="57">
        <f t="shared" si="86"/>
        <v>150904.69462856432</v>
      </c>
      <c r="F51" s="57">
        <f t="shared" si="87"/>
        <v>49120.484129915334</v>
      </c>
      <c r="G51" s="57">
        <f t="shared" si="88"/>
        <v>13283.677528608512</v>
      </c>
      <c r="H51" s="42">
        <f t="shared" si="42"/>
        <v>812833.04281493032</v>
      </c>
      <c r="I51" s="35">
        <f t="shared" si="28"/>
        <v>2033</v>
      </c>
      <c r="J51" s="57">
        <f t="shared" si="90"/>
        <v>272454.59359459509</v>
      </c>
      <c r="K51" s="57">
        <f t="shared" si="90"/>
        <v>272327.7745945942</v>
      </c>
      <c r="L51" s="57">
        <f t="shared" si="90"/>
        <v>237778.83605405386</v>
      </c>
      <c r="M51" s="57">
        <f t="shared" si="90"/>
        <v>215397.41032432433</v>
      </c>
      <c r="N51" s="57">
        <f t="shared" si="90"/>
        <v>61354.937810810748</v>
      </c>
      <c r="O51" s="57">
        <f t="shared" si="90"/>
        <v>17323.106162162174</v>
      </c>
      <c r="P51" s="42">
        <f t="shared" si="44"/>
        <v>1076636.6585405406</v>
      </c>
      <c r="Q51" s="35">
        <f t="shared" si="30"/>
        <v>2033</v>
      </c>
      <c r="R51" s="45">
        <f t="shared" si="76"/>
        <v>40.733190574266281</v>
      </c>
      <c r="S51" s="45">
        <f t="shared" si="45"/>
        <v>42.134237265776747</v>
      </c>
      <c r="T51" s="45">
        <f t="shared" si="46"/>
        <v>36.381611919022085</v>
      </c>
      <c r="U51" s="45">
        <f t="shared" si="47"/>
        <v>44.779156981936431</v>
      </c>
      <c r="V51" s="45">
        <f t="shared" si="48"/>
        <v>37.421197904667707</v>
      </c>
      <c r="W51" s="45">
        <f t="shared" si="49"/>
        <v>39.803481356822616</v>
      </c>
      <c r="X51" s="42">
        <f t="shared" si="50"/>
        <v>40.575705561927904</v>
      </c>
      <c r="Y51" s="35">
        <f t="shared" si="32"/>
        <v>2033</v>
      </c>
      <c r="Z51" s="45">
        <f t="shared" si="51"/>
        <v>54.02526951841287</v>
      </c>
      <c r="AA51" s="45">
        <f t="shared" si="51"/>
        <v>57.325943509390875</v>
      </c>
      <c r="AB51" s="45">
        <f t="shared" si="51"/>
        <v>44.604631897620592</v>
      </c>
      <c r="AC51" s="45">
        <f t="shared" si="51"/>
        <v>63.916596326949261</v>
      </c>
      <c r="AD51" s="45">
        <f t="shared" si="51"/>
        <v>46.741706864583506</v>
      </c>
      <c r="AE51" s="45">
        <f t="shared" si="51"/>
        <v>51.90730742167522</v>
      </c>
      <c r="AF51" s="42">
        <f t="shared" si="52"/>
        <v>54.309330919401276</v>
      </c>
      <c r="AG51" s="35">
        <f t="shared" si="34"/>
        <v>2033</v>
      </c>
      <c r="AH51" s="45">
        <f t="shared" si="53"/>
        <v>38.888508432238638</v>
      </c>
      <c r="AI51" s="45">
        <f t="shared" si="54"/>
        <v>41.087957538907666</v>
      </c>
      <c r="AJ51" s="45">
        <f t="shared" si="55"/>
        <v>36.362181981772949</v>
      </c>
      <c r="AK51" s="45">
        <f t="shared" si="56"/>
        <v>32.977388780750864</v>
      </c>
      <c r="AL51" s="45">
        <f t="shared" si="57"/>
        <v>38.789083499601062</v>
      </c>
      <c r="AM51" s="45">
        <f t="shared" si="58"/>
        <v>41.836694129960563</v>
      </c>
      <c r="AN51" s="42">
        <f t="shared" si="59"/>
        <v>37.772090964558267</v>
      </c>
      <c r="AO51" s="35">
        <f t="shared" si="36"/>
        <v>2033</v>
      </c>
      <c r="AP51" s="45">
        <f t="shared" si="60"/>
        <v>51.578629604037793</v>
      </c>
      <c r="AQ51" s="45">
        <f t="shared" si="91"/>
        <v>55.90242248682722</v>
      </c>
      <c r="AR51" s="45">
        <f t="shared" si="92"/>
        <v>44.580810380291439</v>
      </c>
      <c r="AS51" s="45">
        <f t="shared" si="93"/>
        <v>47.071061374969382</v>
      </c>
      <c r="AT51" s="45">
        <f t="shared" si="94"/>
        <v>48.450292133968645</v>
      </c>
      <c r="AU51" s="45">
        <f t="shared" si="95"/>
        <v>54.558799122183423</v>
      </c>
      <c r="AV51" s="42">
        <f t="shared" si="61"/>
        <v>50.094678556047597</v>
      </c>
      <c r="AW51" s="35">
        <f t="shared" si="38"/>
        <v>2033</v>
      </c>
      <c r="AX51" s="45">
        <f t="shared" si="77"/>
        <v>40.663278393990382</v>
      </c>
      <c r="AY51" s="45">
        <f t="shared" si="78"/>
        <v>44.00415889292244</v>
      </c>
      <c r="AZ51" s="45">
        <f t="shared" si="79"/>
        <v>47.057144797568704</v>
      </c>
      <c r="BA51" s="45">
        <f t="shared" si="80"/>
        <v>37.644221246382173</v>
      </c>
      <c r="BB51" s="45">
        <f t="shared" si="81"/>
        <v>42.502511560374806</v>
      </c>
      <c r="BC51" s="45">
        <f t="shared" si="82"/>
        <v>42.961842459033697</v>
      </c>
      <c r="BD51" s="42">
        <f t="shared" si="68"/>
        <v>42.458227378966136</v>
      </c>
      <c r="BE51" s="35">
        <f t="shared" si="40"/>
        <v>2033</v>
      </c>
      <c r="BF51" s="45">
        <f t="shared" si="69"/>
        <v>53.932543553940761</v>
      </c>
      <c r="BG51" s="45">
        <f t="shared" si="70"/>
        <v>59.870074565770771</v>
      </c>
      <c r="BH51" s="45">
        <f t="shared" si="71"/>
        <v>57.693062817569704</v>
      </c>
      <c r="BI51" s="45">
        <f t="shared" si="72"/>
        <v>53.732375855534187</v>
      </c>
      <c r="BJ51" s="45">
        <f t="shared" si="73"/>
        <v>53.088624833033705</v>
      </c>
      <c r="BK51" s="45">
        <f t="shared" si="74"/>
        <v>56.026093394476341</v>
      </c>
      <c r="BL51" s="42">
        <f t="shared" si="75"/>
        <v>56.210469985931766</v>
      </c>
    </row>
    <row r="52" spans="1:64" x14ac:dyDescent="0.25">
      <c r="A52" s="35">
        <v>2034</v>
      </c>
      <c r="B52" s="57">
        <f t="shared" si="83"/>
        <v>197003.50314766922</v>
      </c>
      <c r="C52" s="57">
        <f t="shared" si="84"/>
        <v>191575.63146358627</v>
      </c>
      <c r="D52" s="57">
        <f t="shared" si="85"/>
        <v>187236.17729442497</v>
      </c>
      <c r="E52" s="57">
        <f t="shared" si="86"/>
        <v>143916.90625221387</v>
      </c>
      <c r="F52" s="57">
        <f t="shared" si="87"/>
        <v>47343.185946860365</v>
      </c>
      <c r="G52" s="57">
        <f t="shared" si="88"/>
        <v>12756.645796428536</v>
      </c>
      <c r="H52" s="42">
        <f t="shared" si="42"/>
        <v>779832.04990118323</v>
      </c>
      <c r="I52" s="35">
        <f t="shared" si="28"/>
        <v>2034</v>
      </c>
      <c r="J52" s="57">
        <f t="shared" si="90"/>
        <v>262360.90632432484</v>
      </c>
      <c r="K52" s="57">
        <f t="shared" si="90"/>
        <v>261897.33532432394</v>
      </c>
      <c r="L52" s="57">
        <f t="shared" si="90"/>
        <v>230063.38735675655</v>
      </c>
      <c r="M52" s="57">
        <f t="shared" si="90"/>
        <v>206691.65234054055</v>
      </c>
      <c r="N52" s="57">
        <f t="shared" si="90"/>
        <v>59290.103751351286</v>
      </c>
      <c r="O52" s="57">
        <f t="shared" si="90"/>
        <v>16696.725270270283</v>
      </c>
      <c r="P52" s="42">
        <f t="shared" si="44"/>
        <v>1037000.1103675674</v>
      </c>
      <c r="Q52" s="35">
        <f t="shared" si="30"/>
        <v>2034</v>
      </c>
      <c r="R52" s="45">
        <f t="shared" si="76"/>
        <v>39.064004072036553</v>
      </c>
      <c r="S52" s="45">
        <f t="shared" si="45"/>
        <v>40.327336583300649</v>
      </c>
      <c r="T52" s="45">
        <f t="shared" si="46"/>
        <v>35.12339830041433</v>
      </c>
      <c r="U52" s="45">
        <f t="shared" si="47"/>
        <v>42.705614648271236</v>
      </c>
      <c r="V52" s="45">
        <f t="shared" si="48"/>
        <v>36.06720825611697</v>
      </c>
      <c r="W52" s="45">
        <f t="shared" si="49"/>
        <v>38.22427276183069</v>
      </c>
      <c r="X52" s="42">
        <f t="shared" si="50"/>
        <v>38.904609589770743</v>
      </c>
      <c r="Y52" s="35">
        <f t="shared" si="32"/>
        <v>2034</v>
      </c>
      <c r="Z52" s="45">
        <f t="shared" si="51"/>
        <v>52.023783076153286</v>
      </c>
      <c r="AA52" s="45">
        <f t="shared" si="51"/>
        <v>55.130299773544344</v>
      </c>
      <c r="AB52" s="45">
        <f t="shared" si="51"/>
        <v>43.157300609525265</v>
      </c>
      <c r="AC52" s="45">
        <f t="shared" si="51"/>
        <v>61.333267131246359</v>
      </c>
      <c r="AD52" s="45">
        <f t="shared" si="51"/>
        <v>45.168665284313882</v>
      </c>
      <c r="AE52" s="45">
        <f t="shared" si="51"/>
        <v>50.03040698510609</v>
      </c>
      <c r="AF52" s="42">
        <f t="shared" si="52"/>
        <v>52.27277494811235</v>
      </c>
      <c r="AG52" s="35">
        <f t="shared" si="34"/>
        <v>2034</v>
      </c>
      <c r="AH52" s="45">
        <f t="shared" si="53"/>
        <v>37.294914302935425</v>
      </c>
      <c r="AI52" s="45">
        <f t="shared" si="54"/>
        <v>39.325925914832112</v>
      </c>
      <c r="AJ52" s="45">
        <f t="shared" si="55"/>
        <v>35.104640323816909</v>
      </c>
      <c r="AK52" s="45">
        <f t="shared" si="56"/>
        <v>31.450338780273935</v>
      </c>
      <c r="AL52" s="45">
        <f t="shared" si="57"/>
        <v>37.38560043449376</v>
      </c>
      <c r="AM52" s="45">
        <f t="shared" si="58"/>
        <v>40.176817538669454</v>
      </c>
      <c r="AN52" s="42">
        <f t="shared" si="59"/>
        <v>36.242017549699248</v>
      </c>
      <c r="AO52" s="35">
        <f t="shared" si="36"/>
        <v>2034</v>
      </c>
      <c r="AP52" s="45">
        <f t="shared" si="60"/>
        <v>49.667784386919045</v>
      </c>
      <c r="AQ52" s="45">
        <f t="shared" si="91"/>
        <v>53.761301098537437</v>
      </c>
      <c r="AR52" s="45">
        <f t="shared" si="92"/>
        <v>43.134252052893096</v>
      </c>
      <c r="AS52" s="45">
        <f t="shared" si="93"/>
        <v>45.168581360222234</v>
      </c>
      <c r="AT52" s="45">
        <f t="shared" si="94"/>
        <v>46.819749964771759</v>
      </c>
      <c r="AU52" s="45">
        <f t="shared" si="95"/>
        <v>52.586024209024409</v>
      </c>
      <c r="AV52" s="42">
        <f t="shared" si="61"/>
        <v>48.239502594002872</v>
      </c>
      <c r="AW52" s="35">
        <f t="shared" si="38"/>
        <v>2034</v>
      </c>
      <c r="AX52" s="45">
        <f t="shared" si="77"/>
        <v>38.996956790532707</v>
      </c>
      <c r="AY52" s="45">
        <f t="shared" si="78"/>
        <v>42.117067779017532</v>
      </c>
      <c r="AZ52" s="45">
        <f t="shared" si="79"/>
        <v>45.429730911430759</v>
      </c>
      <c r="BA52" s="45">
        <f t="shared" si="80"/>
        <v>35.901069038230524</v>
      </c>
      <c r="BB52" s="45">
        <f t="shared" si="81"/>
        <v>40.964667666741001</v>
      </c>
      <c r="BC52" s="45">
        <f t="shared" si="82"/>
        <v>41.257325453101863</v>
      </c>
      <c r="BD52" s="42">
        <f t="shared" si="68"/>
        <v>40.743925688250762</v>
      </c>
      <c r="BE52" s="35">
        <f t="shared" si="40"/>
        <v>2034</v>
      </c>
      <c r="BF52" s="45">
        <f t="shared" si="69"/>
        <v>51.934492351567819</v>
      </c>
      <c r="BG52" s="45">
        <f t="shared" si="70"/>
        <v>57.576987943245925</v>
      </c>
      <c r="BH52" s="45">
        <f t="shared" si="71"/>
        <v>55.821038066562345</v>
      </c>
      <c r="BI52" s="45">
        <f t="shared" si="72"/>
        <v>51.560664230089614</v>
      </c>
      <c r="BJ52" s="45">
        <f t="shared" si="73"/>
        <v>51.301984594506756</v>
      </c>
      <c r="BK52" s="45">
        <f t="shared" si="74"/>
        <v>54.000263036967844</v>
      </c>
      <c r="BL52" s="42">
        <f t="shared" si="75"/>
        <v>54.144356566994098</v>
      </c>
    </row>
    <row r="53" spans="1:64" x14ac:dyDescent="0.25">
      <c r="A53" s="35">
        <v>2035</v>
      </c>
      <c r="B53" s="57">
        <f t="shared" si="83"/>
        <v>188930.58807006152</v>
      </c>
      <c r="C53" s="57">
        <f t="shared" si="84"/>
        <v>183360.02910074228</v>
      </c>
      <c r="D53" s="57">
        <f t="shared" si="85"/>
        <v>180760.84275750944</v>
      </c>
      <c r="E53" s="57">
        <f t="shared" si="86"/>
        <v>137252.6942000649</v>
      </c>
      <c r="F53" s="57">
        <f t="shared" si="87"/>
        <v>45630.194720209489</v>
      </c>
      <c r="G53" s="57">
        <f t="shared" si="88"/>
        <v>12250.524120678823</v>
      </c>
      <c r="H53" s="42">
        <f t="shared" si="42"/>
        <v>748184.87296926638</v>
      </c>
      <c r="I53" s="35">
        <f t="shared" si="28"/>
        <v>2035</v>
      </c>
      <c r="J53" s="57">
        <f t="shared" si="90"/>
        <v>252267.21905405456</v>
      </c>
      <c r="K53" s="57">
        <f t="shared" si="90"/>
        <v>251466.89605405368</v>
      </c>
      <c r="L53" s="57">
        <f t="shared" si="90"/>
        <v>222347.93865945924</v>
      </c>
      <c r="M53" s="57">
        <f t="shared" si="90"/>
        <v>197985.89435675676</v>
      </c>
      <c r="N53" s="57">
        <f t="shared" si="90"/>
        <v>57225.269691891823</v>
      </c>
      <c r="O53" s="57">
        <f t="shared" si="90"/>
        <v>16070.344378378391</v>
      </c>
      <c r="P53" s="42">
        <f t="shared" si="44"/>
        <v>997363.56219459441</v>
      </c>
      <c r="Q53" s="35">
        <f t="shared" si="30"/>
        <v>2035</v>
      </c>
      <c r="R53" s="45">
        <f t="shared" si="76"/>
        <v>37.46321838840084</v>
      </c>
      <c r="S53" s="45">
        <f t="shared" si="45"/>
        <v>38.597923718053515</v>
      </c>
      <c r="T53" s="45">
        <f t="shared" si="46"/>
        <v>33.908698463262269</v>
      </c>
      <c r="U53" s="45">
        <f t="shared" si="47"/>
        <v>40.728089705269191</v>
      </c>
      <c r="V53" s="45">
        <f t="shared" si="48"/>
        <v>34.762209235099121</v>
      </c>
      <c r="W53" s="45">
        <f t="shared" si="49"/>
        <v>36.70771948495377</v>
      </c>
      <c r="X53" s="42">
        <f t="shared" si="50"/>
        <v>37.304368796563722</v>
      </c>
      <c r="Y53" s="35">
        <f t="shared" si="32"/>
        <v>2035</v>
      </c>
      <c r="Z53" s="45">
        <f t="shared" si="51"/>
        <v>50.022296633893717</v>
      </c>
      <c r="AA53" s="45">
        <f t="shared" si="51"/>
        <v>52.934656037697827</v>
      </c>
      <c r="AB53" s="45">
        <f t="shared" si="51"/>
        <v>41.709969321429931</v>
      </c>
      <c r="AC53" s="45">
        <f t="shared" si="51"/>
        <v>58.749937935543464</v>
      </c>
      <c r="AD53" s="45">
        <f t="shared" si="51"/>
        <v>43.595623704044257</v>
      </c>
      <c r="AE53" s="45">
        <f t="shared" si="51"/>
        <v>48.153506548536967</v>
      </c>
      <c r="AF53" s="42">
        <f t="shared" si="52"/>
        <v>50.237145883514586</v>
      </c>
      <c r="AG53" s="35">
        <f t="shared" si="34"/>
        <v>2035</v>
      </c>
      <c r="AH53" s="45">
        <f t="shared" si="53"/>
        <v>35.766623327477127</v>
      </c>
      <c r="AI53" s="45">
        <f t="shared" si="54"/>
        <v>37.639457926191646</v>
      </c>
      <c r="AJ53" s="45">
        <f t="shared" si="55"/>
        <v>33.890589208378032</v>
      </c>
      <c r="AK53" s="45">
        <f t="shared" si="56"/>
        <v>29.994000312461388</v>
      </c>
      <c r="AL53" s="45">
        <f t="shared" si="57"/>
        <v>36.03289878870158</v>
      </c>
      <c r="AM53" s="45">
        <f t="shared" si="58"/>
        <v>38.582796779336711</v>
      </c>
      <c r="AN53" s="42">
        <f t="shared" si="59"/>
        <v>34.775733524514244</v>
      </c>
      <c r="AO53" s="35">
        <f t="shared" si="36"/>
        <v>2035</v>
      </c>
      <c r="AP53" s="45">
        <f t="shared" si="60"/>
        <v>47.756939169800319</v>
      </c>
      <c r="AQ53" s="45">
        <f t="shared" si="91"/>
        <v>51.620179710247683</v>
      </c>
      <c r="AR53" s="45">
        <f t="shared" si="92"/>
        <v>41.687693725494753</v>
      </c>
      <c r="AS53" s="45">
        <f t="shared" si="93"/>
        <v>43.2661013454751</v>
      </c>
      <c r="AT53" s="45">
        <f t="shared" si="94"/>
        <v>45.189207795574873</v>
      </c>
      <c r="AU53" s="45">
        <f t="shared" si="95"/>
        <v>50.613249295865401</v>
      </c>
      <c r="AV53" s="42">
        <f t="shared" si="61"/>
        <v>46.38515566549632</v>
      </c>
      <c r="AW53" s="35">
        <f t="shared" si="38"/>
        <v>2035</v>
      </c>
      <c r="AX53" s="45">
        <f t="shared" si="77"/>
        <v>37.398918606312577</v>
      </c>
      <c r="AY53" s="45">
        <f t="shared" si="78"/>
        <v>40.310903399352547</v>
      </c>
      <c r="AZ53" s="45">
        <f t="shared" si="79"/>
        <v>43.858599147129759</v>
      </c>
      <c r="BA53" s="45">
        <f t="shared" si="80"/>
        <v>34.238635185252051</v>
      </c>
      <c r="BB53" s="45">
        <f t="shared" si="81"/>
        <v>39.48246669288681</v>
      </c>
      <c r="BC53" s="45">
        <f t="shared" si="82"/>
        <v>39.620435393716406</v>
      </c>
      <c r="BD53" s="42">
        <f t="shared" si="68"/>
        <v>39.101211627347467</v>
      </c>
      <c r="BE53" s="35">
        <f t="shared" si="40"/>
        <v>2035</v>
      </c>
      <c r="BF53" s="45">
        <f t="shared" si="69"/>
        <v>49.936441149194899</v>
      </c>
      <c r="BG53" s="45">
        <f t="shared" si="70"/>
        <v>55.2839013207211</v>
      </c>
      <c r="BH53" s="45">
        <f t="shared" si="71"/>
        <v>53.949013315554993</v>
      </c>
      <c r="BI53" s="45">
        <f t="shared" si="72"/>
        <v>49.388952604645056</v>
      </c>
      <c r="BJ53" s="45">
        <f t="shared" si="73"/>
        <v>49.515344355979792</v>
      </c>
      <c r="BK53" s="45">
        <f t="shared" si="74"/>
        <v>51.974432679459362</v>
      </c>
      <c r="BL53" s="42">
        <f t="shared" si="75"/>
        <v>52.079245720225082</v>
      </c>
    </row>
    <row r="54" spans="1:64" x14ac:dyDescent="0.25">
      <c r="A54" s="35">
        <v>2036</v>
      </c>
      <c r="B54" s="57">
        <f t="shared" si="83"/>
        <v>181188.48923078954</v>
      </c>
      <c r="C54" s="57">
        <f>C53+(C$20*C53)</f>
        <v>175496.74775946411</v>
      </c>
      <c r="D54" s="57">
        <f t="shared" si="85"/>
        <v>174509.44975780571</v>
      </c>
      <c r="E54" s="57">
        <f t="shared" si="86"/>
        <v>130897.07495631174</v>
      </c>
      <c r="F54" s="57">
        <f t="shared" si="87"/>
        <v>43979.18366840102</v>
      </c>
      <c r="G54" s="57">
        <f t="shared" si="88"/>
        <v>11764.4828919958</v>
      </c>
      <c r="H54" s="42">
        <f t="shared" si="42"/>
        <v>717835.42826476786</v>
      </c>
      <c r="I54" s="35">
        <f t="shared" si="28"/>
        <v>2036</v>
      </c>
      <c r="J54" s="57">
        <f t="shared" si="90"/>
        <v>242173.53178378427</v>
      </c>
      <c r="K54" s="57">
        <f t="shared" si="90"/>
        <v>241036.45678378342</v>
      </c>
      <c r="L54" s="57">
        <f t="shared" si="90"/>
        <v>214632.48996216193</v>
      </c>
      <c r="M54" s="57">
        <f t="shared" si="90"/>
        <v>189280.13637297298</v>
      </c>
      <c r="N54" s="57">
        <f t="shared" si="90"/>
        <v>55160.43563243236</v>
      </c>
      <c r="O54" s="57">
        <f t="shared" si="90"/>
        <v>15443.9634864865</v>
      </c>
      <c r="P54" s="42">
        <f t="shared" si="44"/>
        <v>957727.01402162143</v>
      </c>
      <c r="Q54" s="35">
        <f t="shared" si="30"/>
        <v>2036</v>
      </c>
      <c r="R54" s="45">
        <f t="shared" si="76"/>
        <v>35.928030557975653</v>
      </c>
      <c r="S54" s="45">
        <f t="shared" si="45"/>
        <v>36.942675652961334</v>
      </c>
      <c r="T54" s="45">
        <f t="shared" si="46"/>
        <v>32.736007536573744</v>
      </c>
      <c r="U54" s="45">
        <f t="shared" si="47"/>
        <v>38.842135974446244</v>
      </c>
      <c r="V54" s="45">
        <f t="shared" si="48"/>
        <v>33.504428241957577</v>
      </c>
      <c r="W54" s="45">
        <f t="shared" si="49"/>
        <v>35.251335667831825</v>
      </c>
      <c r="X54" s="42">
        <f t="shared" si="50"/>
        <v>35.77190506724429</v>
      </c>
      <c r="Y54" s="35">
        <f t="shared" si="32"/>
        <v>2036</v>
      </c>
      <c r="Z54" s="45">
        <f t="shared" si="51"/>
        <v>48.020810191634141</v>
      </c>
      <c r="AA54" s="45">
        <f t="shared" si="51"/>
        <v>50.739012301851297</v>
      </c>
      <c r="AB54" s="45">
        <f t="shared" si="51"/>
        <v>40.262638033334596</v>
      </c>
      <c r="AC54" s="45">
        <f t="shared" si="51"/>
        <v>56.166608739840562</v>
      </c>
      <c r="AD54" s="45">
        <f t="shared" si="51"/>
        <v>42.02258212377464</v>
      </c>
      <c r="AE54" s="45">
        <f t="shared" si="51"/>
        <v>46.276606111967837</v>
      </c>
      <c r="AF54" s="42">
        <f t="shared" si="52"/>
        <v>48.202558808657265</v>
      </c>
      <c r="AG54" s="35">
        <f t="shared" si="34"/>
        <v>2036</v>
      </c>
      <c r="AH54" s="45">
        <f t="shared" si="53"/>
        <v>34.300959478245609</v>
      </c>
      <c r="AI54" s="45">
        <f t="shared" si="54"/>
        <v>36.02531307325733</v>
      </c>
      <c r="AJ54" s="45">
        <f t="shared" si="55"/>
        <v>32.718524568154464</v>
      </c>
      <c r="AK54" s="45">
        <f t="shared" si="56"/>
        <v>28.605099011149608</v>
      </c>
      <c r="AL54" s="45">
        <f t="shared" si="57"/>
        <v>34.729141167380398</v>
      </c>
      <c r="AM54" s="45">
        <f t="shared" si="58"/>
        <v>37.05201901277556</v>
      </c>
      <c r="AN54" s="42">
        <f t="shared" si="59"/>
        <v>33.37051362429326</v>
      </c>
      <c r="AO54" s="35">
        <f t="shared" si="36"/>
        <v>2036</v>
      </c>
      <c r="AP54" s="45">
        <f t="shared" si="60"/>
        <v>45.846093952681578</v>
      </c>
      <c r="AQ54" s="45">
        <f t="shared" si="91"/>
        <v>49.479058321957901</v>
      </c>
      <c r="AR54" s="45">
        <f t="shared" si="92"/>
        <v>40.241135398096404</v>
      </c>
      <c r="AS54" s="45">
        <f t="shared" si="93"/>
        <v>41.363621330727959</v>
      </c>
      <c r="AT54" s="45">
        <f t="shared" si="94"/>
        <v>43.558665626377994</v>
      </c>
      <c r="AU54" s="45">
        <f t="shared" si="95"/>
        <v>48.640474382706387</v>
      </c>
      <c r="AV54" s="42">
        <f t="shared" si="61"/>
        <v>44.531740701824504</v>
      </c>
      <c r="AW54" s="35">
        <f t="shared" si="38"/>
        <v>2036</v>
      </c>
      <c r="AX54" s="45">
        <f t="shared" si="77"/>
        <v>35.866365686800208</v>
      </c>
      <c r="AY54" s="45">
        <f t="shared" si="78"/>
        <v>38.582195261026257</v>
      </c>
      <c r="AZ54" s="45">
        <f t="shared" si="79"/>
        <v>42.341803056214275</v>
      </c>
      <c r="BA54" s="45">
        <f t="shared" si="80"/>
        <v>32.65318194565269</v>
      </c>
      <c r="BB54" s="45">
        <f t="shared" si="81"/>
        <v>38.053895343097118</v>
      </c>
      <c r="BC54" s="45">
        <f t="shared" si="82"/>
        <v>38.048489172475769</v>
      </c>
      <c r="BD54" s="42">
        <f t="shared" si="68"/>
        <v>37.527201215321369</v>
      </c>
      <c r="BE54" s="35">
        <f t="shared" si="40"/>
        <v>2036</v>
      </c>
      <c r="BF54" s="45">
        <f t="shared" si="69"/>
        <v>47.938389946821964</v>
      </c>
      <c r="BG54" s="45">
        <f t="shared" si="70"/>
        <v>52.990814698196253</v>
      </c>
      <c r="BH54" s="45">
        <f t="shared" si="71"/>
        <v>52.076988564547634</v>
      </c>
      <c r="BI54" s="45">
        <f t="shared" si="72"/>
        <v>47.217240979200497</v>
      </c>
      <c r="BJ54" s="45">
        <f t="shared" si="73"/>
        <v>47.72870411745285</v>
      </c>
      <c r="BK54" s="45">
        <f t="shared" si="74"/>
        <v>49.948602321950872</v>
      </c>
      <c r="BL54" s="42">
        <f t="shared" si="75"/>
        <v>50.015261923162043</v>
      </c>
    </row>
    <row r="55" spans="1:64" x14ac:dyDescent="0.25">
      <c r="A55" s="35">
        <v>2037</v>
      </c>
      <c r="B55" s="57">
        <f t="shared" si="83"/>
        <v>173763.65026483583</v>
      </c>
      <c r="C55" s="57">
        <f t="shared" si="84"/>
        <v>167970.67837084178</v>
      </c>
      <c r="D55" s="57">
        <f t="shared" si="85"/>
        <v>168474.25355072907</v>
      </c>
      <c r="E55" s="57">
        <f t="shared" si="86"/>
        <v>124835.75883139344</v>
      </c>
      <c r="F55" s="57">
        <f t="shared" si="87"/>
        <v>42387.910198470243</v>
      </c>
      <c r="G55" s="57">
        <f t="shared" si="88"/>
        <v>11297.725415881448</v>
      </c>
      <c r="H55" s="42">
        <f t="shared" si="42"/>
        <v>688729.97663215187</v>
      </c>
      <c r="I55" s="35">
        <f t="shared" si="28"/>
        <v>2037</v>
      </c>
      <c r="J55" s="57">
        <f t="shared" si="90"/>
        <v>232079.84451351399</v>
      </c>
      <c r="K55" s="57">
        <f t="shared" si="90"/>
        <v>230606.01751351316</v>
      </c>
      <c r="L55" s="57">
        <f t="shared" si="90"/>
        <v>206917.04126486462</v>
      </c>
      <c r="M55" s="57">
        <f t="shared" si="90"/>
        <v>180574.37838918919</v>
      </c>
      <c r="N55" s="57">
        <f t="shared" si="90"/>
        <v>53095.601572972897</v>
      </c>
      <c r="O55" s="57">
        <f t="shared" si="90"/>
        <v>14817.582594594609</v>
      </c>
      <c r="P55" s="42">
        <f t="shared" si="44"/>
        <v>918090.46584864857</v>
      </c>
      <c r="Q55" s="35">
        <f t="shared" si="30"/>
        <v>2037</v>
      </c>
      <c r="R55" s="45">
        <f t="shared" si="76"/>
        <v>34.455752476794423</v>
      </c>
      <c r="S55" s="45">
        <f t="shared" si="45"/>
        <v>35.358411876480261</v>
      </c>
      <c r="T55" s="45">
        <f t="shared" si="46"/>
        <v>31.603872693482099</v>
      </c>
      <c r="U55" s="45">
        <f t="shared" si="47"/>
        <v>37.043513161929162</v>
      </c>
      <c r="V55" s="45">
        <f t="shared" si="48"/>
        <v>32.292156813988058</v>
      </c>
      <c r="W55" s="45">
        <f t="shared" si="49"/>
        <v>33.85273407887702</v>
      </c>
      <c r="X55" s="42">
        <f t="shared" si="50"/>
        <v>34.304276607172113</v>
      </c>
      <c r="Y55" s="35">
        <f t="shared" si="32"/>
        <v>2037</v>
      </c>
      <c r="Z55" s="45">
        <f t="shared" si="51"/>
        <v>46.019323749374557</v>
      </c>
      <c r="AA55" s="45">
        <f t="shared" si="51"/>
        <v>48.543368566004773</v>
      </c>
      <c r="AB55" s="45">
        <f t="shared" si="51"/>
        <v>38.815306745239262</v>
      </c>
      <c r="AC55" s="45">
        <f t="shared" si="51"/>
        <v>53.583279544137675</v>
      </c>
      <c r="AD55" s="45">
        <f t="shared" si="51"/>
        <v>40.449540543505016</v>
      </c>
      <c r="AE55" s="45">
        <f t="shared" si="51"/>
        <v>44.399705675398714</v>
      </c>
      <c r="AF55" s="42">
        <f t="shared" si="52"/>
        <v>46.1691486804256</v>
      </c>
      <c r="AG55" s="35">
        <f t="shared" si="34"/>
        <v>2037</v>
      </c>
      <c r="AH55" s="45">
        <f t="shared" si="53"/>
        <v>32.895356387315928</v>
      </c>
      <c r="AI55" s="45">
        <f t="shared" si="54"/>
        <v>34.480389823125158</v>
      </c>
      <c r="AJ55" s="45">
        <f t="shared" si="55"/>
        <v>31.586994352175214</v>
      </c>
      <c r="AK55" s="45">
        <f t="shared" si="56"/>
        <v>27.280512132878766</v>
      </c>
      <c r="AL55" s="45">
        <f t="shared" si="57"/>
        <v>33.47255665708537</v>
      </c>
      <c r="AM55" s="45">
        <f t="shared" si="58"/>
        <v>35.581975064553191</v>
      </c>
      <c r="AN55" s="42">
        <f t="shared" si="59"/>
        <v>32.02375133734386</v>
      </c>
      <c r="AO55" s="35">
        <f t="shared" si="36"/>
        <v>2037</v>
      </c>
      <c r="AP55" s="45">
        <f t="shared" si="60"/>
        <v>43.935248735562823</v>
      </c>
      <c r="AQ55" s="45">
        <f t="shared" si="91"/>
        <v>47.337936933668132</v>
      </c>
      <c r="AR55" s="45">
        <f t="shared" si="92"/>
        <v>38.794577070698054</v>
      </c>
      <c r="AS55" s="45">
        <f t="shared" si="93"/>
        <v>39.461141315980825</v>
      </c>
      <c r="AT55" s="45">
        <f t="shared" si="94"/>
        <v>41.928123457181108</v>
      </c>
      <c r="AU55" s="45">
        <f t="shared" si="95"/>
        <v>46.667699469547387</v>
      </c>
      <c r="AV55" s="42">
        <f t="shared" si="61"/>
        <v>42.679378409618572</v>
      </c>
      <c r="AW55" s="35">
        <f t="shared" si="38"/>
        <v>2037</v>
      </c>
      <c r="AX55" s="45">
        <f t="shared" si="77"/>
        <v>34.396614541741002</v>
      </c>
      <c r="AY55" s="45">
        <f t="shared" si="78"/>
        <v>36.9276217010772</v>
      </c>
      <c r="AZ55" s="45">
        <f t="shared" si="79"/>
        <v>40.877463505775566</v>
      </c>
      <c r="BA55" s="45">
        <f t="shared" si="80"/>
        <v>31.141144657400577</v>
      </c>
      <c r="BB55" s="45">
        <f t="shared" si="81"/>
        <v>36.677013167575964</v>
      </c>
      <c r="BC55" s="45">
        <f t="shared" si="82"/>
        <v>36.538910133673149</v>
      </c>
      <c r="BD55" s="42">
        <f t="shared" si="68"/>
        <v>36.019147350061935</v>
      </c>
      <c r="BE55" s="35">
        <f t="shared" si="40"/>
        <v>2037</v>
      </c>
      <c r="BF55" s="45">
        <f t="shared" si="69"/>
        <v>45.940338744449015</v>
      </c>
      <c r="BG55" s="45">
        <f t="shared" si="70"/>
        <v>50.697728075671414</v>
      </c>
      <c r="BH55" s="45">
        <f t="shared" si="71"/>
        <v>50.204963813540274</v>
      </c>
      <c r="BI55" s="45">
        <f t="shared" si="72"/>
        <v>45.045529353755938</v>
      </c>
      <c r="BJ55" s="45">
        <f t="shared" si="73"/>
        <v>45.942063878925893</v>
      </c>
      <c r="BK55" s="45">
        <f t="shared" si="74"/>
        <v>47.92277196444239</v>
      </c>
      <c r="BL55" s="42">
        <f t="shared" si="75"/>
        <v>47.952551149524247</v>
      </c>
    </row>
    <row r="56" spans="1:64" x14ac:dyDescent="0.25">
      <c r="A56" s="35">
        <v>2038</v>
      </c>
      <c r="B56" s="57">
        <f t="shared" si="83"/>
        <v>166643.07032717019</v>
      </c>
      <c r="C56" s="57">
        <f t="shared" si="84"/>
        <v>160767.35980903244</v>
      </c>
      <c r="D56" s="57">
        <f t="shared" si="85"/>
        <v>162647.77723422836</v>
      </c>
      <c r="E56" s="57">
        <f t="shared" si="86"/>
        <v>119055.11783369594</v>
      </c>
      <c r="F56" s="57">
        <f t="shared" si="87"/>
        <v>40854.212859901927</v>
      </c>
      <c r="G56" s="57">
        <f t="shared" si="88"/>
        <v>10849.486606801485</v>
      </c>
      <c r="H56" s="42">
        <f t="shared" si="42"/>
        <v>660817.02467083035</v>
      </c>
      <c r="I56" s="35">
        <f t="shared" si="28"/>
        <v>2038</v>
      </c>
      <c r="J56" s="57">
        <f t="shared" si="90"/>
        <v>221986.15724324371</v>
      </c>
      <c r="K56" s="57">
        <f t="shared" si="90"/>
        <v>220175.5782432429</v>
      </c>
      <c r="L56" s="57">
        <f t="shared" si="90"/>
        <v>199201.59256756731</v>
      </c>
      <c r="M56" s="57">
        <f t="shared" si="90"/>
        <v>171868.62040540541</v>
      </c>
      <c r="N56" s="57">
        <f t="shared" si="90"/>
        <v>51030.767513513434</v>
      </c>
      <c r="O56" s="57">
        <f t="shared" si="90"/>
        <v>14191.201702702718</v>
      </c>
      <c r="P56" s="42">
        <f t="shared" si="44"/>
        <v>878453.91767567548</v>
      </c>
      <c r="Q56" s="35">
        <f t="shared" si="30"/>
        <v>2038</v>
      </c>
      <c r="R56" s="45">
        <f t="shared" si="76"/>
        <v>33.043806195454792</v>
      </c>
      <c r="S56" s="45">
        <f t="shared" si="45"/>
        <v>33.842088271335122</v>
      </c>
      <c r="T56" s="45">
        <f t="shared" si="46"/>
        <v>30.510891351363668</v>
      </c>
      <c r="U56" s="45">
        <f t="shared" si="47"/>
        <v>35.328177324768831</v>
      </c>
      <c r="V56" s="45">
        <f t="shared" si="48"/>
        <v>31.123748304808203</v>
      </c>
      <c r="W56" s="45">
        <f t="shared" si="49"/>
        <v>32.509622200242937</v>
      </c>
      <c r="X56" s="42">
        <f t="shared" si="50"/>
        <v>32.898671814975295</v>
      </c>
      <c r="Y56" s="35">
        <f t="shared" si="32"/>
        <v>2038</v>
      </c>
      <c r="Z56" s="45">
        <f t="shared" si="51"/>
        <v>44.017837307114981</v>
      </c>
      <c r="AA56" s="45">
        <f t="shared" si="51"/>
        <v>46.347724830158249</v>
      </c>
      <c r="AB56" s="45">
        <f t="shared" si="51"/>
        <v>37.367975457143928</v>
      </c>
      <c r="AC56" s="45">
        <f t="shared" si="51"/>
        <v>50.999950348434773</v>
      </c>
      <c r="AD56" s="45">
        <f t="shared" si="51"/>
        <v>38.876498963235392</v>
      </c>
      <c r="AE56" s="45">
        <f t="shared" si="51"/>
        <v>42.522805238829584</v>
      </c>
      <c r="AF56" s="42">
        <f t="shared" si="52"/>
        <v>44.137074813158236</v>
      </c>
      <c r="AG56" s="35">
        <f t="shared" si="34"/>
        <v>2038</v>
      </c>
      <c r="AH56" s="45">
        <f t="shared" si="53"/>
        <v>31.547352852762629</v>
      </c>
      <c r="AI56" s="45">
        <f t="shared" si="54"/>
        <v>33.001719650209708</v>
      </c>
      <c r="AJ56" s="45">
        <f t="shared" si="55"/>
        <v>30.494596726878871</v>
      </c>
      <c r="AK56" s="45">
        <f t="shared" si="56"/>
        <v>26.017261535856363</v>
      </c>
      <c r="AL56" s="45">
        <f t="shared" si="57"/>
        <v>32.261438420312714</v>
      </c>
      <c r="AM56" s="45">
        <f t="shared" si="58"/>
        <v>34.170255312077337</v>
      </c>
      <c r="AN56" s="42">
        <f t="shared" si="59"/>
        <v>30.732953649929563</v>
      </c>
      <c r="AO56" s="35">
        <f t="shared" si="36"/>
        <v>2038</v>
      </c>
      <c r="AP56" s="45">
        <f t="shared" si="60"/>
        <v>42.024403518444089</v>
      </c>
      <c r="AQ56" s="45">
        <f t="shared" si="91"/>
        <v>45.196815545378357</v>
      </c>
      <c r="AR56" s="45">
        <f t="shared" si="92"/>
        <v>37.348018743299704</v>
      </c>
      <c r="AS56" s="45">
        <f t="shared" si="93"/>
        <v>37.558661301233684</v>
      </c>
      <c r="AT56" s="45">
        <f t="shared" si="94"/>
        <v>40.297581287984215</v>
      </c>
      <c r="AU56" s="45">
        <f t="shared" si="95"/>
        <v>44.694924556388372</v>
      </c>
      <c r="AV56" s="42">
        <f t="shared" si="61"/>
        <v>40.828211281031265</v>
      </c>
      <c r="AW56" s="35">
        <f t="shared" si="38"/>
        <v>2038</v>
      </c>
      <c r="AX56" s="45">
        <f t="shared" si="77"/>
        <v>32.987091646381444</v>
      </c>
      <c r="AY56" s="45">
        <f t="shared" si="78"/>
        <v>35.344003504003723</v>
      </c>
      <c r="AZ56" s="45">
        <f t="shared" si="79"/>
        <v>39.46376635042175</v>
      </c>
      <c r="BA56" s="45">
        <f t="shared" si="80"/>
        <v>29.699123723599619</v>
      </c>
      <c r="BB56" s="45">
        <f t="shared" si="81"/>
        <v>35.349949926704596</v>
      </c>
      <c r="BC56" s="45">
        <f t="shared" si="82"/>
        <v>35.08922385077107</v>
      </c>
      <c r="BD56" s="42">
        <f t="shared" si="68"/>
        <v>34.574437392712461</v>
      </c>
      <c r="BE56" s="35">
        <f t="shared" si="40"/>
        <v>2038</v>
      </c>
      <c r="BF56" s="45">
        <f t="shared" si="69"/>
        <v>43.942287542076095</v>
      </c>
      <c r="BG56" s="45">
        <f t="shared" si="70"/>
        <v>48.404641453146567</v>
      </c>
      <c r="BH56" s="45">
        <f t="shared" si="71"/>
        <v>48.332939062532901</v>
      </c>
      <c r="BI56" s="45">
        <f t="shared" si="72"/>
        <v>42.873817728311373</v>
      </c>
      <c r="BJ56" s="45">
        <f t="shared" si="73"/>
        <v>44.155423640398929</v>
      </c>
      <c r="BK56" s="45">
        <f t="shared" si="74"/>
        <v>45.896941606933893</v>
      </c>
      <c r="BL56" s="42">
        <f t="shared" si="75"/>
        <v>45.891285718837992</v>
      </c>
    </row>
    <row r="57" spans="1:64" x14ac:dyDescent="0.25">
      <c r="A57" s="35">
        <v>2039</v>
      </c>
      <c r="B57" s="57">
        <f t="shared" si="83"/>
        <v>159814.28132835403</v>
      </c>
      <c r="C57" s="57">
        <f t="shared" si="84"/>
        <v>153872.95110462303</v>
      </c>
      <c r="D57" s="57">
        <f t="shared" si="85"/>
        <v>157022.80248577893</v>
      </c>
      <c r="E57" s="57">
        <f t="shared" si="86"/>
        <v>113542.15502898635</v>
      </c>
      <c r="F57" s="57">
        <f t="shared" si="87"/>
        <v>39376.008408699789</v>
      </c>
      <c r="G57" s="57">
        <f t="shared" si="88"/>
        <v>10419.031734095386</v>
      </c>
      <c r="H57" s="42">
        <f t="shared" si="42"/>
        <v>634047.23009053757</v>
      </c>
      <c r="I57" s="35">
        <f t="shared" si="28"/>
        <v>2039</v>
      </c>
      <c r="J57" s="57">
        <f t="shared" si="90"/>
        <v>211892.46997297343</v>
      </c>
      <c r="K57" s="57">
        <f t="shared" si="90"/>
        <v>209745.13897297264</v>
      </c>
      <c r="L57" s="57">
        <f t="shared" si="90"/>
        <v>191486.14387027</v>
      </c>
      <c r="M57" s="57">
        <f t="shared" si="90"/>
        <v>163162.86242162163</v>
      </c>
      <c r="N57" s="57">
        <f t="shared" si="90"/>
        <v>48965.933454053971</v>
      </c>
      <c r="O57" s="57">
        <f t="shared" si="90"/>
        <v>13564.820810810827</v>
      </c>
      <c r="P57" s="42">
        <f t="shared" si="44"/>
        <v>838817.36950270238</v>
      </c>
      <c r="Q57" s="35">
        <f t="shared" si="30"/>
        <v>2039</v>
      </c>
      <c r="R57" s="45">
        <f t="shared" si="76"/>
        <v>31.689719405145912</v>
      </c>
      <c r="S57" s="45">
        <f t="shared" si="45"/>
        <v>32.390791265335672</v>
      </c>
      <c r="T57" s="45">
        <f t="shared" si="46"/>
        <v>29.45570943420195</v>
      </c>
      <c r="U57" s="45">
        <f t="shared" si="47"/>
        <v>33.692271778720034</v>
      </c>
      <c r="V57" s="45">
        <f t="shared" si="48"/>
        <v>29.997615647693216</v>
      </c>
      <c r="W57" s="45">
        <f t="shared" si="49"/>
        <v>31.219798470043919</v>
      </c>
      <c r="X57" s="42">
        <f t="shared" si="50"/>
        <v>31.552403433896053</v>
      </c>
      <c r="Y57" s="35">
        <f t="shared" si="32"/>
        <v>2039</v>
      </c>
      <c r="Z57" s="45">
        <f t="shared" si="51"/>
        <v>42.016350864855404</v>
      </c>
      <c r="AA57" s="45">
        <f t="shared" si="51"/>
        <v>44.152081094311725</v>
      </c>
      <c r="AB57" s="45">
        <f t="shared" si="51"/>
        <v>35.920644169048593</v>
      </c>
      <c r="AC57" s="45">
        <f t="shared" si="51"/>
        <v>48.416621152731878</v>
      </c>
      <c r="AD57" s="45">
        <f t="shared" si="51"/>
        <v>37.303457382965767</v>
      </c>
      <c r="AE57" s="45">
        <f t="shared" si="51"/>
        <v>40.645904802260461</v>
      </c>
      <c r="AF57" s="42">
        <f t="shared" si="52"/>
        <v>42.106526633447871</v>
      </c>
      <c r="AG57" s="35">
        <f t="shared" si="34"/>
        <v>2039</v>
      </c>
      <c r="AH57" s="45">
        <f t="shared" si="53"/>
        <v>30.254588529111103</v>
      </c>
      <c r="AI57" s="45">
        <f t="shared" si="54"/>
        <v>31.586461332307653</v>
      </c>
      <c r="AJ57" s="45">
        <f t="shared" si="55"/>
        <v>29.439978339405787</v>
      </c>
      <c r="AK57" s="45">
        <f t="shared" si="56"/>
        <v>24.812506984036645</v>
      </c>
      <c r="AL57" s="45">
        <f t="shared" si="57"/>
        <v>31.094141377076902</v>
      </c>
      <c r="AM57" s="45">
        <f t="shared" si="58"/>
        <v>32.814545734863394</v>
      </c>
      <c r="AN57" s="42">
        <f t="shared" si="59"/>
        <v>29.495736026539674</v>
      </c>
      <c r="AO57" s="35">
        <f t="shared" si="36"/>
        <v>2039</v>
      </c>
      <c r="AP57" s="45">
        <f t="shared" si="60"/>
        <v>40.113558301325348</v>
      </c>
      <c r="AQ57" s="45">
        <f t="shared" si="91"/>
        <v>43.055694157088588</v>
      </c>
      <c r="AR57" s="45">
        <f t="shared" si="92"/>
        <v>35.901460415901354</v>
      </c>
      <c r="AS57" s="45">
        <f t="shared" si="93"/>
        <v>35.65618128648655</v>
      </c>
      <c r="AT57" s="45">
        <f t="shared" si="94"/>
        <v>38.667039118787336</v>
      </c>
      <c r="AU57" s="45">
        <f t="shared" si="95"/>
        <v>42.722149643229365</v>
      </c>
      <c r="AV57" s="42">
        <f t="shared" si="61"/>
        <v>38.978408740881591</v>
      </c>
      <c r="AW57" s="35">
        <f t="shared" si="38"/>
        <v>2039</v>
      </c>
      <c r="AX57" s="45">
        <f t="shared" si="77"/>
        <v>31.635328935243834</v>
      </c>
      <c r="AY57" s="45">
        <f t="shared" si="78"/>
        <v>33.828297792992913</v>
      </c>
      <c r="AZ57" s="45">
        <f t="shared" si="79"/>
        <v>38.098960184763826</v>
      </c>
      <c r="BA57" s="45">
        <f t="shared" si="80"/>
        <v>28.32387696898817</v>
      </c>
      <c r="BB57" s="45">
        <f t="shared" si="81"/>
        <v>34.07090305066712</v>
      </c>
      <c r="BC57" s="45">
        <f t="shared" si="82"/>
        <v>33.697054070445176</v>
      </c>
      <c r="BD57" s="42">
        <f t="shared" si="68"/>
        <v>33.19059178401838</v>
      </c>
      <c r="BE57" s="35">
        <f t="shared" si="40"/>
        <v>2039</v>
      </c>
      <c r="BF57" s="45">
        <f t="shared" si="69"/>
        <v>41.944236339703153</v>
      </c>
      <c r="BG57" s="45">
        <f t="shared" si="70"/>
        <v>46.111554830621735</v>
      </c>
      <c r="BH57" s="45">
        <f t="shared" si="71"/>
        <v>46.460914311525542</v>
      </c>
      <c r="BI57" s="45">
        <f t="shared" si="72"/>
        <v>40.702106102866821</v>
      </c>
      <c r="BJ57" s="45">
        <f t="shared" si="73"/>
        <v>42.36878340187198</v>
      </c>
      <c r="BK57" s="45">
        <f t="shared" si="74"/>
        <v>43.871111249425411</v>
      </c>
      <c r="BL57" s="42">
        <f t="shared" si="75"/>
        <v>43.831670521014729</v>
      </c>
    </row>
    <row r="58" spans="1:64" x14ac:dyDescent="0.25">
      <c r="A58" s="35">
        <v>2040</v>
      </c>
      <c r="B58" s="57">
        <f t="shared" si="83"/>
        <v>153265.3261029963</v>
      </c>
      <c r="C58" s="57">
        <f t="shared" si="84"/>
        <v>147274.20484960571</v>
      </c>
      <c r="D58" s="57">
        <f t="shared" si="85"/>
        <v>151592.3606197256</v>
      </c>
      <c r="E58" s="57">
        <f t="shared" si="86"/>
        <v>108284.47531868826</v>
      </c>
      <c r="F58" s="57">
        <f t="shared" si="87"/>
        <v>37951.288977685093</v>
      </c>
      <c r="G58" s="57">
        <f t="shared" si="88"/>
        <v>10005.655217642594</v>
      </c>
      <c r="H58" s="42">
        <f t="shared" si="42"/>
        <v>608373.31108634348</v>
      </c>
      <c r="I58" s="35">
        <f t="shared" si="28"/>
        <v>2040</v>
      </c>
      <c r="J58" s="57">
        <f t="shared" si="90"/>
        <v>201798.78270270315</v>
      </c>
      <c r="K58" s="57">
        <f t="shared" si="90"/>
        <v>199314.69970270238</v>
      </c>
      <c r="L58" s="57">
        <f t="shared" si="90"/>
        <v>183770.69517297269</v>
      </c>
      <c r="M58" s="57">
        <f t="shared" si="90"/>
        <v>154457.10443783784</v>
      </c>
      <c r="N58" s="57">
        <f t="shared" si="90"/>
        <v>46901.099394594508</v>
      </c>
      <c r="O58" s="57">
        <f t="shared" si="90"/>
        <v>12938.439918918935</v>
      </c>
      <c r="P58" s="42">
        <f t="shared" si="44"/>
        <v>799180.82132972952</v>
      </c>
      <c r="Q58" s="35">
        <f t="shared" si="30"/>
        <v>2040</v>
      </c>
      <c r="R58" s="45">
        <f t="shared" si="76"/>
        <v>30.391121108651681</v>
      </c>
      <c r="S58" s="45">
        <f t="shared" si="45"/>
        <v>31.001732233031458</v>
      </c>
      <c r="T58" s="45">
        <f t="shared" si="46"/>
        <v>28.43701969504589</v>
      </c>
      <c r="U58" s="45">
        <f t="shared" si="47"/>
        <v>32.132118427045484</v>
      </c>
      <c r="V58" s="45">
        <f t="shared" si="48"/>
        <v>28.912229199839445</v>
      </c>
      <c r="W58" s="45">
        <f t="shared" si="49"/>
        <v>29.981148673664787</v>
      </c>
      <c r="X58" s="42">
        <f t="shared" si="50"/>
        <v>30.26290296886841</v>
      </c>
      <c r="Y58" s="35">
        <f t="shared" si="32"/>
        <v>2040</v>
      </c>
      <c r="Z58" s="45">
        <f t="shared" si="51"/>
        <v>40.014864422595828</v>
      </c>
      <c r="AA58" s="45">
        <f t="shared" si="51"/>
        <v>41.956437358465202</v>
      </c>
      <c r="AB58" s="45">
        <f t="shared" si="51"/>
        <v>34.473312880953259</v>
      </c>
      <c r="AC58" s="45">
        <f t="shared" si="51"/>
        <v>45.833291957028976</v>
      </c>
      <c r="AD58" s="45">
        <f t="shared" si="51"/>
        <v>35.730415802696143</v>
      </c>
      <c r="AE58" s="45">
        <f t="shared" si="51"/>
        <v>38.769004365691337</v>
      </c>
      <c r="AF58" s="42">
        <f t="shared" si="52"/>
        <v>40.077731147449079</v>
      </c>
      <c r="AG58" s="35">
        <f t="shared" si="34"/>
        <v>2040</v>
      </c>
      <c r="AH58" s="45">
        <f t="shared" si="53"/>
        <v>29.014799794387951</v>
      </c>
      <c r="AI58" s="45">
        <f t="shared" si="54"/>
        <v>30.231895491271072</v>
      </c>
      <c r="AJ58" s="45">
        <f t="shared" si="55"/>
        <v>28.421832640952271</v>
      </c>
      <c r="AK58" s="45">
        <f t="shared" si="56"/>
        <v>23.663539761261156</v>
      </c>
      <c r="AL58" s="45">
        <f t="shared" si="57"/>
        <v>29.96907997037394</v>
      </c>
      <c r="AM58" s="45">
        <f t="shared" si="58"/>
        <v>31.512624121507603</v>
      </c>
      <c r="AN58" s="42">
        <f t="shared" si="59"/>
        <v>28.309817614853873</v>
      </c>
      <c r="AO58" s="35">
        <f t="shared" si="36"/>
        <v>2040</v>
      </c>
      <c r="AP58" s="45">
        <f t="shared" si="60"/>
        <v>38.202713084206607</v>
      </c>
      <c r="AQ58" s="45">
        <f t="shared" si="91"/>
        <v>40.914572768798813</v>
      </c>
      <c r="AR58" s="45">
        <f t="shared" si="92"/>
        <v>34.454902088503012</v>
      </c>
      <c r="AS58" s="45">
        <f t="shared" si="93"/>
        <v>33.753701271739409</v>
      </c>
      <c r="AT58" s="45">
        <f t="shared" si="94"/>
        <v>37.03649694959045</v>
      </c>
      <c r="AU58" s="45">
        <f t="shared" si="95"/>
        <v>40.749374730070357</v>
      </c>
      <c r="AV58" s="42">
        <f t="shared" si="61"/>
        <v>37.130173825480874</v>
      </c>
      <c r="AW58" s="35">
        <f t="shared" si="38"/>
        <v>2040</v>
      </c>
      <c r="AX58" s="45">
        <f t="shared" si="77"/>
        <v>30.338959480559698</v>
      </c>
      <c r="AY58" s="45">
        <f t="shared" si="78"/>
        <v>32.377592183120349</v>
      </c>
      <c r="AZ58" s="45">
        <f t="shared" si="79"/>
        <v>36.781354173629374</v>
      </c>
      <c r="BA58" s="45">
        <f t="shared" si="80"/>
        <v>27.012312350377488</v>
      </c>
      <c r="BB58" s="45">
        <f t="shared" si="81"/>
        <v>32.838135190993</v>
      </c>
      <c r="BC58" s="45">
        <f t="shared" si="82"/>
        <v>32.360118817548432</v>
      </c>
      <c r="BD58" s="42">
        <f t="shared" si="68"/>
        <v>31.865263963245972</v>
      </c>
      <c r="BE58" s="35">
        <f t="shared" si="40"/>
        <v>2040</v>
      </c>
      <c r="BF58" s="45">
        <f t="shared" si="69"/>
        <v>39.946185137330225</v>
      </c>
      <c r="BG58" s="45">
        <f t="shared" si="70"/>
        <v>43.818468208096888</v>
      </c>
      <c r="BH58" s="45">
        <f t="shared" si="71"/>
        <v>44.588889560518183</v>
      </c>
      <c r="BI58" s="45">
        <f t="shared" si="72"/>
        <v>38.530394477422256</v>
      </c>
      <c r="BJ58" s="45">
        <f t="shared" si="73"/>
        <v>40.582143163345016</v>
      </c>
      <c r="BK58" s="45">
        <f t="shared" si="74"/>
        <v>41.845280891916929</v>
      </c>
      <c r="BL58" s="42">
        <f t="shared" si="75"/>
        <v>41.773951093231851</v>
      </c>
    </row>
    <row r="59" spans="1:64" x14ac:dyDescent="0.25">
      <c r="A59" s="35">
        <v>2041</v>
      </c>
      <c r="B59" s="57">
        <f t="shared" si="83"/>
        <v>146984.7374728343</v>
      </c>
      <c r="C59" s="57">
        <f t="shared" si="84"/>
        <v>140958.44174286438</v>
      </c>
      <c r="D59" s="57">
        <f t="shared" si="85"/>
        <v>146349.72395389635</v>
      </c>
      <c r="E59" s="57">
        <f t="shared" si="86"/>
        <v>103270.25757129745</v>
      </c>
      <c r="F59" s="57">
        <f t="shared" si="87"/>
        <v>36578.119349180655</v>
      </c>
      <c r="G59" s="57">
        <f t="shared" si="88"/>
        <v>9608.6794713108338</v>
      </c>
      <c r="H59" s="42">
        <f t="shared" si="42"/>
        <v>583749.95956138393</v>
      </c>
      <c r="I59" s="35">
        <f t="shared" si="28"/>
        <v>2041</v>
      </c>
      <c r="J59" s="57">
        <f t="shared" si="90"/>
        <v>191705.09543243286</v>
      </c>
      <c r="K59" s="57">
        <f t="shared" si="90"/>
        <v>188884.26043243211</v>
      </c>
      <c r="L59" s="57">
        <f t="shared" si="90"/>
        <v>176055.24647567538</v>
      </c>
      <c r="M59" s="57">
        <f t="shared" si="90"/>
        <v>145751.34645405406</v>
      </c>
      <c r="N59" s="57">
        <f t="shared" si="90"/>
        <v>44836.265335135045</v>
      </c>
      <c r="O59" s="57">
        <f t="shared" si="90"/>
        <v>12312.059027027044</v>
      </c>
      <c r="P59" s="42">
        <f t="shared" si="44"/>
        <v>759544.27315675654</v>
      </c>
      <c r="Q59" s="35">
        <f t="shared" si="30"/>
        <v>2041</v>
      </c>
      <c r="R59" s="45">
        <f t="shared" si="76"/>
        <v>29.145737468749957</v>
      </c>
      <c r="S59" s="45">
        <f t="shared" si="45"/>
        <v>29.67224213744818</v>
      </c>
      <c r="T59" s="45">
        <f t="shared" si="46"/>
        <v>27.453560096483788</v>
      </c>
      <c r="U59" s="45">
        <f t="shared" si="47"/>
        <v>30.644209490847786</v>
      </c>
      <c r="V59" s="45">
        <f t="shared" si="48"/>
        <v>27.866114664627673</v>
      </c>
      <c r="W59" s="45">
        <f t="shared" si="49"/>
        <v>28.791642478245866</v>
      </c>
      <c r="X59" s="42">
        <f t="shared" si="50"/>
        <v>29.027715357149731</v>
      </c>
      <c r="Y59" s="35">
        <f t="shared" si="32"/>
        <v>2041</v>
      </c>
      <c r="Z59" s="45">
        <f t="shared" si="51"/>
        <v>38.013377980336251</v>
      </c>
      <c r="AA59" s="45">
        <f t="shared" si="51"/>
        <v>39.760793622618671</v>
      </c>
      <c r="AB59" s="45">
        <f t="shared" si="51"/>
        <v>33.025981592857931</v>
      </c>
      <c r="AC59" s="45">
        <f t="shared" si="51"/>
        <v>43.249962761326074</v>
      </c>
      <c r="AD59" s="45">
        <f t="shared" si="51"/>
        <v>34.157374222426519</v>
      </c>
      <c r="AE59" s="45">
        <f t="shared" si="51"/>
        <v>36.892103929122207</v>
      </c>
      <c r="AF59" s="42">
        <f t="shared" si="52"/>
        <v>38.050962746258683</v>
      </c>
      <c r="AG59" s="35">
        <f t="shared" si="34"/>
        <v>2041</v>
      </c>
      <c r="AH59" s="45">
        <f t="shared" si="53"/>
        <v>27.825815786533504</v>
      </c>
      <c r="AI59" s="45">
        <f t="shared" si="54"/>
        <v>28.935419367800485</v>
      </c>
      <c r="AJ59" s="45">
        <f t="shared" si="55"/>
        <v>27.438898268109408</v>
      </c>
      <c r="AK59" s="45">
        <f t="shared" si="56"/>
        <v>22.567776581102621</v>
      </c>
      <c r="AL59" s="45">
        <f t="shared" si="57"/>
        <v>28.88472601249558</v>
      </c>
      <c r="AM59" s="45">
        <f t="shared" si="58"/>
        <v>30.262356427149147</v>
      </c>
      <c r="AN59" s="42">
        <f t="shared" si="59"/>
        <v>27.173016665248859</v>
      </c>
      <c r="AO59" s="35">
        <f t="shared" si="36"/>
        <v>2041</v>
      </c>
      <c r="AP59" s="45">
        <f t="shared" si="60"/>
        <v>36.291867867087866</v>
      </c>
      <c r="AQ59" s="45">
        <f t="shared" si="91"/>
        <v>38.77345138050903</v>
      </c>
      <c r="AR59" s="45">
        <f t="shared" si="92"/>
        <v>33.008343761104662</v>
      </c>
      <c r="AS59" s="45">
        <f t="shared" si="93"/>
        <v>31.851221256992261</v>
      </c>
      <c r="AT59" s="45">
        <f t="shared" si="94"/>
        <v>35.405954780393564</v>
      </c>
      <c r="AU59" s="45">
        <f t="shared" si="95"/>
        <v>38.776599816911343</v>
      </c>
      <c r="AV59" s="42">
        <f t="shared" si="61"/>
        <v>35.283751952651649</v>
      </c>
      <c r="AW59" s="35">
        <f t="shared" si="38"/>
        <v>2041</v>
      </c>
      <c r="AX59" s="45">
        <f t="shared" si="77"/>
        <v>29.09571334779449</v>
      </c>
      <c r="AY59" s="45">
        <f t="shared" si="78"/>
        <v>30.989099185286207</v>
      </c>
      <c r="AZ59" s="45">
        <f t="shared" si="79"/>
        <v>35.509315957315529</v>
      </c>
      <c r="BA59" s="45">
        <f t="shared" si="80"/>
        <v>25.761481004640235</v>
      </c>
      <c r="BB59" s="45">
        <f t="shared" si="81"/>
        <v>31.649971860690616</v>
      </c>
      <c r="BC59" s="45">
        <f t="shared" si="82"/>
        <v>31.076226654611471</v>
      </c>
      <c r="BD59" s="42">
        <f t="shared" si="68"/>
        <v>30.596241977755735</v>
      </c>
      <c r="BE59" s="35">
        <f t="shared" si="40"/>
        <v>2041</v>
      </c>
      <c r="BF59" s="45">
        <f t="shared" si="69"/>
        <v>37.948133934957291</v>
      </c>
      <c r="BG59" s="45">
        <f t="shared" si="70"/>
        <v>41.525381585572042</v>
      </c>
      <c r="BH59" s="45">
        <f t="shared" si="71"/>
        <v>42.716864809510824</v>
      </c>
      <c r="BI59" s="45">
        <f t="shared" si="72"/>
        <v>36.358682851977683</v>
      </c>
      <c r="BJ59" s="45">
        <f t="shared" si="73"/>
        <v>38.795502924818067</v>
      </c>
      <c r="BK59" s="45">
        <f t="shared" si="74"/>
        <v>39.819450534408432</v>
      </c>
      <c r="BL59" s="42">
        <f t="shared" si="75"/>
        <v>39.71842422574845</v>
      </c>
    </row>
    <row r="60" spans="1:64" x14ac:dyDescent="0.25">
      <c r="A60" s="35">
        <v>2042</v>
      </c>
      <c r="B60" s="57">
        <f t="shared" si="83"/>
        <v>140961.51816777856</v>
      </c>
      <c r="C60" s="57">
        <f t="shared" si="84"/>
        <v>134913.52622726237</v>
      </c>
      <c r="D60" s="57">
        <f t="shared" si="85"/>
        <v>141288.3974747911</v>
      </c>
      <c r="E60" s="57">
        <f t="shared" si="86"/>
        <v>98488.228044279444</v>
      </c>
      <c r="F60" s="57">
        <f t="shared" si="87"/>
        <v>35254.634326375795</v>
      </c>
      <c r="G60" s="57">
        <f t="shared" si="88"/>
        <v>9227.4537922907857</v>
      </c>
      <c r="H60" s="42">
        <f t="shared" si="42"/>
        <v>560133.75803277805</v>
      </c>
      <c r="I60" s="35">
        <f t="shared" si="28"/>
        <v>2042</v>
      </c>
      <c r="J60" s="57">
        <f t="shared" si="90"/>
        <v>181611.40816216258</v>
      </c>
      <c r="K60" s="57">
        <f t="shared" si="90"/>
        <v>178453.82116216185</v>
      </c>
      <c r="L60" s="57">
        <f t="shared" si="90"/>
        <v>168339.79777837807</v>
      </c>
      <c r="M60" s="57">
        <f t="shared" si="90"/>
        <v>137045.58847027028</v>
      </c>
      <c r="N60" s="57">
        <f t="shared" si="90"/>
        <v>42771.431275675583</v>
      </c>
      <c r="O60" s="57">
        <f t="shared" si="90"/>
        <v>11685.678135135153</v>
      </c>
      <c r="P60" s="42">
        <f t="shared" si="44"/>
        <v>719907.72498378344</v>
      </c>
      <c r="Q60" s="35">
        <f t="shared" si="30"/>
        <v>2042</v>
      </c>
      <c r="R60" s="45">
        <f t="shared" si="76"/>
        <v>27.951387826738273</v>
      </c>
      <c r="S60" s="45">
        <f t="shared" si="45"/>
        <v>28.399766401609959</v>
      </c>
      <c r="T60" s="45">
        <f t="shared" si="46"/>
        <v>26.504112247126631</v>
      </c>
      <c r="U60" s="45">
        <f t="shared" si="47"/>
        <v>29.225199622336635</v>
      </c>
      <c r="V60" s="45">
        <f t="shared" si="48"/>
        <v>26.857851089064056</v>
      </c>
      <c r="W60" s="45">
        <f t="shared" si="49"/>
        <v>27.649330104662823</v>
      </c>
      <c r="X60" s="42">
        <f t="shared" si="50"/>
        <v>27.844493880890138</v>
      </c>
      <c r="Y60" s="35">
        <f t="shared" si="32"/>
        <v>2042</v>
      </c>
      <c r="Z60" s="45">
        <f t="shared" si="51"/>
        <v>36.011891538076675</v>
      </c>
      <c r="AA60" s="45">
        <f t="shared" si="51"/>
        <v>37.565149886772154</v>
      </c>
      <c r="AB60" s="45">
        <f t="shared" si="51"/>
        <v>31.578650304762597</v>
      </c>
      <c r="AC60" s="45">
        <f t="shared" si="51"/>
        <v>40.666633565623187</v>
      </c>
      <c r="AD60" s="45">
        <f t="shared" si="51"/>
        <v>32.584332642156895</v>
      </c>
      <c r="AE60" s="45">
        <f t="shared" si="51"/>
        <v>35.015203492553084</v>
      </c>
      <c r="AF60" s="42">
        <f t="shared" si="52"/>
        <v>36.026556250473313</v>
      </c>
      <c r="AG60" s="35">
        <f t="shared" si="34"/>
        <v>2042</v>
      </c>
      <c r="AH60" s="45">
        <f t="shared" si="53"/>
        <v>26.685554602236394</v>
      </c>
      <c r="AI60" s="45">
        <f t="shared" si="54"/>
        <v>27.694541820317792</v>
      </c>
      <c r="AJ60" s="45">
        <f t="shared" si="55"/>
        <v>26.489957480181399</v>
      </c>
      <c r="AK60" s="45">
        <f t="shared" si="56"/>
        <v>21.522753778719554</v>
      </c>
      <c r="AL60" s="45">
        <f t="shared" si="57"/>
        <v>27.839606609269179</v>
      </c>
      <c r="AM60" s="45">
        <f t="shared" si="58"/>
        <v>29.061693275450445</v>
      </c>
      <c r="AN60" s="42">
        <f t="shared" si="59"/>
        <v>26.083246155157415</v>
      </c>
      <c r="AO60" s="35">
        <f t="shared" si="36"/>
        <v>2042</v>
      </c>
      <c r="AP60" s="45">
        <f t="shared" si="60"/>
        <v>34.381022649969125</v>
      </c>
      <c r="AQ60" s="45">
        <f t="shared" si="91"/>
        <v>36.632329992219269</v>
      </c>
      <c r="AR60" s="45">
        <f t="shared" si="92"/>
        <v>31.561785433706319</v>
      </c>
      <c r="AS60" s="45">
        <f t="shared" si="93"/>
        <v>29.948741242245131</v>
      </c>
      <c r="AT60" s="45">
        <f t="shared" si="94"/>
        <v>33.775412611196678</v>
      </c>
      <c r="AU60" s="45">
        <f t="shared" si="95"/>
        <v>36.803824903752343</v>
      </c>
      <c r="AV60" s="42">
        <f t="shared" si="61"/>
        <v>33.439442588895254</v>
      </c>
      <c r="AW60" s="35">
        <f t="shared" si="38"/>
        <v>2042</v>
      </c>
      <c r="AX60" s="45">
        <f t="shared" si="77"/>
        <v>27.903413621006912</v>
      </c>
      <c r="AY60" s="45">
        <f t="shared" si="78"/>
        <v>29.66015085013516</v>
      </c>
      <c r="AZ60" s="45">
        <f t="shared" si="79"/>
        <v>34.281269629286285</v>
      </c>
      <c r="BA60" s="45">
        <f t="shared" si="80"/>
        <v>24.56857061861886</v>
      </c>
      <c r="BB60" s="45">
        <f t="shared" si="81"/>
        <v>30.504799159766684</v>
      </c>
      <c r="BC60" s="45">
        <f t="shared" si="82"/>
        <v>29.843273089747786</v>
      </c>
      <c r="BD60" s="42">
        <f t="shared" si="68"/>
        <v>29.381452346715218</v>
      </c>
      <c r="BE60" s="35">
        <f t="shared" si="40"/>
        <v>2042</v>
      </c>
      <c r="BF60" s="45">
        <f t="shared" si="69"/>
        <v>35.950082732584363</v>
      </c>
      <c r="BG60" s="45">
        <f t="shared" si="70"/>
        <v>39.23229496304721</v>
      </c>
      <c r="BH60" s="45">
        <f t="shared" si="71"/>
        <v>40.844840058503472</v>
      </c>
      <c r="BI60" s="45">
        <f t="shared" si="72"/>
        <v>34.186971226533132</v>
      </c>
      <c r="BJ60" s="45">
        <f t="shared" si="73"/>
        <v>37.00886268629111</v>
      </c>
      <c r="BK60" s="45">
        <f t="shared" si="74"/>
        <v>37.793620176899957</v>
      </c>
      <c r="BL60" s="42">
        <f t="shared" si="75"/>
        <v>37.665452071319308</v>
      </c>
    </row>
    <row r="61" spans="1:64" x14ac:dyDescent="0.25">
      <c r="A61" s="35">
        <v>2043</v>
      </c>
      <c r="B61" s="57">
        <f t="shared" si="83"/>
        <v>135185.12156976407</v>
      </c>
      <c r="C61" s="57">
        <f t="shared" si="84"/>
        <v>129127.84317151846</v>
      </c>
      <c r="D61" s="57">
        <f t="shared" si="85"/>
        <v>136402.11079101995</v>
      </c>
      <c r="E61" s="57">
        <f t="shared" si="86"/>
        <v>93927.635036691863</v>
      </c>
      <c r="F61" s="57">
        <f t="shared" si="87"/>
        <v>33979.036199801645</v>
      </c>
      <c r="G61" s="57">
        <f t="shared" si="88"/>
        <v>8861.3532944965482</v>
      </c>
      <c r="H61" s="42">
        <f t="shared" si="42"/>
        <v>537483.10006329254</v>
      </c>
      <c r="I61" s="35">
        <f t="shared" si="28"/>
        <v>2043</v>
      </c>
      <c r="J61" s="57">
        <f t="shared" si="90"/>
        <v>171517.7208918923</v>
      </c>
      <c r="K61" s="57">
        <f t="shared" si="90"/>
        <v>168023.38189189159</v>
      </c>
      <c r="L61" s="57">
        <f t="shared" si="90"/>
        <v>160624.34908108076</v>
      </c>
      <c r="M61" s="57">
        <f t="shared" si="90"/>
        <v>128339.83048648649</v>
      </c>
      <c r="N61" s="57">
        <f t="shared" si="90"/>
        <v>40706.59721621612</v>
      </c>
      <c r="O61" s="57">
        <f t="shared" si="90"/>
        <v>11059.297243243262</v>
      </c>
      <c r="P61" s="42">
        <f t="shared" si="44"/>
        <v>680271.17681081058</v>
      </c>
      <c r="Q61" s="35">
        <f t="shared" si="30"/>
        <v>2043</v>
      </c>
      <c r="R61" s="45">
        <f t="shared" si="76"/>
        <v>26.80598088411454</v>
      </c>
      <c r="S61" s="45">
        <f t="shared" si="45"/>
        <v>27.181859999993151</v>
      </c>
      <c r="T61" s="45">
        <f t="shared" si="46"/>
        <v>25.587499892163674</v>
      </c>
      <c r="U61" s="45">
        <f t="shared" si="47"/>
        <v>27.871898383298642</v>
      </c>
      <c r="V61" s="45">
        <f t="shared" si="48"/>
        <v>25.886068933678423</v>
      </c>
      <c r="W61" s="45">
        <f t="shared" si="49"/>
        <v>26.552339131546145</v>
      </c>
      <c r="X61" s="42">
        <f t="shared" si="50"/>
        <v>26.710995310559102</v>
      </c>
      <c r="Y61" s="35">
        <f t="shared" si="32"/>
        <v>2043</v>
      </c>
      <c r="Z61" s="45">
        <f t="shared" si="51"/>
        <v>34.010405095817099</v>
      </c>
      <c r="AA61" s="45">
        <f t="shared" si="51"/>
        <v>35.369506150925631</v>
      </c>
      <c r="AB61" s="45">
        <f t="shared" si="51"/>
        <v>30.131319016667263</v>
      </c>
      <c r="AC61" s="45">
        <f t="shared" si="51"/>
        <v>38.083304369920285</v>
      </c>
      <c r="AD61" s="45">
        <f t="shared" si="51"/>
        <v>31.01129106188727</v>
      </c>
      <c r="AE61" s="45">
        <f t="shared" si="51"/>
        <v>33.138303055983954</v>
      </c>
      <c r="AF61" s="42">
        <f t="shared" si="52"/>
        <v>34.00492451505675</v>
      </c>
      <c r="AG61" s="35">
        <f t="shared" si="34"/>
        <v>2043</v>
      </c>
      <c r="AH61" s="45">
        <f t="shared" si="53"/>
        <v>25.592019651534343</v>
      </c>
      <c r="AI61" s="45">
        <f t="shared" si="54"/>
        <v>26.506878538309341</v>
      </c>
      <c r="AJ61" s="45">
        <f t="shared" si="55"/>
        <v>25.57383465054729</v>
      </c>
      <c r="AK61" s="45">
        <f t="shared" si="56"/>
        <v>20.526121771662556</v>
      </c>
      <c r="AL61" s="45">
        <f t="shared" si="57"/>
        <v>26.832302159403511</v>
      </c>
      <c r="AM61" s="45">
        <f t="shared" si="58"/>
        <v>27.908666599361879</v>
      </c>
      <c r="AN61" s="42">
        <f t="shared" si="59"/>
        <v>25.038509609030029</v>
      </c>
      <c r="AO61" s="35">
        <f t="shared" si="36"/>
        <v>2043</v>
      </c>
      <c r="AP61" s="45">
        <f t="shared" si="60"/>
        <v>32.470177432850392</v>
      </c>
      <c r="AQ61" s="45">
        <f t="shared" si="91"/>
        <v>34.491208603929493</v>
      </c>
      <c r="AR61" s="45">
        <f t="shared" si="92"/>
        <v>30.11522710630797</v>
      </c>
      <c r="AS61" s="45">
        <f t="shared" si="93"/>
        <v>28.046261227497986</v>
      </c>
      <c r="AT61" s="45">
        <f t="shared" si="94"/>
        <v>32.144870441999792</v>
      </c>
      <c r="AU61" s="45">
        <f t="shared" si="95"/>
        <v>34.831049990593328</v>
      </c>
      <c r="AV61" s="42">
        <f t="shared" si="61"/>
        <v>31.597614995340827</v>
      </c>
      <c r="AW61" s="35">
        <f t="shared" si="38"/>
        <v>2043</v>
      </c>
      <c r="AX61" s="45">
        <f t="shared" si="77"/>
        <v>26.759972591083198</v>
      </c>
      <c r="AY61" s="45">
        <f t="shared" si="78"/>
        <v>28.388193641668401</v>
      </c>
      <c r="AZ61" s="45">
        <f t="shared" si="79"/>
        <v>33.095693783808692</v>
      </c>
      <c r="BA61" s="45">
        <f t="shared" si="80"/>
        <v>23.430899106046621</v>
      </c>
      <c r="BB61" s="45">
        <f t="shared" si="81"/>
        <v>29.401061583041706</v>
      </c>
      <c r="BC61" s="45">
        <f t="shared" si="82"/>
        <v>28.659237127075826</v>
      </c>
      <c r="BD61" s="42">
        <f t="shared" si="68"/>
        <v>28.218967009586891</v>
      </c>
      <c r="BE61" s="35">
        <f t="shared" si="40"/>
        <v>2043</v>
      </c>
      <c r="BF61" s="45">
        <f t="shared" si="69"/>
        <v>33.952031530211435</v>
      </c>
      <c r="BG61" s="45">
        <f t="shared" si="70"/>
        <v>36.93920834052237</v>
      </c>
      <c r="BH61" s="45">
        <f t="shared" si="71"/>
        <v>38.972815307496106</v>
      </c>
      <c r="BI61" s="45">
        <f t="shared" si="72"/>
        <v>32.015259601088566</v>
      </c>
      <c r="BJ61" s="45">
        <f t="shared" si="73"/>
        <v>35.222222447764153</v>
      </c>
      <c r="BK61" s="45">
        <f t="shared" si="74"/>
        <v>35.76778981939146</v>
      </c>
      <c r="BL61" s="42">
        <f t="shared" si="75"/>
        <v>35.615481187187278</v>
      </c>
    </row>
    <row r="62" spans="1:64" x14ac:dyDescent="0.25">
      <c r="A62" s="35">
        <v>2044</v>
      </c>
      <c r="B62" s="57">
        <f t="shared" si="83"/>
        <v>129645.43324569028</v>
      </c>
      <c r="C62" s="57">
        <f t="shared" si="84"/>
        <v>123590.27555206619</v>
      </c>
      <c r="D62" s="57">
        <f t="shared" si="85"/>
        <v>131684.81036502172</v>
      </c>
      <c r="E62" s="57">
        <f t="shared" si="86"/>
        <v>89578.224715541757</v>
      </c>
      <c r="F62" s="57">
        <f t="shared" si="87"/>
        <v>32749.592305475544</v>
      </c>
      <c r="G62" s="57">
        <f t="shared" si="88"/>
        <v>8509.7778842835851</v>
      </c>
      <c r="H62" s="42">
        <f t="shared" si="42"/>
        <v>515758.11406807904</v>
      </c>
      <c r="I62" s="35">
        <f t="shared" si="28"/>
        <v>2044</v>
      </c>
      <c r="J62" s="57">
        <f t="shared" si="90"/>
        <v>161424.03362162202</v>
      </c>
      <c r="K62" s="57">
        <f t="shared" si="90"/>
        <v>157592.94262162133</v>
      </c>
      <c r="L62" s="57">
        <f t="shared" si="90"/>
        <v>152908.90038378345</v>
      </c>
      <c r="M62" s="57">
        <f t="shared" si="90"/>
        <v>119634.07250270271</v>
      </c>
      <c r="N62" s="57">
        <f t="shared" si="90"/>
        <v>38641.763156756657</v>
      </c>
      <c r="O62" s="57">
        <f t="shared" si="90"/>
        <v>10432.91635135137</v>
      </c>
      <c r="P62" s="42">
        <f t="shared" si="44"/>
        <v>640634.6286378376</v>
      </c>
      <c r="Q62" s="35">
        <f t="shared" si="30"/>
        <v>2044</v>
      </c>
      <c r="R62" s="45">
        <f t="shared" si="76"/>
        <v>25.707511040726921</v>
      </c>
      <c r="S62" s="45">
        <f t="shared" si="45"/>
        <v>26.01618276048012</v>
      </c>
      <c r="T62" s="45">
        <f t="shared" si="46"/>
        <v>24.702587456120344</v>
      </c>
      <c r="U62" s="45">
        <f t="shared" si="47"/>
        <v>26.581263071859041</v>
      </c>
      <c r="V62" s="45">
        <f t="shared" si="48"/>
        <v>24.949448212258396</v>
      </c>
      <c r="W62" s="45">
        <f t="shared" si="49"/>
        <v>25.498871426101566</v>
      </c>
      <c r="X62" s="42">
        <f t="shared" si="50"/>
        <v>25.625075268659927</v>
      </c>
      <c r="Y62" s="35">
        <f t="shared" si="32"/>
        <v>2044</v>
      </c>
      <c r="Z62" s="45">
        <f t="shared" si="51"/>
        <v>32.008918653557522</v>
      </c>
      <c r="AA62" s="45">
        <f t="shared" si="51"/>
        <v>33.1738624150791</v>
      </c>
      <c r="AB62" s="45">
        <f t="shared" si="51"/>
        <v>28.683987728571932</v>
      </c>
      <c r="AC62" s="45">
        <f t="shared" si="51"/>
        <v>35.499975174217383</v>
      </c>
      <c r="AD62" s="45">
        <f t="shared" si="51"/>
        <v>29.43824948161765</v>
      </c>
      <c r="AE62" s="45">
        <f t="shared" si="51"/>
        <v>31.261402619414831</v>
      </c>
      <c r="AF62" s="42">
        <f t="shared" si="52"/>
        <v>31.986582569566171</v>
      </c>
      <c r="AG62" s="35">
        <f t="shared" si="34"/>
        <v>2044</v>
      </c>
      <c r="AH62" s="45">
        <f t="shared" si="53"/>
        <v>24.543296161798018</v>
      </c>
      <c r="AI62" s="45">
        <f t="shared" si="54"/>
        <v>25.370147460941883</v>
      </c>
      <c r="AJ62" s="45">
        <f t="shared" si="55"/>
        <v>24.689394810197125</v>
      </c>
      <c r="AK62" s="45">
        <f t="shared" si="56"/>
        <v>19.57563977717842</v>
      </c>
      <c r="AL62" s="45">
        <f t="shared" si="57"/>
        <v>25.861444426223184</v>
      </c>
      <c r="AM62" s="45">
        <f t="shared" si="58"/>
        <v>26.801386415164586</v>
      </c>
      <c r="AN62" s="42">
        <f t="shared" si="59"/>
        <v>24.036897105071073</v>
      </c>
      <c r="AO62" s="35">
        <f t="shared" si="36"/>
        <v>2044</v>
      </c>
      <c r="AP62" s="45">
        <f t="shared" si="60"/>
        <v>30.559332215731651</v>
      </c>
      <c r="AQ62" s="45">
        <f t="shared" si="91"/>
        <v>32.350087215639718</v>
      </c>
      <c r="AR62" s="45">
        <f t="shared" si="92"/>
        <v>28.668668778909623</v>
      </c>
      <c r="AS62" s="45">
        <f t="shared" si="93"/>
        <v>26.143781212750845</v>
      </c>
      <c r="AT62" s="45">
        <f t="shared" si="94"/>
        <v>30.514328272802903</v>
      </c>
      <c r="AU62" s="45">
        <f t="shared" si="95"/>
        <v>32.858275077434321</v>
      </c>
      <c r="AV62" s="42">
        <f t="shared" si="61"/>
        <v>29.758729818977017</v>
      </c>
      <c r="AW62" s="35">
        <f t="shared" si="38"/>
        <v>2044</v>
      </c>
      <c r="AX62" s="45">
        <f t="shared" si="77"/>
        <v>25.663388100171918</v>
      </c>
      <c r="AY62" s="45">
        <f t="shared" si="78"/>
        <v>27.170783530697712</v>
      </c>
      <c r="AZ62" s="45">
        <f t="shared" si="79"/>
        <v>31.951119631109098</v>
      </c>
      <c r="BA62" s="45">
        <f t="shared" si="80"/>
        <v>22.345908577265018</v>
      </c>
      <c r="BB62" s="45">
        <f t="shared" si="81"/>
        <v>28.337259907284128</v>
      </c>
      <c r="BC62" s="45">
        <f t="shared" si="82"/>
        <v>27.522177954003467</v>
      </c>
      <c r="BD62" s="42">
        <f t="shared" si="68"/>
        <v>27.107014605709864</v>
      </c>
      <c r="BE62" s="35">
        <f t="shared" si="40"/>
        <v>2044</v>
      </c>
      <c r="BF62" s="45">
        <f t="shared" si="69"/>
        <v>31.953980327838501</v>
      </c>
      <c r="BG62" s="45">
        <f t="shared" si="70"/>
        <v>34.646121717997524</v>
      </c>
      <c r="BH62" s="45">
        <f t="shared" si="71"/>
        <v>37.100790556488747</v>
      </c>
      <c r="BI62" s="45">
        <f t="shared" si="72"/>
        <v>29.843547975643997</v>
      </c>
      <c r="BJ62" s="45">
        <f t="shared" si="73"/>
        <v>33.435582209237189</v>
      </c>
      <c r="BK62" s="45">
        <f t="shared" si="74"/>
        <v>33.741959461882978</v>
      </c>
      <c r="BL62" s="42">
        <f t="shared" si="75"/>
        <v>33.5690686459304</v>
      </c>
    </row>
    <row r="63" spans="1:64" x14ac:dyDescent="0.25">
      <c r="A63" s="35">
        <v>2045</v>
      </c>
      <c r="B63" s="57">
        <f t="shared" si="83"/>
        <v>124332.75323711401</v>
      </c>
      <c r="C63" s="57">
        <f t="shared" si="84"/>
        <v>118290.18309201293</v>
      </c>
      <c r="D63" s="57">
        <f t="shared" si="85"/>
        <v>127130.65201343918</v>
      </c>
      <c r="E63" s="57">
        <f t="shared" si="86"/>
        <v>85430.218061526859</v>
      </c>
      <c r="F63" s="57">
        <f t="shared" si="87"/>
        <v>31564.632671397663</v>
      </c>
      <c r="G63" s="57">
        <f t="shared" si="88"/>
        <v>8172.1512768052089</v>
      </c>
      <c r="H63" s="42">
        <f t="shared" si="42"/>
        <v>494920.59035229578</v>
      </c>
      <c r="I63" s="35">
        <f t="shared" si="28"/>
        <v>2045</v>
      </c>
      <c r="J63" s="57">
        <f t="shared" si="90"/>
        <v>151330.34635135173</v>
      </c>
      <c r="K63" s="57">
        <f t="shared" si="90"/>
        <v>147162.50335135107</v>
      </c>
      <c r="L63" s="57">
        <f t="shared" si="90"/>
        <v>145193.45168648614</v>
      </c>
      <c r="M63" s="57">
        <f t="shared" si="90"/>
        <v>110928.31451891892</v>
      </c>
      <c r="N63" s="57">
        <f t="shared" si="90"/>
        <v>36576.929097297194</v>
      </c>
      <c r="O63" s="57">
        <f t="shared" si="90"/>
        <v>9806.5354594594792</v>
      </c>
      <c r="P63" s="42">
        <f t="shared" si="44"/>
        <v>600998.08046486462</v>
      </c>
      <c r="Q63" s="35">
        <f t="shared" si="30"/>
        <v>2045</v>
      </c>
      <c r="R63" s="45">
        <f t="shared" si="76"/>
        <v>24.654054882980901</v>
      </c>
      <c r="S63" s="45">
        <f t="shared" si="45"/>
        <v>24.900494867785859</v>
      </c>
      <c r="T63" s="45">
        <f t="shared" si="46"/>
        <v>23.848278636013095</v>
      </c>
      <c r="U63" s="45">
        <f t="shared" si="47"/>
        <v>25.350391881407084</v>
      </c>
      <c r="V63" s="45">
        <f t="shared" si="48"/>
        <v>24.046716698892357</v>
      </c>
      <c r="W63" s="45">
        <f t="shared" si="49"/>
        <v>24.487200196700641</v>
      </c>
      <c r="X63" s="42">
        <f t="shared" si="50"/>
        <v>24.584683803649803</v>
      </c>
      <c r="Y63" s="35">
        <f t="shared" si="32"/>
        <v>2045</v>
      </c>
      <c r="Z63" s="45">
        <f t="shared" si="51"/>
        <v>30.007432211297946</v>
      </c>
      <c r="AA63" s="45">
        <f t="shared" si="51"/>
        <v>30.978218679232576</v>
      </c>
      <c r="AB63" s="45">
        <f t="shared" si="51"/>
        <v>27.236656440476594</v>
      </c>
      <c r="AC63" s="45">
        <f t="shared" si="51"/>
        <v>32.916645978514488</v>
      </c>
      <c r="AD63" s="45">
        <f t="shared" si="51"/>
        <v>27.865207901348025</v>
      </c>
      <c r="AE63" s="45">
        <f t="shared" si="51"/>
        <v>29.384502182845701</v>
      </c>
      <c r="AF63" s="42">
        <f t="shared" si="52"/>
        <v>29.97218131084027</v>
      </c>
      <c r="AG63" s="35">
        <f t="shared" si="34"/>
        <v>2045</v>
      </c>
      <c r="AH63" s="45">
        <f t="shared" si="53"/>
        <v>23.53754782497656</v>
      </c>
      <c r="AI63" s="45">
        <f t="shared" si="54"/>
        <v>24.282164392148335</v>
      </c>
      <c r="AJ63" s="45">
        <f t="shared" si="55"/>
        <v>23.83554224163813</v>
      </c>
      <c r="AK63" s="45">
        <f t="shared" si="56"/>
        <v>18.669170774134574</v>
      </c>
      <c r="AL63" s="45">
        <f t="shared" si="57"/>
        <v>24.92571467917228</v>
      </c>
      <c r="AM63" s="45">
        <f t="shared" si="58"/>
        <v>25.738037724503567</v>
      </c>
      <c r="AN63" s="42">
        <f t="shared" si="59"/>
        <v>23.07658146032237</v>
      </c>
      <c r="AO63" s="35">
        <f t="shared" si="36"/>
        <v>2045</v>
      </c>
      <c r="AP63" s="45">
        <f t="shared" si="60"/>
        <v>28.64848699861291</v>
      </c>
      <c r="AQ63" s="45">
        <f t="shared" si="91"/>
        <v>30.208965827349942</v>
      </c>
      <c r="AR63" s="45">
        <f t="shared" si="92"/>
        <v>27.222110451511274</v>
      </c>
      <c r="AS63" s="45">
        <f t="shared" si="93"/>
        <v>24.241301198003708</v>
      </c>
      <c r="AT63" s="45">
        <f t="shared" si="94"/>
        <v>28.883786103606017</v>
      </c>
      <c r="AU63" s="45">
        <f t="shared" si="95"/>
        <v>30.88550016427531</v>
      </c>
      <c r="AV63" s="42">
        <f t="shared" si="61"/>
        <v>27.923369227690102</v>
      </c>
      <c r="AW63" s="35">
        <f t="shared" si="38"/>
        <v>2045</v>
      </c>
      <c r="AX63" s="45">
        <f t="shared" si="77"/>
        <v>24.611740035918572</v>
      </c>
      <c r="AY63" s="45">
        <f t="shared" si="78"/>
        <v>26.005581298713675</v>
      </c>
      <c r="AZ63" s="45">
        <f t="shared" si="79"/>
        <v>30.846129177714491</v>
      </c>
      <c r="BA63" s="45">
        <f t="shared" si="80"/>
        <v>21.311159588179258</v>
      </c>
      <c r="BB63" s="45">
        <f t="shared" si="81"/>
        <v>27.311949154792991</v>
      </c>
      <c r="BC63" s="45">
        <f t="shared" si="82"/>
        <v>26.430231759945006</v>
      </c>
      <c r="BD63" s="42">
        <f t="shared" si="68"/>
        <v>26.04399799347669</v>
      </c>
      <c r="BE63" s="35">
        <f t="shared" si="40"/>
        <v>2045</v>
      </c>
      <c r="BF63" s="45">
        <f t="shared" si="69"/>
        <v>29.95592912546557</v>
      </c>
      <c r="BG63" s="45">
        <f t="shared" si="70"/>
        <v>32.353035095472684</v>
      </c>
      <c r="BH63" s="45">
        <f t="shared" si="71"/>
        <v>35.228765805481387</v>
      </c>
      <c r="BI63" s="45">
        <f t="shared" si="72"/>
        <v>27.671836350199435</v>
      </c>
      <c r="BJ63" s="45">
        <f t="shared" si="73"/>
        <v>31.648941970710236</v>
      </c>
      <c r="BK63" s="45">
        <f t="shared" si="74"/>
        <v>31.716129104374485</v>
      </c>
      <c r="BL63" s="42">
        <f t="shared" si="75"/>
        <v>31.526918478559928</v>
      </c>
    </row>
    <row r="64" spans="1:64" x14ac:dyDescent="0.25">
      <c r="A64" s="35">
        <v>2046</v>
      </c>
      <c r="B64" s="57">
        <f t="shared" si="83"/>
        <v>119237.779075685</v>
      </c>
      <c r="C64" s="57">
        <f t="shared" si="84"/>
        <v>113217.38181615385</v>
      </c>
      <c r="D64" s="57">
        <f t="shared" si="85"/>
        <v>122733.99366685947</v>
      </c>
      <c r="E64" s="57">
        <f t="shared" si="86"/>
        <v>81474.288882326728</v>
      </c>
      <c r="F64" s="57">
        <f t="shared" si="87"/>
        <v>30422.54774920312</v>
      </c>
      <c r="G64" s="57">
        <f t="shared" si="88"/>
        <v>7847.920051395251</v>
      </c>
      <c r="H64" s="42">
        <f t="shared" si="42"/>
        <v>474933.9112416234</v>
      </c>
      <c r="I64" s="35">
        <f t="shared" si="28"/>
        <v>2046</v>
      </c>
      <c r="J64" s="57">
        <f t="shared" si="90"/>
        <v>141236.65908108145</v>
      </c>
      <c r="K64" s="57">
        <f t="shared" si="90"/>
        <v>136732.06408108081</v>
      </c>
      <c r="L64" s="57">
        <f t="shared" si="90"/>
        <v>137478.00298918883</v>
      </c>
      <c r="M64" s="57">
        <f t="shared" si="90"/>
        <v>102222.55653513514</v>
      </c>
      <c r="N64" s="57">
        <f t="shared" si="90"/>
        <v>34512.095037837731</v>
      </c>
      <c r="O64" s="57">
        <f t="shared" si="90"/>
        <v>9180.1545675675879</v>
      </c>
      <c r="P64" s="42">
        <f t="shared" si="44"/>
        <v>561361.53229189152</v>
      </c>
      <c r="Q64" s="35">
        <f t="shared" si="30"/>
        <v>2046</v>
      </c>
      <c r="R64" s="45">
        <f t="shared" si="76"/>
        <v>23.643767815954504</v>
      </c>
      <c r="S64" s="45">
        <f t="shared" si="45"/>
        <v>23.832652559717307</v>
      </c>
      <c r="T64" s="45">
        <f t="shared" si="46"/>
        <v>23.023515043158234</v>
      </c>
      <c r="U64" s="45">
        <f t="shared" si="47"/>
        <v>24.176517376304083</v>
      </c>
      <c r="V64" s="45">
        <f t="shared" si="48"/>
        <v>23.176648199886042</v>
      </c>
      <c r="W64" s="45">
        <f t="shared" si="49"/>
        <v>23.515667162410182</v>
      </c>
      <c r="X64" s="42">
        <f t="shared" si="50"/>
        <v>23.587861164447769</v>
      </c>
      <c r="Y64" s="35">
        <f t="shared" si="32"/>
        <v>2046</v>
      </c>
      <c r="Z64" s="45">
        <f t="shared" si="51"/>
        <v>28.00594576903837</v>
      </c>
      <c r="AA64" s="45">
        <f t="shared" si="51"/>
        <v>28.782574943386052</v>
      </c>
      <c r="AB64" s="45">
        <f t="shared" si="51"/>
        <v>25.789325152381259</v>
      </c>
      <c r="AC64" s="45">
        <f t="shared" si="51"/>
        <v>30.333316782811593</v>
      </c>
      <c r="AD64" s="45">
        <f t="shared" si="51"/>
        <v>26.292166321078405</v>
      </c>
      <c r="AE64" s="45">
        <f t="shared" si="51"/>
        <v>27.507601746276578</v>
      </c>
      <c r="AF64" s="42">
        <f t="shared" si="52"/>
        <v>27.962555469503432</v>
      </c>
      <c r="AG64" s="35">
        <f t="shared" si="34"/>
        <v>2046</v>
      </c>
      <c r="AH64" s="45">
        <f t="shared" si="53"/>
        <v>22.573013582234015</v>
      </c>
      <c r="AI64" s="45">
        <f t="shared" si="54"/>
        <v>23.240838803757839</v>
      </c>
      <c r="AJ64" s="45">
        <f t="shared" si="55"/>
        <v>23.011219121428905</v>
      </c>
      <c r="AK64" s="45">
        <f t="shared" si="56"/>
        <v>17.804676698236516</v>
      </c>
      <c r="AL64" s="45">
        <f t="shared" si="57"/>
        <v>24.023841902562985</v>
      </c>
      <c r="AM64" s="45">
        <f t="shared" si="58"/>
        <v>24.716877539333094</v>
      </c>
      <c r="AN64" s="42">
        <f t="shared" si="59"/>
        <v>22.155814586050464</v>
      </c>
      <c r="AO64" s="35">
        <f t="shared" si="36"/>
        <v>2046</v>
      </c>
      <c r="AP64" s="45">
        <f t="shared" si="60"/>
        <v>26.737641781494169</v>
      </c>
      <c r="AQ64" s="45">
        <f t="shared" si="91"/>
        <v>28.067844439060174</v>
      </c>
      <c r="AR64" s="45">
        <f t="shared" si="92"/>
        <v>25.77555212411292</v>
      </c>
      <c r="AS64" s="45">
        <f t="shared" si="93"/>
        <v>22.33882118325657</v>
      </c>
      <c r="AT64" s="45">
        <f t="shared" si="94"/>
        <v>27.253243934409138</v>
      </c>
      <c r="AU64" s="45">
        <f t="shared" si="95"/>
        <v>28.912725251116299</v>
      </c>
      <c r="AV64" s="42">
        <f t="shared" si="61"/>
        <v>26.092279811929316</v>
      </c>
      <c r="AW64" s="35">
        <f t="shared" si="38"/>
        <v>2046</v>
      </c>
      <c r="AX64" s="45">
        <f t="shared" si="77"/>
        <v>23.603186969361193</v>
      </c>
      <c r="AY64" s="45">
        <f t="shared" si="78"/>
        <v>24.890348043144567</v>
      </c>
      <c r="AZ64" s="45">
        <f t="shared" si="79"/>
        <v>29.779353469724434</v>
      </c>
      <c r="BA64" s="45">
        <f t="shared" si="80"/>
        <v>20.324325655521474</v>
      </c>
      <c r="BB64" s="45">
        <f t="shared" si="81"/>
        <v>26.323736630663149</v>
      </c>
      <c r="BC64" s="45">
        <f t="shared" si="82"/>
        <v>25.381608681255951</v>
      </c>
      <c r="BD64" s="42">
        <f t="shared" si="68"/>
        <v>25.028521000351613</v>
      </c>
      <c r="BE64" s="35">
        <f t="shared" si="40"/>
        <v>2046</v>
      </c>
      <c r="BF64" s="45">
        <f t="shared" si="69"/>
        <v>27.957877923092632</v>
      </c>
      <c r="BG64" s="45">
        <f t="shared" si="70"/>
        <v>30.059948472947845</v>
      </c>
      <c r="BH64" s="45">
        <f t="shared" si="71"/>
        <v>33.356741054474014</v>
      </c>
      <c r="BI64" s="45">
        <f t="shared" si="72"/>
        <v>25.500124724754876</v>
      </c>
      <c r="BJ64" s="45">
        <f t="shared" si="73"/>
        <v>29.862301732183287</v>
      </c>
      <c r="BK64" s="45">
        <f t="shared" si="74"/>
        <v>29.690298746865995</v>
      </c>
      <c r="BL64" s="42">
        <f t="shared" si="75"/>
        <v>29.489933556638096</v>
      </c>
    </row>
    <row r="65" spans="1:64" x14ac:dyDescent="0.25">
      <c r="A65" s="35">
        <v>2047</v>
      </c>
      <c r="B65" s="57">
        <f t="shared" si="83"/>
        <v>114351.58949458394</v>
      </c>
      <c r="C65" s="57">
        <f t="shared" si="84"/>
        <v>108362.12448275651</v>
      </c>
      <c r="D65" s="57">
        <f t="shared" si="85"/>
        <v>118489.38837995027</v>
      </c>
      <c r="E65" s="57">
        <f t="shared" si="86"/>
        <v>77701.542844009804</v>
      </c>
      <c r="F65" s="57">
        <f t="shared" si="87"/>
        <v>29321.786227888388</v>
      </c>
      <c r="G65" s="57">
        <f t="shared" si="88"/>
        <v>7536.5527444285581</v>
      </c>
      <c r="H65" s="42">
        <f t="shared" si="42"/>
        <v>455762.98417361744</v>
      </c>
      <c r="I65" s="35">
        <f t="shared" si="28"/>
        <v>2047</v>
      </c>
      <c r="J65" s="57">
        <f t="shared" si="90"/>
        <v>131142.97181081117</v>
      </c>
      <c r="K65" s="57">
        <f t="shared" si="90"/>
        <v>126301.62481081054</v>
      </c>
      <c r="L65" s="57">
        <f t="shared" si="90"/>
        <v>129762.55429189153</v>
      </c>
      <c r="M65" s="57">
        <f t="shared" si="90"/>
        <v>93516.798551351356</v>
      </c>
      <c r="N65" s="57">
        <f t="shared" si="90"/>
        <v>32447.260978378272</v>
      </c>
      <c r="O65" s="57">
        <f t="shared" si="90"/>
        <v>8553.7736756756967</v>
      </c>
      <c r="P65" s="42">
        <f t="shared" si="44"/>
        <v>521724.98411891854</v>
      </c>
      <c r="Q65" s="35">
        <f t="shared" si="30"/>
        <v>2047</v>
      </c>
      <c r="R65" s="45">
        <f t="shared" si="76"/>
        <v>22.674880833524554</v>
      </c>
      <c r="S65" s="45">
        <f t="shared" si="45"/>
        <v>22.810604007995998</v>
      </c>
      <c r="T65" s="45">
        <f t="shared" si="46"/>
        <v>22.227274891952177</v>
      </c>
      <c r="U65" s="45">
        <f t="shared" si="47"/>
        <v>23.057000269705107</v>
      </c>
      <c r="V65" s="45">
        <f t="shared" si="48"/>
        <v>22.338060888205309</v>
      </c>
      <c r="W65" s="45">
        <f t="shared" si="49"/>
        <v>22.582679834821008</v>
      </c>
      <c r="X65" s="42">
        <f t="shared" si="50"/>
        <v>22.632733766356409</v>
      </c>
      <c r="Y65" s="35">
        <f t="shared" si="32"/>
        <v>2047</v>
      </c>
      <c r="Z65" s="45">
        <f t="shared" si="51"/>
        <v>26.004459326778793</v>
      </c>
      <c r="AA65" s="45">
        <f t="shared" si="51"/>
        <v>26.586931207539521</v>
      </c>
      <c r="AB65" s="45">
        <f t="shared" si="51"/>
        <v>24.341993864285929</v>
      </c>
      <c r="AC65" s="45">
        <f t="shared" si="51"/>
        <v>27.749987587108691</v>
      </c>
      <c r="AD65" s="45">
        <f t="shared" si="51"/>
        <v>24.71912474080878</v>
      </c>
      <c r="AE65" s="45">
        <f t="shared" si="51"/>
        <v>25.630701309707447</v>
      </c>
      <c r="AF65" s="42">
        <f t="shared" si="52"/>
        <v>25.958793441169131</v>
      </c>
      <c r="AG65" s="35">
        <f t="shared" si="34"/>
        <v>2047</v>
      </c>
      <c r="AH65" s="45">
        <f t="shared" si="53"/>
        <v>21.648004540346751</v>
      </c>
      <c r="AI65" s="45">
        <f t="shared" si="54"/>
        <v>22.244169818606029</v>
      </c>
      <c r="AJ65" s="45">
        <f t="shared" si="55"/>
        <v>22.215404209659948</v>
      </c>
      <c r="AK65" s="45">
        <f t="shared" si="56"/>
        <v>16.980213859735368</v>
      </c>
      <c r="AL65" s="45">
        <f t="shared" si="57"/>
        <v>23.154601069135992</v>
      </c>
      <c r="AM65" s="45">
        <f t="shared" si="58"/>
        <v>23.736232024897781</v>
      </c>
      <c r="AN65" s="42">
        <f t="shared" si="59"/>
        <v>21.272924005759464</v>
      </c>
      <c r="AO65" s="35">
        <f t="shared" si="36"/>
        <v>2047</v>
      </c>
      <c r="AP65" s="45">
        <f t="shared" si="60"/>
        <v>24.826796564375432</v>
      </c>
      <c r="AQ65" s="45">
        <f t="shared" si="91"/>
        <v>25.926723050770395</v>
      </c>
      <c r="AR65" s="45">
        <f t="shared" si="92"/>
        <v>24.328993796714578</v>
      </c>
      <c r="AS65" s="45">
        <f t="shared" si="93"/>
        <v>20.436341168509429</v>
      </c>
      <c r="AT65" s="45">
        <f t="shared" si="94"/>
        <v>25.622701765212252</v>
      </c>
      <c r="AU65" s="45">
        <f t="shared" si="95"/>
        <v>26.939950337957285</v>
      </c>
      <c r="AV65" s="42">
        <f t="shared" si="61"/>
        <v>24.266435042352452</v>
      </c>
      <c r="AW65" s="35">
        <f t="shared" si="38"/>
        <v>2047</v>
      </c>
      <c r="AX65" s="45">
        <f t="shared" si="77"/>
        <v>22.635962930600218</v>
      </c>
      <c r="AY65" s="45">
        <f t="shared" si="78"/>
        <v>23.82294087536949</v>
      </c>
      <c r="AZ65" s="45">
        <f t="shared" si="79"/>
        <v>28.749470896837366</v>
      </c>
      <c r="BA65" s="45">
        <f t="shared" si="80"/>
        <v>19.38318802608995</v>
      </c>
      <c r="BB65" s="45">
        <f t="shared" si="81"/>
        <v>25.371280031067013</v>
      </c>
      <c r="BC65" s="45">
        <f t="shared" si="82"/>
        <v>24.374589867377992</v>
      </c>
      <c r="BD65" s="42">
        <f t="shared" si="68"/>
        <v>24.059429217803284</v>
      </c>
      <c r="BE65" s="35">
        <f t="shared" si="40"/>
        <v>2047</v>
      </c>
      <c r="BF65" s="45">
        <f t="shared" si="69"/>
        <v>25.959826720719704</v>
      </c>
      <c r="BG65" s="45">
        <f t="shared" si="70"/>
        <v>27.766861850422998</v>
      </c>
      <c r="BH65" s="45">
        <f t="shared" si="71"/>
        <v>31.484716303466666</v>
      </c>
      <c r="BI65" s="45">
        <f t="shared" si="72"/>
        <v>23.328413099310314</v>
      </c>
      <c r="BJ65" s="45">
        <f t="shared" si="73"/>
        <v>28.075661493656334</v>
      </c>
      <c r="BK65" s="45">
        <f t="shared" si="74"/>
        <v>27.664468389357506</v>
      </c>
      <c r="BL65" s="42">
        <f t="shared" si="75"/>
        <v>27.459291123959723</v>
      </c>
    </row>
    <row r="66" spans="1:64" x14ac:dyDescent="0.25">
      <c r="A66" s="35">
        <v>2048</v>
      </c>
      <c r="B66" s="57">
        <f t="shared" si="83"/>
        <v>109665.62880744194</v>
      </c>
      <c r="C66" s="57">
        <f t="shared" si="84"/>
        <v>103715.08185451626</v>
      </c>
      <c r="D66" s="57">
        <f t="shared" si="85"/>
        <v>114391.57758333167</v>
      </c>
      <c r="E66" s="57">
        <f t="shared" si="86"/>
        <v>74103.497473411422</v>
      </c>
      <c r="F66" s="57">
        <f t="shared" si="87"/>
        <v>28260.852926642398</v>
      </c>
      <c r="G66" s="57">
        <f t="shared" si="88"/>
        <v>7237.5389781723688</v>
      </c>
      <c r="H66" s="42">
        <f t="shared" si="42"/>
        <v>437374.17762351607</v>
      </c>
      <c r="I66" s="35">
        <f t="shared" si="28"/>
        <v>2048</v>
      </c>
      <c r="J66" s="57">
        <f t="shared" si="90"/>
        <v>121049.2845405409</v>
      </c>
      <c r="K66" s="57">
        <f t="shared" si="90"/>
        <v>115871.18554054026</v>
      </c>
      <c r="L66" s="57">
        <f t="shared" si="90"/>
        <v>122047.10559459424</v>
      </c>
      <c r="M66" s="57">
        <f t="shared" si="90"/>
        <v>84811.040567567572</v>
      </c>
      <c r="N66" s="57">
        <f t="shared" si="90"/>
        <v>30382.426918918813</v>
      </c>
      <c r="O66" s="57">
        <f t="shared" si="90"/>
        <v>7927.3927837838046</v>
      </c>
      <c r="P66" s="42">
        <f t="shared" si="44"/>
        <v>482088.43594594556</v>
      </c>
      <c r="Q66" s="35">
        <f t="shared" si="30"/>
        <v>2048</v>
      </c>
      <c r="R66" s="45">
        <f t="shared" si="76"/>
        <v>21.745697420848352</v>
      </c>
      <c r="S66" s="45">
        <f t="shared" si="45"/>
        <v>21.832385375729029</v>
      </c>
      <c r="T66" s="45">
        <f t="shared" si="46"/>
        <v>21.458571733998642</v>
      </c>
      <c r="U66" s="45">
        <f t="shared" si="47"/>
        <v>21.989323489504677</v>
      </c>
      <c r="V66" s="45">
        <f t="shared" si="48"/>
        <v>21.529815698182851</v>
      </c>
      <c r="W66" s="45">
        <f t="shared" si="49"/>
        <v>21.686708907720497</v>
      </c>
      <c r="X66" s="42">
        <f t="shared" si="50"/>
        <v>21.717510339645091</v>
      </c>
      <c r="Y66" s="35">
        <f t="shared" si="32"/>
        <v>2048</v>
      </c>
      <c r="Z66" s="45">
        <f t="shared" si="51"/>
        <v>24.00297288451922</v>
      </c>
      <c r="AA66" s="45">
        <f t="shared" si="51"/>
        <v>24.391287471692998</v>
      </c>
      <c r="AB66" s="45">
        <f t="shared" si="51"/>
        <v>22.894662576190601</v>
      </c>
      <c r="AC66" s="45">
        <f t="shared" si="51"/>
        <v>25.166658391405793</v>
      </c>
      <c r="AD66" s="45">
        <f t="shared" si="51"/>
        <v>23.14608316053916</v>
      </c>
      <c r="AE66" s="45">
        <f t="shared" si="51"/>
        <v>23.753800873138321</v>
      </c>
      <c r="AF66" s="42">
        <f t="shared" si="52"/>
        <v>23.962341566109551</v>
      </c>
      <c r="AG66" s="35">
        <f t="shared" si="34"/>
        <v>2048</v>
      </c>
      <c r="AH66" s="45">
        <f t="shared" si="53"/>
        <v>20.760901014462302</v>
      </c>
      <c r="AI66" s="45">
        <f t="shared" si="54"/>
        <v>21.290242365907126</v>
      </c>
      <c r="AJ66" s="45">
        <f t="shared" si="55"/>
        <v>21.447111584756886</v>
      </c>
      <c r="AK66" s="45">
        <f t="shared" si="56"/>
        <v>16.193928573322921</v>
      </c>
      <c r="AL66" s="45">
        <f t="shared" si="57"/>
        <v>22.316811476087675</v>
      </c>
      <c r="AM66" s="45">
        <f t="shared" si="58"/>
        <v>22.794493756066277</v>
      </c>
      <c r="AN66" s="42">
        <f t="shared" si="59"/>
        <v>20.426309528500052</v>
      </c>
      <c r="AO66" s="35">
        <f t="shared" si="36"/>
        <v>2048</v>
      </c>
      <c r="AP66" s="45">
        <f t="shared" si="60"/>
        <v>22.915951347256698</v>
      </c>
      <c r="AQ66" s="45">
        <f t="shared" si="91"/>
        <v>23.785601662480619</v>
      </c>
      <c r="AR66" s="45">
        <f t="shared" si="92"/>
        <v>22.882435469316238</v>
      </c>
      <c r="AS66" s="45">
        <f t="shared" si="93"/>
        <v>18.533861153762288</v>
      </c>
      <c r="AT66" s="45">
        <f t="shared" si="94"/>
        <v>23.99215959601537</v>
      </c>
      <c r="AU66" s="45">
        <f t="shared" si="95"/>
        <v>24.967175424798281</v>
      </c>
      <c r="AV66" s="42">
        <f t="shared" si="61"/>
        <v>22.447128538484211</v>
      </c>
      <c r="AW66" s="35">
        <f t="shared" si="38"/>
        <v>2048</v>
      </c>
      <c r="AX66" s="45">
        <f t="shared" si="77"/>
        <v>21.708374316596561</v>
      </c>
      <c r="AY66" s="45">
        <f t="shared" si="78"/>
        <v>22.801308803219541</v>
      </c>
      <c r="AZ66" s="45">
        <f t="shared" si="79"/>
        <v>27.755205555030045</v>
      </c>
      <c r="BA66" s="45">
        <f t="shared" si="80"/>
        <v>18.485630688203866</v>
      </c>
      <c r="BB66" s="45">
        <f t="shared" si="81"/>
        <v>24.453285619983184</v>
      </c>
      <c r="BC66" s="45">
        <f t="shared" si="82"/>
        <v>23.407524663385011</v>
      </c>
      <c r="BD66" s="42">
        <f t="shared" si="68"/>
        <v>23.135872826632095</v>
      </c>
      <c r="BE66" s="35">
        <f t="shared" si="40"/>
        <v>2048</v>
      </c>
      <c r="BF66" s="45">
        <f t="shared" si="69"/>
        <v>23.96177551834678</v>
      </c>
      <c r="BG66" s="45">
        <f t="shared" si="70"/>
        <v>25.473775227898155</v>
      </c>
      <c r="BH66" s="45">
        <f t="shared" si="71"/>
        <v>29.612691552459314</v>
      </c>
      <c r="BI66" s="45">
        <f t="shared" si="72"/>
        <v>21.156701473865745</v>
      </c>
      <c r="BJ66" s="45">
        <f t="shared" si="73"/>
        <v>26.289021255129381</v>
      </c>
      <c r="BK66" s="45">
        <f t="shared" si="74"/>
        <v>25.63863803184902</v>
      </c>
      <c r="BL66" s="42">
        <f t="shared" si="75"/>
        <v>25.436555588805664</v>
      </c>
    </row>
    <row r="67" spans="1:64" x14ac:dyDescent="0.25">
      <c r="A67" s="35">
        <v>2049</v>
      </c>
      <c r="B67" s="57">
        <f t="shared" si="83"/>
        <v>105171.69192738905</v>
      </c>
      <c r="C67" s="57">
        <f t="shared" si="84"/>
        <v>99267.324772695123</v>
      </c>
      <c r="D67" s="57">
        <f t="shared" si="85"/>
        <v>110435.48456882397</v>
      </c>
      <c r="E67" s="57">
        <f t="shared" si="86"/>
        <v>70672.06308652123</v>
      </c>
      <c r="F67" s="57">
        <f t="shared" si="87"/>
        <v>27238.306763920122</v>
      </c>
      <c r="G67" s="57">
        <f t="shared" si="88"/>
        <v>6950.3886242006365</v>
      </c>
      <c r="H67" s="42">
        <f t="shared" si="42"/>
        <v>419735.25974355015</v>
      </c>
      <c r="I67" s="35">
        <f t="shared" si="28"/>
        <v>2049</v>
      </c>
      <c r="J67" s="57">
        <f t="shared" si="90"/>
        <v>110955.59727027063</v>
      </c>
      <c r="K67" s="57">
        <f t="shared" si="90"/>
        <v>105440.74627026998</v>
      </c>
      <c r="L67" s="57">
        <f t="shared" si="90"/>
        <v>114331.65689729694</v>
      </c>
      <c r="M67" s="57">
        <f t="shared" si="90"/>
        <v>76105.282583783788</v>
      </c>
      <c r="N67" s="57">
        <f t="shared" si="90"/>
        <v>28317.592859459353</v>
      </c>
      <c r="O67" s="57">
        <f t="shared" si="90"/>
        <v>7301.0118918919125</v>
      </c>
      <c r="P67" s="42">
        <f t="shared" si="44"/>
        <v>442451.88777297258</v>
      </c>
      <c r="Q67" s="35">
        <f t="shared" si="30"/>
        <v>2049</v>
      </c>
      <c r="R67" s="45">
        <f t="shared" si="76"/>
        <v>20.854590583777174</v>
      </c>
      <c r="S67" s="45">
        <f t="shared" si="45"/>
        <v>20.896117043952952</v>
      </c>
      <c r="T67" s="45">
        <f t="shared" si="46"/>
        <v>20.716453236014448</v>
      </c>
      <c r="U67" s="45">
        <f t="shared" si="47"/>
        <v>20.971086519064624</v>
      </c>
      <c r="V67" s="45">
        <f t="shared" si="48"/>
        <v>20.750814778308268</v>
      </c>
      <c r="W67" s="45">
        <f t="shared" si="49"/>
        <v>20.826285750330278</v>
      </c>
      <c r="X67" s="42">
        <f t="shared" si="50"/>
        <v>20.840478252446239</v>
      </c>
      <c r="Y67" s="35">
        <f t="shared" si="32"/>
        <v>2049</v>
      </c>
      <c r="Z67" s="45">
        <f t="shared" si="51"/>
        <v>22.001486442259644</v>
      </c>
      <c r="AA67" s="45">
        <f t="shared" si="51"/>
        <v>22.195643735846467</v>
      </c>
      <c r="AB67" s="45">
        <f t="shared" si="51"/>
        <v>21.44733128809527</v>
      </c>
      <c r="AC67" s="45">
        <f t="shared" si="51"/>
        <v>22.583329195702898</v>
      </c>
      <c r="AD67" s="45">
        <f t="shared" si="51"/>
        <v>21.573041580269543</v>
      </c>
      <c r="AE67" s="45">
        <f t="shared" si="51"/>
        <v>21.876900436569191</v>
      </c>
      <c r="AF67" s="42">
        <f t="shared" si="52"/>
        <v>21.975164459577314</v>
      </c>
      <c r="AG67" s="35">
        <f t="shared" si="34"/>
        <v>2049</v>
      </c>
      <c r="AH67" s="45">
        <f t="shared" si="53"/>
        <v>19.910149692041688</v>
      </c>
      <c r="AI67" s="45">
        <f t="shared" si="54"/>
        <v>20.377223501500488</v>
      </c>
      <c r="AJ67" s="45">
        <f t="shared" si="55"/>
        <v>20.705389422038962</v>
      </c>
      <c r="AK67" s="45">
        <f t="shared" si="56"/>
        <v>15.444052990388634</v>
      </c>
      <c r="AL67" s="45">
        <f t="shared" si="57"/>
        <v>21.50933514130385</v>
      </c>
      <c r="AM67" s="45">
        <f t="shared" si="58"/>
        <v>21.890119082520307</v>
      </c>
      <c r="AN67" s="42">
        <f t="shared" si="59"/>
        <v>19.614440070478516</v>
      </c>
      <c r="AO67" s="35">
        <f t="shared" si="36"/>
        <v>2049</v>
      </c>
      <c r="AP67" s="45">
        <f t="shared" si="60"/>
        <v>21.005106130137953</v>
      </c>
      <c r="AQ67" s="45">
        <f t="shared" si="91"/>
        <v>21.64448027419084</v>
      </c>
      <c r="AR67" s="45">
        <f t="shared" si="92"/>
        <v>21.435877141917896</v>
      </c>
      <c r="AS67" s="45">
        <f t="shared" si="93"/>
        <v>16.631381139015151</v>
      </c>
      <c r="AT67" s="45">
        <f t="shared" si="94"/>
        <v>22.361617426818491</v>
      </c>
      <c r="AU67" s="45">
        <f t="shared" si="95"/>
        <v>22.994400511639267</v>
      </c>
      <c r="AV67" s="42">
        <f t="shared" si="61"/>
        <v>20.636117469573172</v>
      </c>
      <c r="AW67" s="35">
        <f t="shared" si="38"/>
        <v>2049</v>
      </c>
      <c r="AX67" s="45">
        <f t="shared" si="77"/>
        <v>20.818796925683667</v>
      </c>
      <c r="AY67" s="45">
        <f t="shared" si="78"/>
        <v>21.823488790055329</v>
      </c>
      <c r="AZ67" s="45">
        <f t="shared" si="79"/>
        <v>26.795325665861704</v>
      </c>
      <c r="BA67" s="45">
        <f t="shared" si="80"/>
        <v>17.629635614157397</v>
      </c>
      <c r="BB67" s="45">
        <f t="shared" si="81"/>
        <v>23.56850647189551</v>
      </c>
      <c r="BC67" s="45">
        <f t="shared" si="82"/>
        <v>22.47882790431203</v>
      </c>
      <c r="BD67" s="42">
        <f t="shared" si="68"/>
        <v>22.257405166281309</v>
      </c>
      <c r="BE67" s="35">
        <f t="shared" si="40"/>
        <v>2049</v>
      </c>
      <c r="BF67" s="45">
        <f t="shared" si="69"/>
        <v>21.963724315973842</v>
      </c>
      <c r="BG67" s="45">
        <f t="shared" si="70"/>
        <v>23.180688605373305</v>
      </c>
      <c r="BH67" s="45">
        <f t="shared" si="71"/>
        <v>27.740666801451958</v>
      </c>
      <c r="BI67" s="45">
        <f t="shared" si="72"/>
        <v>18.98498984842119</v>
      </c>
      <c r="BJ67" s="45">
        <f t="shared" si="73"/>
        <v>24.502381016602431</v>
      </c>
      <c r="BK67" s="45">
        <f t="shared" si="74"/>
        <v>23.61280767434053</v>
      </c>
      <c r="BL67" s="42">
        <f t="shared" si="75"/>
        <v>23.423851942389309</v>
      </c>
    </row>
    <row r="68" spans="1:64" x14ac:dyDescent="0.25">
      <c r="A68" s="35">
        <v>2050</v>
      </c>
      <c r="B68" s="57">
        <f t="shared" si="83"/>
        <v>100861.91000000013</v>
      </c>
      <c r="C68" s="57">
        <f t="shared" si="84"/>
        <v>95010.307000000117</v>
      </c>
      <c r="D68" s="57">
        <f t="shared" si="85"/>
        <v>106616.20820000014</v>
      </c>
      <c r="E68" s="57">
        <f t="shared" si="86"/>
        <v>67399.524600000077</v>
      </c>
      <c r="F68" s="57">
        <f t="shared" si="87"/>
        <v>26252.758799999989</v>
      </c>
      <c r="G68" s="57">
        <f t="shared" si="88"/>
        <v>6674.6310000000003</v>
      </c>
      <c r="H68" s="42">
        <f t="shared" si="42"/>
        <v>402815.33960000047</v>
      </c>
      <c r="I68" s="35">
        <f t="shared" si="28"/>
        <v>2050</v>
      </c>
      <c r="J68" s="57">
        <f t="shared" si="90"/>
        <v>100861.91000000037</v>
      </c>
      <c r="K68" s="57">
        <f t="shared" si="90"/>
        <v>95010.30699999971</v>
      </c>
      <c r="L68" s="57">
        <f t="shared" si="90"/>
        <v>106616.20819999964</v>
      </c>
      <c r="M68" s="57">
        <f t="shared" si="90"/>
        <v>67399.524600000004</v>
      </c>
      <c r="N68" s="57">
        <f t="shared" si="90"/>
        <v>26252.758799999894</v>
      </c>
      <c r="O68" s="57">
        <f t="shared" si="90"/>
        <v>6674.6310000000203</v>
      </c>
      <c r="P68" s="42">
        <f t="shared" si="44"/>
        <v>402815.3395999996</v>
      </c>
      <c r="Q68" s="35">
        <f t="shared" si="30"/>
        <v>2050</v>
      </c>
      <c r="R68" s="45">
        <f t="shared" si="76"/>
        <v>20.000000000000025</v>
      </c>
      <c r="S68" s="45">
        <f t="shared" si="45"/>
        <v>20.000000000000025</v>
      </c>
      <c r="T68" s="45">
        <f t="shared" si="46"/>
        <v>20.000000000000032</v>
      </c>
      <c r="U68" s="45">
        <f t="shared" si="47"/>
        <v>20.000000000000021</v>
      </c>
      <c r="V68" s="45">
        <f t="shared" si="48"/>
        <v>19.999999999999993</v>
      </c>
      <c r="W68" s="45">
        <f t="shared" si="49"/>
        <v>20</v>
      </c>
      <c r="X68" s="45">
        <f t="shared" si="50"/>
        <v>20.000000000000025</v>
      </c>
      <c r="Y68" s="35">
        <f t="shared" si="32"/>
        <v>2050</v>
      </c>
      <c r="Z68" s="45">
        <f t="shared" si="51"/>
        <v>20.000000000000071</v>
      </c>
      <c r="AA68" s="45">
        <f t="shared" si="51"/>
        <v>19.99999999999994</v>
      </c>
      <c r="AB68" s="45">
        <f t="shared" si="51"/>
        <v>19.99999999999994</v>
      </c>
      <c r="AC68" s="45">
        <f t="shared" si="51"/>
        <v>20</v>
      </c>
      <c r="AD68" s="45">
        <f t="shared" si="51"/>
        <v>19.999999999999922</v>
      </c>
      <c r="AE68" s="45">
        <f t="shared" si="51"/>
        <v>20.000000000000064</v>
      </c>
      <c r="AF68" s="45">
        <f t="shared" si="52"/>
        <v>19.999999999999986</v>
      </c>
      <c r="AG68" s="35">
        <f t="shared" si="34"/>
        <v>2050</v>
      </c>
      <c r="AH68" s="45">
        <f t="shared" si="53"/>
        <v>19.094260913019177</v>
      </c>
      <c r="AI68" s="45">
        <f t="shared" si="54"/>
        <v>19.50335888590115</v>
      </c>
      <c r="AJ68" s="45">
        <f t="shared" si="55"/>
        <v>19.989318814519642</v>
      </c>
      <c r="AK68" s="45">
        <f t="shared" si="56"/>
        <v>14.728901124268026</v>
      </c>
      <c r="AL68" s="45">
        <f t="shared" si="57"/>
        <v>20.731075257621683</v>
      </c>
      <c r="AM68" s="45">
        <f t="shared" si="58"/>
        <v>21.021625598480188</v>
      </c>
      <c r="AN68" s="42">
        <f t="shared" si="59"/>
        <v>18.835850618287072</v>
      </c>
      <c r="AO68" s="35">
        <f t="shared" si="36"/>
        <v>2050</v>
      </c>
      <c r="AP68" s="45">
        <f t="shared" si="60"/>
        <v>19.09426091301922</v>
      </c>
      <c r="AQ68" s="45">
        <f t="shared" si="91"/>
        <v>19.503358885901068</v>
      </c>
      <c r="AR68" s="45">
        <f t="shared" si="92"/>
        <v>19.98931881451955</v>
      </c>
      <c r="AS68" s="45">
        <f t="shared" si="93"/>
        <v>14.728901124268013</v>
      </c>
      <c r="AT68" s="45">
        <f t="shared" si="94"/>
        <v>20.731075257621605</v>
      </c>
      <c r="AU68" s="45">
        <f t="shared" si="95"/>
        <v>21.021625598480256</v>
      </c>
      <c r="AV68" s="42">
        <f t="shared" si="61"/>
        <v>18.835850618287036</v>
      </c>
      <c r="AW68" s="35">
        <f t="shared" si="38"/>
        <v>2050</v>
      </c>
      <c r="AX68" s="45">
        <f t="shared" si="77"/>
        <v>19.965673113600872</v>
      </c>
      <c r="AY68" s="45">
        <f t="shared" si="78"/>
        <v>20.887601982848555</v>
      </c>
      <c r="AZ68" s="45">
        <f t="shared" si="79"/>
        <v>25.868642050444723</v>
      </c>
      <c r="BA68" s="45">
        <f t="shared" si="80"/>
        <v>16.813278222976642</v>
      </c>
      <c r="BB68" s="45">
        <f t="shared" si="81"/>
        <v>22.71574077807556</v>
      </c>
      <c r="BC68" s="45">
        <f t="shared" si="82"/>
        <v>21.58697731683197</v>
      </c>
      <c r="BD68" s="42">
        <f t="shared" si="68"/>
        <v>21.424141562310783</v>
      </c>
      <c r="BE68" s="35">
        <f t="shared" si="40"/>
        <v>2050</v>
      </c>
      <c r="BF68" s="45">
        <f t="shared" si="69"/>
        <v>19.965673113600918</v>
      </c>
      <c r="BG68" s="45">
        <f t="shared" si="70"/>
        <v>20.887601982848466</v>
      </c>
      <c r="BH68" s="45">
        <f t="shared" si="71"/>
        <v>25.868642050444603</v>
      </c>
      <c r="BI68" s="45">
        <f t="shared" si="72"/>
        <v>16.813278222976628</v>
      </c>
      <c r="BJ68" s="45">
        <f t="shared" si="73"/>
        <v>22.715740778075475</v>
      </c>
      <c r="BK68" s="45">
        <f t="shared" si="74"/>
        <v>21.586977316832041</v>
      </c>
      <c r="BL68" s="42">
        <f t="shared" si="75"/>
        <v>21.424141562310737</v>
      </c>
    </row>
  </sheetData>
  <mergeCells count="10">
    <mergeCell ref="AX21:BC21"/>
    <mergeCell ref="BF21:BK21"/>
    <mergeCell ref="AH21:AM21"/>
    <mergeCell ref="AP21:AU21"/>
    <mergeCell ref="B18:G18"/>
    <mergeCell ref="J18:O18"/>
    <mergeCell ref="B19:G19"/>
    <mergeCell ref="J19:O19"/>
    <mergeCell ref="R21:W21"/>
    <mergeCell ref="Z21:AE21"/>
  </mergeCells>
  <conditionalFormatting sqref="B21:G21">
    <cfRule type="containsText" dxfId="44" priority="42" operator="containsText" text="error">
      <formula>NOT(ISERROR(SEARCH("error",B21)))</formula>
    </cfRule>
    <cfRule type="containsText" dxfId="43" priority="43" operator="containsText" text="ok">
      <formula>NOT(ISERROR(SEARCH("ok",B21)))</formula>
    </cfRule>
  </conditionalFormatting>
  <conditionalFormatting sqref="R23:W68">
    <cfRule type="cellIs" dxfId="42" priority="41" operator="equal">
      <formula>100</formula>
    </cfRule>
  </conditionalFormatting>
  <conditionalFormatting sqref="P23:W68">
    <cfRule type="cellIs" dxfId="41" priority="40" operator="equal">
      <formula>0</formula>
    </cfRule>
  </conditionalFormatting>
  <conditionalFormatting sqref="J21:O21">
    <cfRule type="containsText" dxfId="40" priority="38" operator="containsText" text="error">
      <formula>NOT(ISERROR(SEARCH("error",J21)))</formula>
    </cfRule>
    <cfRule type="containsText" dxfId="39" priority="39" operator="containsText" text="ok">
      <formula>NOT(ISERROR(SEARCH("ok",J21)))</formula>
    </cfRule>
  </conditionalFormatting>
  <conditionalFormatting sqref="R68:W68">
    <cfRule type="cellIs" dxfId="38" priority="37" operator="between">
      <formula>$B$16-0.01</formula>
      <formula>$B$16+0.01</formula>
    </cfRule>
  </conditionalFormatting>
  <conditionalFormatting sqref="Z23:AE67">
    <cfRule type="cellIs" dxfId="37" priority="36" operator="equal">
      <formula>100</formula>
    </cfRule>
  </conditionalFormatting>
  <conditionalFormatting sqref="Y23:AE67 Y68">
    <cfRule type="cellIs" dxfId="36" priority="35" operator="equal">
      <formula>0</formula>
    </cfRule>
  </conditionalFormatting>
  <conditionalFormatting sqref="Z68:AE68">
    <cfRule type="cellIs" dxfId="35" priority="34" operator="equal">
      <formula>100</formula>
    </cfRule>
  </conditionalFormatting>
  <conditionalFormatting sqref="Z68:AE68">
    <cfRule type="cellIs" dxfId="34" priority="33" operator="equal">
      <formula>0</formula>
    </cfRule>
  </conditionalFormatting>
  <conditionalFormatting sqref="Z68:AE68">
    <cfRule type="cellIs" dxfId="33" priority="32" operator="between">
      <formula>$B$16-0.01</formula>
      <formula>$B$16+0.01</formula>
    </cfRule>
  </conditionalFormatting>
  <conditionalFormatting sqref="AH23:AM68">
    <cfRule type="cellIs" dxfId="32" priority="31" operator="equal">
      <formula>100</formula>
    </cfRule>
  </conditionalFormatting>
  <conditionalFormatting sqref="AG23:AM68">
    <cfRule type="cellIs" dxfId="31" priority="30" operator="equal">
      <formula>0</formula>
    </cfRule>
  </conditionalFormatting>
  <conditionalFormatting sqref="AH68:AM68">
    <cfRule type="cellIs" dxfId="30" priority="29" operator="between">
      <formula>$B$16-0.01</formula>
      <formula>$B$16+0.01</formula>
    </cfRule>
  </conditionalFormatting>
  <conditionalFormatting sqref="AP23:AU67">
    <cfRule type="cellIs" dxfId="29" priority="28" operator="equal">
      <formula>100</formula>
    </cfRule>
  </conditionalFormatting>
  <conditionalFormatting sqref="AO23:AU67 AO68">
    <cfRule type="cellIs" dxfId="28" priority="27" operator="equal">
      <formula>0</formula>
    </cfRule>
  </conditionalFormatting>
  <conditionalFormatting sqref="AP68:AU68">
    <cfRule type="cellIs" dxfId="27" priority="26" operator="equal">
      <formula>100</formula>
    </cfRule>
  </conditionalFormatting>
  <conditionalFormatting sqref="AP68:AU68">
    <cfRule type="cellIs" dxfId="26" priority="25" operator="equal">
      <formula>0</formula>
    </cfRule>
  </conditionalFormatting>
  <conditionalFormatting sqref="AP68:AU68">
    <cfRule type="cellIs" dxfId="25" priority="24" operator="between">
      <formula>$B$16-0.01</formula>
      <formula>$B$16+0.01</formula>
    </cfRule>
  </conditionalFormatting>
  <conditionalFormatting sqref="X68">
    <cfRule type="cellIs" dxfId="24" priority="23" operator="equal">
      <formula>100</formula>
    </cfRule>
  </conditionalFormatting>
  <conditionalFormatting sqref="X68">
    <cfRule type="cellIs" dxfId="23" priority="22" operator="equal">
      <formula>0</formula>
    </cfRule>
  </conditionalFormatting>
  <conditionalFormatting sqref="X68">
    <cfRule type="cellIs" dxfId="22" priority="21" operator="between">
      <formula>$B$16-0.01</formula>
      <formula>$B$16+0.01</formula>
    </cfRule>
  </conditionalFormatting>
  <conditionalFormatting sqref="AF68">
    <cfRule type="cellIs" dxfId="21" priority="20" operator="equal">
      <formula>100</formula>
    </cfRule>
  </conditionalFormatting>
  <conditionalFormatting sqref="AF68">
    <cfRule type="cellIs" dxfId="20" priority="19" operator="equal">
      <formula>0</formula>
    </cfRule>
  </conditionalFormatting>
  <conditionalFormatting sqref="AF68">
    <cfRule type="cellIs" dxfId="19" priority="18" operator="between">
      <formula>$B$16-0.01</formula>
      <formula>$B$16+0.01</formula>
    </cfRule>
  </conditionalFormatting>
  <conditionalFormatting sqref="AX23:BC68">
    <cfRule type="cellIs" dxfId="18" priority="8" operator="equal">
      <formula>100</formula>
    </cfRule>
  </conditionalFormatting>
  <conditionalFormatting sqref="AW23:BC68">
    <cfRule type="cellIs" dxfId="17" priority="7" operator="equal">
      <formula>0</formula>
    </cfRule>
  </conditionalFormatting>
  <conditionalFormatting sqref="AX68:BC68">
    <cfRule type="cellIs" dxfId="16" priority="6" operator="between">
      <formula>$B$16-0.01</formula>
      <formula>$B$16+0.01</formula>
    </cfRule>
  </conditionalFormatting>
  <conditionalFormatting sqref="BF23:BK67">
    <cfRule type="cellIs" dxfId="15" priority="5" operator="equal">
      <formula>100</formula>
    </cfRule>
  </conditionalFormatting>
  <conditionalFormatting sqref="BE68 BE23:BK67">
    <cfRule type="cellIs" dxfId="14" priority="4" operator="equal">
      <formula>0</formula>
    </cfRule>
  </conditionalFormatting>
  <conditionalFormatting sqref="BF68:BK68">
    <cfRule type="cellIs" dxfId="13" priority="3" operator="equal">
      <formula>100</formula>
    </cfRule>
  </conditionalFormatting>
  <conditionalFormatting sqref="BF68:BK68">
    <cfRule type="cellIs" dxfId="12" priority="2" operator="equal">
      <formula>0</formula>
    </cfRule>
  </conditionalFormatting>
  <conditionalFormatting sqref="BF68:BK68">
    <cfRule type="cellIs" dxfId="11" priority="1" operator="between">
      <formula>$B$16-0.01</formula>
      <formula>$B$16+0.01</formula>
    </cfRule>
  </conditionalFormatting>
  <pageMargins left="0.7" right="0.7" top="0.78740157499999996" bottom="0.78740157499999996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AU57"/>
  <sheetViews>
    <sheetView workbookViewId="0">
      <selection activeCell="L48" sqref="L48"/>
    </sheetView>
  </sheetViews>
  <sheetFormatPr defaultColWidth="11.42578125" defaultRowHeight="15" x14ac:dyDescent="0.25"/>
  <cols>
    <col min="1" max="1" width="11.42578125" style="35"/>
    <col min="2" max="2" width="8.7109375" customWidth="1"/>
    <col min="3" max="3" width="6.42578125" customWidth="1"/>
    <col min="4" max="4" width="8.42578125" customWidth="1"/>
    <col min="5" max="10" width="6.42578125" customWidth="1"/>
    <col min="11" max="11" width="7.42578125" customWidth="1"/>
    <col min="12" max="12" width="9.7109375" customWidth="1"/>
    <col min="13" max="47" width="6.42578125" customWidth="1"/>
  </cols>
  <sheetData>
    <row r="1" spans="1:47" s="64" customFormat="1" x14ac:dyDescent="0.25">
      <c r="A1" s="63" t="s">
        <v>84</v>
      </c>
      <c r="B1" s="63"/>
      <c r="C1" s="63"/>
      <c r="D1" s="118" t="s">
        <v>116</v>
      </c>
      <c r="E1" s="118"/>
      <c r="F1" s="118"/>
      <c r="G1" s="119"/>
      <c r="H1" s="119"/>
      <c r="I1" s="119"/>
      <c r="J1" s="119"/>
      <c r="K1" s="119"/>
      <c r="L1" s="119"/>
    </row>
    <row r="2" spans="1:47" s="65" customFormat="1" x14ac:dyDescent="0.25">
      <c r="A2" s="65">
        <f t="array" ref="A2:AU8">TRANSPOSE('18x18x4_ETS75'!AG22:AM68)</f>
        <v>0</v>
      </c>
      <c r="B2" s="65">
        <v>2005</v>
      </c>
      <c r="C2" s="65">
        <v>2006</v>
      </c>
      <c r="D2" s="65">
        <v>2007</v>
      </c>
      <c r="E2" s="65">
        <v>2008</v>
      </c>
      <c r="F2" s="65">
        <v>2009</v>
      </c>
      <c r="G2" s="65">
        <v>2010</v>
      </c>
      <c r="H2" s="65">
        <v>2011</v>
      </c>
      <c r="I2" s="65">
        <v>2012</v>
      </c>
      <c r="J2" s="65">
        <v>2013</v>
      </c>
      <c r="K2" s="65">
        <v>2014</v>
      </c>
      <c r="L2" s="65">
        <v>2015</v>
      </c>
      <c r="M2" s="65">
        <v>2016</v>
      </c>
      <c r="N2" s="65">
        <v>2017</v>
      </c>
      <c r="O2" s="65">
        <v>2018</v>
      </c>
      <c r="P2" s="65">
        <v>2019</v>
      </c>
      <c r="Q2" s="65">
        <v>2020</v>
      </c>
      <c r="R2" s="65">
        <v>2021</v>
      </c>
      <c r="S2" s="65">
        <v>2022</v>
      </c>
      <c r="T2" s="65">
        <v>2023</v>
      </c>
      <c r="U2" s="65">
        <v>2024</v>
      </c>
      <c r="V2" s="65">
        <v>2025</v>
      </c>
      <c r="W2" s="65">
        <v>2026</v>
      </c>
      <c r="X2" s="65">
        <v>2027</v>
      </c>
      <c r="Y2" s="65">
        <v>2028</v>
      </c>
      <c r="Z2" s="65">
        <v>2029</v>
      </c>
      <c r="AA2" s="65">
        <v>2030</v>
      </c>
      <c r="AB2" s="65">
        <v>2031</v>
      </c>
      <c r="AC2" s="65">
        <v>2032</v>
      </c>
      <c r="AD2" s="65">
        <v>2033</v>
      </c>
      <c r="AE2" s="65">
        <v>2034</v>
      </c>
      <c r="AF2" s="65">
        <v>2035</v>
      </c>
      <c r="AG2" s="65">
        <v>2036</v>
      </c>
      <c r="AH2" s="65">
        <v>2037</v>
      </c>
      <c r="AI2" s="65">
        <v>2038</v>
      </c>
      <c r="AJ2" s="65">
        <v>2039</v>
      </c>
      <c r="AK2" s="65">
        <v>2040</v>
      </c>
      <c r="AL2" s="65">
        <v>2041</v>
      </c>
      <c r="AM2" s="65">
        <v>2042</v>
      </c>
      <c r="AN2" s="65">
        <v>2043</v>
      </c>
      <c r="AO2" s="65">
        <v>2044</v>
      </c>
      <c r="AP2" s="65">
        <v>2045</v>
      </c>
      <c r="AQ2" s="65">
        <v>2046</v>
      </c>
      <c r="AR2" s="65">
        <v>2047</v>
      </c>
      <c r="AS2" s="65">
        <v>2048</v>
      </c>
      <c r="AT2" s="65">
        <v>2049</v>
      </c>
      <c r="AU2" s="65">
        <v>2050</v>
      </c>
    </row>
    <row r="3" spans="1:47" x14ac:dyDescent="0.25">
      <c r="A3" s="65" t="str">
        <v>EUN</v>
      </c>
      <c r="B3" s="45">
        <v>95.471304565095764</v>
      </c>
      <c r="C3" s="45">
        <v>99.850434150896248</v>
      </c>
      <c r="D3" s="71">
        <v>100</v>
      </c>
      <c r="E3" s="45">
        <v>100.6552138002935</v>
      </c>
      <c r="F3" s="45">
        <v>89.834945072231861</v>
      </c>
      <c r="G3" s="45">
        <v>95.635447922924882</v>
      </c>
      <c r="H3" s="45">
        <v>87.954374129884414</v>
      </c>
      <c r="I3" s="45">
        <v>86.596952554602041</v>
      </c>
      <c r="J3" s="45">
        <v>89.795533946412476</v>
      </c>
      <c r="K3" s="45">
        <v>86.115844457061357</v>
      </c>
      <c r="L3" s="45">
        <v>82.586943254643558</v>
      </c>
      <c r="M3" s="45">
        <v>79.202651255966828</v>
      </c>
      <c r="N3" s="45">
        <v>75.957042587619853</v>
      </c>
      <c r="O3" s="45">
        <v>72.844434209806124</v>
      </c>
      <c r="P3" s="45">
        <v>69.859375965378121</v>
      </c>
      <c r="Q3" s="45">
        <v>66.996641036647304</v>
      </c>
      <c r="R3" s="45">
        <v>64.251216793260085</v>
      </c>
      <c r="S3" s="45">
        <v>61.618296015114602</v>
      </c>
      <c r="T3" s="45">
        <v>59.093268474949269</v>
      </c>
      <c r="U3" s="45">
        <v>56.671712865864755</v>
      </c>
      <c r="V3" s="45">
        <v>54.349389059644118</v>
      </c>
      <c r="W3" s="45">
        <v>52.122230682315752</v>
      </c>
      <c r="X3" s="45">
        <v>49.986337993958792</v>
      </c>
      <c r="Y3" s="45">
        <v>47.937971060283786</v>
      </c>
      <c r="Z3" s="45">
        <v>45.973543204031905</v>
      </c>
      <c r="AA3" s="45">
        <v>44.089614724726239</v>
      </c>
      <c r="AB3" s="45">
        <v>42.282886875778509</v>
      </c>
      <c r="AC3" s="45">
        <v>40.550196088405109</v>
      </c>
      <c r="AD3" s="45">
        <v>38.888508432238638</v>
      </c>
      <c r="AE3" s="45">
        <v>37.294914302935425</v>
      </c>
      <c r="AF3" s="45">
        <v>35.766623327477127</v>
      </c>
      <c r="AG3" s="45">
        <v>34.300959478245609</v>
      </c>
      <c r="AH3" s="45">
        <v>32.895356387315928</v>
      </c>
      <c r="AI3" s="45">
        <v>31.547352852762629</v>
      </c>
      <c r="AJ3" s="45">
        <v>30.254588529111103</v>
      </c>
      <c r="AK3" s="45">
        <v>29.014799794387951</v>
      </c>
      <c r="AL3" s="45">
        <v>27.825815786533504</v>
      </c>
      <c r="AM3" s="45">
        <v>26.685554602236394</v>
      </c>
      <c r="AN3" s="45">
        <v>25.592019651534343</v>
      </c>
      <c r="AO3" s="45">
        <v>24.543296161798018</v>
      </c>
      <c r="AP3" s="45">
        <v>23.53754782497656</v>
      </c>
      <c r="AQ3" s="45">
        <v>22.573013582234015</v>
      </c>
      <c r="AR3" s="45">
        <v>21.648004540346751</v>
      </c>
      <c r="AS3" s="45">
        <v>20.760901014462302</v>
      </c>
      <c r="AT3" s="45">
        <v>19.910149692041688</v>
      </c>
      <c r="AU3" s="45">
        <v>19.094260913019177</v>
      </c>
    </row>
    <row r="4" spans="1:47" x14ac:dyDescent="0.25">
      <c r="A4" s="65" t="str">
        <v>DEU</v>
      </c>
      <c r="B4" s="45">
        <v>97.516794429505623</v>
      </c>
      <c r="C4" s="45">
        <v>98.13741286967749</v>
      </c>
      <c r="D4" s="71">
        <v>100</v>
      </c>
      <c r="E4" s="45">
        <v>97.065597041683588</v>
      </c>
      <c r="F4" s="45">
        <v>87.918686352253317</v>
      </c>
      <c r="G4" s="45">
        <v>93.372896045778504</v>
      </c>
      <c r="H4" s="45">
        <v>92.442715488407856</v>
      </c>
      <c r="I4" s="45">
        <v>92.905129170158148</v>
      </c>
      <c r="J4" s="45">
        <v>98.724850252622815</v>
      </c>
      <c r="K4" s="45">
        <v>94.491096163909091</v>
      </c>
      <c r="L4" s="45">
        <v>90.438903998437965</v>
      </c>
      <c r="M4" s="45">
        <v>86.560487585524754</v>
      </c>
      <c r="N4" s="45">
        <v>82.848394659594661</v>
      </c>
      <c r="O4" s="45">
        <v>79.295492540868921</v>
      </c>
      <c r="P4" s="45">
        <v>75.894954430125608</v>
      </c>
      <c r="Q4" s="45">
        <v>72.640246291201422</v>
      </c>
      <c r="R4" s="45">
        <v>69.525114296029074</v>
      </c>
      <c r="S4" s="45">
        <v>66.543572808086608</v>
      </c>
      <c r="T4" s="45">
        <v>63.68989288116903</v>
      </c>
      <c r="U4" s="45">
        <v>60.958591251382821</v>
      </c>
      <c r="V4" s="45">
        <v>58.344419801212275</v>
      </c>
      <c r="W4" s="45">
        <v>55.842355475412511</v>
      </c>
      <c r="X4" s="45">
        <v>53.447590629353378</v>
      </c>
      <c r="Y4" s="45">
        <v>51.155523791268621</v>
      </c>
      <c r="Z4" s="45">
        <v>48.961750820660136</v>
      </c>
      <c r="AA4" s="45">
        <v>46.862056445868774</v>
      </c>
      <c r="AB4" s="45">
        <v>44.852406164551091</v>
      </c>
      <c r="AC4" s="45">
        <v>42.928938491499139</v>
      </c>
      <c r="AD4" s="45">
        <v>41.087957538907666</v>
      </c>
      <c r="AE4" s="45">
        <v>39.325925914832112</v>
      </c>
      <c r="AF4" s="45">
        <v>37.639457926191646</v>
      </c>
      <c r="AG4" s="45">
        <v>36.02531307325733</v>
      </c>
      <c r="AH4" s="45">
        <v>34.480389823125158</v>
      </c>
      <c r="AI4" s="45">
        <v>33.001719650209708</v>
      </c>
      <c r="AJ4" s="45">
        <v>31.586461332307653</v>
      </c>
      <c r="AK4" s="45">
        <v>30.231895491271072</v>
      </c>
      <c r="AL4" s="45">
        <v>28.935419367800485</v>
      </c>
      <c r="AM4" s="45">
        <v>27.694541820317792</v>
      </c>
      <c r="AN4" s="45">
        <v>26.506878538309341</v>
      </c>
      <c r="AO4" s="45">
        <v>25.370147460941883</v>
      </c>
      <c r="AP4" s="45">
        <v>24.282164392148335</v>
      </c>
      <c r="AQ4" s="45">
        <v>23.240838803757839</v>
      </c>
      <c r="AR4" s="45">
        <v>22.244169818606029</v>
      </c>
      <c r="AS4" s="45">
        <v>21.290242365907126</v>
      </c>
      <c r="AT4" s="45">
        <v>20.377223501500488</v>
      </c>
      <c r="AU4" s="45">
        <v>19.50335888590115</v>
      </c>
    </row>
    <row r="5" spans="1:47" x14ac:dyDescent="0.25">
      <c r="A5" s="65" t="str">
        <v>EUS</v>
      </c>
      <c r="B5" s="45">
        <v>99.946594072598032</v>
      </c>
      <c r="C5" s="45">
        <v>98.671232612944195</v>
      </c>
      <c r="D5" s="71">
        <v>100</v>
      </c>
      <c r="E5" s="45">
        <v>93.811680758212717</v>
      </c>
      <c r="F5" s="45">
        <v>80.445089767551508</v>
      </c>
      <c r="G5" s="45">
        <v>77.272393253344333</v>
      </c>
      <c r="H5" s="45">
        <v>78.937203877060824</v>
      </c>
      <c r="I5" s="45">
        <v>77.891501835634827</v>
      </c>
      <c r="J5" s="45">
        <v>73.511976928258377</v>
      </c>
      <c r="K5" s="45">
        <v>70.969654979803082</v>
      </c>
      <c r="L5" s="45">
        <v>68.515256131224461</v>
      </c>
      <c r="M5" s="45">
        <v>66.145739669485948</v>
      </c>
      <c r="N5" s="45">
        <v>63.858170040897946</v>
      </c>
      <c r="O5" s="45">
        <v>61.649713214310275</v>
      </c>
      <c r="P5" s="45">
        <v>59.517633170079179</v>
      </c>
      <c r="Q5" s="45">
        <v>57.459288510458975</v>
      </c>
      <c r="R5" s="45">
        <v>55.472129187219331</v>
      </c>
      <c r="S5" s="45">
        <v>53.553693342433803</v>
      </c>
      <c r="T5" s="45">
        <v>51.701604258525926</v>
      </c>
      <c r="U5" s="45">
        <v>49.913567413794098</v>
      </c>
      <c r="V5" s="45">
        <v>48.187367639767707</v>
      </c>
      <c r="W5" s="45">
        <v>46.520866376872483</v>
      </c>
      <c r="X5" s="45">
        <v>44.911999025005414</v>
      </c>
      <c r="Y5" s="45">
        <v>43.358772385736735</v>
      </c>
      <c r="Z5" s="45">
        <v>41.859262192970277</v>
      </c>
      <c r="AA5" s="45">
        <v>40.411610729002831</v>
      </c>
      <c r="AB5" s="45">
        <v>39.01402452302932</v>
      </c>
      <c r="AC5" s="45">
        <v>37.664772129242259</v>
      </c>
      <c r="AD5" s="45">
        <v>36.362181981772949</v>
      </c>
      <c r="AE5" s="45">
        <v>35.104640323816909</v>
      </c>
      <c r="AF5" s="45">
        <v>33.890589208378032</v>
      </c>
      <c r="AG5" s="45">
        <v>32.718524568154464</v>
      </c>
      <c r="AH5" s="45">
        <v>31.586994352175214</v>
      </c>
      <c r="AI5" s="45">
        <v>30.494596726878871</v>
      </c>
      <c r="AJ5" s="45">
        <v>29.439978339405787</v>
      </c>
      <c r="AK5" s="45">
        <v>28.421832640952271</v>
      </c>
      <c r="AL5" s="45">
        <v>27.438898268109408</v>
      </c>
      <c r="AM5" s="45">
        <v>26.489957480181399</v>
      </c>
      <c r="AN5" s="45">
        <v>25.57383465054729</v>
      </c>
      <c r="AO5" s="45">
        <v>24.689394810197125</v>
      </c>
      <c r="AP5" s="45">
        <v>23.83554224163813</v>
      </c>
      <c r="AQ5" s="45">
        <v>23.011219121428905</v>
      </c>
      <c r="AR5" s="45">
        <v>22.215404209659948</v>
      </c>
      <c r="AS5" s="45">
        <v>21.447111584756886</v>
      </c>
      <c r="AT5" s="45">
        <v>20.705389422038962</v>
      </c>
      <c r="AU5" s="45">
        <v>19.989318814519642</v>
      </c>
    </row>
    <row r="6" spans="1:47" x14ac:dyDescent="0.25">
      <c r="A6" s="65" t="str">
        <v>EUE</v>
      </c>
      <c r="B6" s="45">
        <v>73.644505621340059</v>
      </c>
      <c r="C6" s="45">
        <v>75.312505998682312</v>
      </c>
      <c r="D6" s="71">
        <v>100</v>
      </c>
      <c r="E6" s="45">
        <v>95.978854008934462</v>
      </c>
      <c r="F6" s="45">
        <v>85.23412876720306</v>
      </c>
      <c r="G6" s="45">
        <v>87.602791846624214</v>
      </c>
      <c r="H6" s="45">
        <v>90.284548773740823</v>
      </c>
      <c r="I6" s="45">
        <v>85.457944302577843</v>
      </c>
      <c r="J6" s="45">
        <v>85.120661669912181</v>
      </c>
      <c r="K6" s="45">
        <v>81.179066799929373</v>
      </c>
      <c r="L6" s="45">
        <v>77.419991306726317</v>
      </c>
      <c r="M6" s="45">
        <v>73.834983453379564</v>
      </c>
      <c r="N6" s="45">
        <v>70.415982868848431</v>
      </c>
      <c r="O6" s="45">
        <v>67.155302425397906</v>
      </c>
      <c r="P6" s="45">
        <v>64.045610955205106</v>
      </c>
      <c r="Q6" s="45">
        <v>61.079916767289944</v>
      </c>
      <c r="R6" s="45">
        <v>58.251551927710373</v>
      </c>
      <c r="S6" s="45">
        <v>55.554157267678505</v>
      </c>
      <c r="T6" s="45">
        <v>52.981668085890334</v>
      </c>
      <c r="U6" s="45">
        <v>50.528300512923096</v>
      </c>
      <c r="V6" s="45">
        <v>48.188538507042381</v>
      </c>
      <c r="W6" s="45">
        <v>45.957121452181006</v>
      </c>
      <c r="X6" s="45">
        <v>43.829032330205543</v>
      </c>
      <c r="Y6" s="45">
        <v>41.799486440877551</v>
      </c>
      <c r="Z6" s="45">
        <v>39.863920644147889</v>
      </c>
      <c r="AA6" s="45">
        <v>38.0179831005971</v>
      </c>
      <c r="AB6" s="45">
        <v>36.257523486954611</v>
      </c>
      <c r="AC6" s="45">
        <v>34.578583664697838</v>
      </c>
      <c r="AD6" s="45">
        <v>32.977388780750864</v>
      </c>
      <c r="AE6" s="45">
        <v>31.450338780273935</v>
      </c>
      <c r="AF6" s="45">
        <v>29.994000312461388</v>
      </c>
      <c r="AG6" s="45">
        <v>28.605099011149608</v>
      </c>
      <c r="AH6" s="45">
        <v>27.280512132878766</v>
      </c>
      <c r="AI6" s="45">
        <v>26.017261535856363</v>
      </c>
      <c r="AJ6" s="45">
        <v>24.812506984036645</v>
      </c>
      <c r="AK6" s="45">
        <v>23.663539761261156</v>
      </c>
      <c r="AL6" s="45">
        <v>22.567776581102621</v>
      </c>
      <c r="AM6" s="45">
        <v>21.522753778719554</v>
      </c>
      <c r="AN6" s="45">
        <v>20.526121771662556</v>
      </c>
      <c r="AO6" s="45">
        <v>19.57563977717842</v>
      </c>
      <c r="AP6" s="45">
        <v>18.669170774134574</v>
      </c>
      <c r="AQ6" s="45">
        <v>17.804676698236516</v>
      </c>
      <c r="AR6" s="45">
        <v>16.980213859735368</v>
      </c>
      <c r="AS6" s="45">
        <v>16.193928573322921</v>
      </c>
      <c r="AT6" s="45">
        <v>15.444052990388634</v>
      </c>
      <c r="AU6" s="45">
        <v>14.728901124268026</v>
      </c>
    </row>
    <row r="7" spans="1:47" x14ac:dyDescent="0.25">
      <c r="A7" s="65" t="str">
        <v>FRA</v>
      </c>
      <c r="B7" s="45">
        <v>103.65537628810844</v>
      </c>
      <c r="C7" s="45">
        <v>100.27183835661624</v>
      </c>
      <c r="D7" s="71">
        <v>100</v>
      </c>
      <c r="E7" s="45">
        <v>98.021863892642784</v>
      </c>
      <c r="F7" s="45">
        <v>87.726707698826729</v>
      </c>
      <c r="G7" s="45">
        <v>91.263038525384971</v>
      </c>
      <c r="H7" s="45">
        <v>83.375783349942111</v>
      </c>
      <c r="I7" s="45">
        <v>81.858089341386872</v>
      </c>
      <c r="J7" s="45">
        <v>81.061135517906351</v>
      </c>
      <c r="K7" s="45">
        <v>78.128147144027395</v>
      </c>
      <c r="L7" s="45">
        <v>75.301281399030287</v>
      </c>
      <c r="M7" s="45">
        <v>72.576698508962608</v>
      </c>
      <c r="N7" s="45">
        <v>69.950697632201113</v>
      </c>
      <c r="O7" s="45">
        <v>67.419711832543172</v>
      </c>
      <c r="P7" s="45">
        <v>64.980303234184248</v>
      </c>
      <c r="Q7" s="45">
        <v>62.629158351999727</v>
      </c>
      <c r="R7" s="45">
        <v>60.363083590788627</v>
      </c>
      <c r="S7" s="45">
        <v>58.179000907365584</v>
      </c>
      <c r="T7" s="45">
        <v>56.073943629608813</v>
      </c>
      <c r="U7" s="45">
        <v>54.045052426785034</v>
      </c>
      <c r="V7" s="45">
        <v>52.08957142567786</v>
      </c>
      <c r="W7" s="45">
        <v>50.204844467244094</v>
      </c>
      <c r="X7" s="45">
        <v>48.388311498713186</v>
      </c>
      <c r="Y7" s="45">
        <v>46.637505096229361</v>
      </c>
      <c r="Z7" s="45">
        <v>44.950047113312934</v>
      </c>
      <c r="AA7" s="45">
        <v>43.32364545058843</v>
      </c>
      <c r="AB7" s="45">
        <v>41.756090942391829</v>
      </c>
      <c r="AC7" s="45">
        <v>40.245254356027772</v>
      </c>
      <c r="AD7" s="45">
        <v>38.789083499601062</v>
      </c>
      <c r="AE7" s="45">
        <v>37.38560043449376</v>
      </c>
      <c r="AF7" s="45">
        <v>36.03289878870158</v>
      </c>
      <c r="AG7" s="45">
        <v>34.729141167380398</v>
      </c>
      <c r="AH7" s="45">
        <v>33.47255665708537</v>
      </c>
      <c r="AI7" s="45">
        <v>32.261438420312714</v>
      </c>
      <c r="AJ7" s="45">
        <v>31.094141377076902</v>
      </c>
      <c r="AK7" s="45">
        <v>29.96907997037394</v>
      </c>
      <c r="AL7" s="45">
        <v>28.88472601249558</v>
      </c>
      <c r="AM7" s="45">
        <v>27.839606609269179</v>
      </c>
      <c r="AN7" s="45">
        <v>26.832302159403511</v>
      </c>
      <c r="AO7" s="45">
        <v>25.861444426223184</v>
      </c>
      <c r="AP7" s="45">
        <v>24.92571467917228</v>
      </c>
      <c r="AQ7" s="45">
        <v>24.023841902562985</v>
      </c>
      <c r="AR7" s="45">
        <v>23.154601069135992</v>
      </c>
      <c r="AS7" s="45">
        <v>22.316811476087675</v>
      </c>
      <c r="AT7" s="45">
        <v>21.50933514130385</v>
      </c>
      <c r="AU7" s="45">
        <v>20.731075257621683</v>
      </c>
    </row>
    <row r="8" spans="1:47" x14ac:dyDescent="0.25">
      <c r="A8" s="65" t="str">
        <v>AUT</v>
      </c>
      <c r="B8" s="45">
        <v>105.10812799240095</v>
      </c>
      <c r="C8" s="45">
        <v>101.99397441235405</v>
      </c>
      <c r="D8" s="71">
        <v>100</v>
      </c>
      <c r="E8" s="45">
        <v>101.03212911865546</v>
      </c>
      <c r="F8" s="45">
        <v>86.169282730827064</v>
      </c>
      <c r="G8" s="45">
        <v>97.381051964551972</v>
      </c>
      <c r="H8" s="45">
        <v>96.372295146712318</v>
      </c>
      <c r="I8" s="45">
        <v>89.404514970429545</v>
      </c>
      <c r="J8" s="45">
        <v>94.014297385363605</v>
      </c>
      <c r="K8" s="45">
        <v>90.284267211567169</v>
      </c>
      <c r="L8" s="45">
        <v>86.702226497718513</v>
      </c>
      <c r="M8" s="45">
        <v>83.262303741648722</v>
      </c>
      <c r="N8" s="45">
        <v>79.958860393844645</v>
      </c>
      <c r="O8" s="45">
        <v>76.786481615020179</v>
      </c>
      <c r="P8" s="45">
        <v>73.739967400382426</v>
      </c>
      <c r="Q8" s="45">
        <v>70.814324056043461</v>
      </c>
      <c r="R8" s="45">
        <v>68.004756013606936</v>
      </c>
      <c r="S8" s="45">
        <v>65.306657969511889</v>
      </c>
      <c r="T8" s="45">
        <v>62.715607336249299</v>
      </c>
      <c r="U8" s="45">
        <v>60.227356993077578</v>
      </c>
      <c r="V8" s="45">
        <v>57.837828324354433</v>
      </c>
      <c r="W8" s="45">
        <v>55.543104534073905</v>
      </c>
      <c r="X8" s="45">
        <v>53.339424225650113</v>
      </c>
      <c r="Y8" s="45">
        <v>51.223175236423721</v>
      </c>
      <c r="Z8" s="45">
        <v>49.190888716785608</v>
      </c>
      <c r="AA8" s="45">
        <v>47.239233444211727</v>
      </c>
      <c r="AB8" s="45">
        <v>45.365010362889677</v>
      </c>
      <c r="AC8" s="45">
        <v>43.56514733998619</v>
      </c>
      <c r="AD8" s="45">
        <v>41.836694129960563</v>
      </c>
      <c r="AE8" s="45">
        <v>40.176817538669454</v>
      </c>
      <c r="AF8" s="45">
        <v>38.582796779336711</v>
      </c>
      <c r="AG8" s="45">
        <v>37.05201901277556</v>
      </c>
      <c r="AH8" s="45">
        <v>35.581975064553191</v>
      </c>
      <c r="AI8" s="45">
        <v>34.170255312077337</v>
      </c>
      <c r="AJ8" s="45">
        <v>32.814545734863394</v>
      </c>
      <c r="AK8" s="45">
        <v>31.512624121507603</v>
      </c>
      <c r="AL8" s="45">
        <v>30.262356427149147</v>
      </c>
      <c r="AM8" s="45">
        <v>29.061693275450445</v>
      </c>
      <c r="AN8" s="45">
        <v>27.908666599361879</v>
      </c>
      <c r="AO8" s="45">
        <v>26.801386415164586</v>
      </c>
      <c r="AP8" s="45">
        <v>25.738037724503567</v>
      </c>
      <c r="AQ8" s="45">
        <v>24.716877539333094</v>
      </c>
      <c r="AR8" s="45">
        <v>23.736232024897781</v>
      </c>
      <c r="AS8" s="45">
        <v>22.794493756066277</v>
      </c>
      <c r="AT8" s="45">
        <v>21.890119082520307</v>
      </c>
      <c r="AU8" s="45">
        <v>21.021625598480188</v>
      </c>
    </row>
    <row r="9" spans="1:47" x14ac:dyDescent="0.25">
      <c r="Y9" s="115" t="s">
        <v>118</v>
      </c>
      <c r="Z9" s="104"/>
      <c r="AA9" s="104"/>
      <c r="AB9" s="104"/>
      <c r="AC9" s="104"/>
      <c r="AD9" s="104"/>
      <c r="AE9" s="104"/>
    </row>
    <row r="10" spans="1:47" ht="15.75" thickBot="1" x14ac:dyDescent="0.3">
      <c r="C10" s="118" t="s">
        <v>116</v>
      </c>
      <c r="D10" s="118"/>
      <c r="E10" s="118"/>
      <c r="F10" s="119"/>
      <c r="G10" s="119"/>
      <c r="H10" s="119"/>
      <c r="I10" s="119"/>
      <c r="J10" s="119"/>
      <c r="K10" s="119"/>
      <c r="L10" s="62" t="s">
        <v>88</v>
      </c>
      <c r="M10" s="62">
        <f>SUM(C12:C17)+SUM(I12:I17)+SUM(K12:K17)-SUM(G3:G8)-SUM(AK3:AK9)-SUM(AU3:AU8)</f>
        <v>0</v>
      </c>
      <c r="Y10" s="104"/>
      <c r="Z10" s="116" t="s">
        <v>91</v>
      </c>
      <c r="AA10" s="104">
        <f>J2-B2+1</f>
        <v>9</v>
      </c>
      <c r="AB10" s="104">
        <f>K2-C2+1</f>
        <v>9</v>
      </c>
      <c r="AC10" s="104"/>
      <c r="AD10" s="104"/>
      <c r="AE10" s="104"/>
    </row>
    <row r="11" spans="1:47" s="35" customFormat="1" x14ac:dyDescent="0.25">
      <c r="A11" s="82">
        <f t="array" ref="A11:A18">TRANSPOSE('18x18x4_ETS75'!AG22:AN22)</f>
        <v>0</v>
      </c>
      <c r="B11" s="83">
        <f t="array" ref="B11:B18">TRANSPOSE('18x18x4_ETS75'!$AG25:$AN$25)</f>
        <v>2007</v>
      </c>
      <c r="C11" s="83">
        <f t="array" ref="C11:C18">TRANSPOSE('18x18x4_ETS75'!AG28:AN28)</f>
        <v>2010</v>
      </c>
      <c r="D11" s="83">
        <f t="array" ref="D11:D18">TRANSPOSE('18x18x4_ETS75'!AG33:AN33)</f>
        <v>2015</v>
      </c>
      <c r="E11" s="83">
        <f t="array" ref="E11:E18">TRANSPOSE('18x18x4_ETS75'!AG38:AN38)</f>
        <v>2020</v>
      </c>
      <c r="F11" s="83">
        <f t="array" ref="F11:F18">TRANSPOSE('18x18x4_ETS75'!AG43:AN43)</f>
        <v>2025</v>
      </c>
      <c r="G11" s="83">
        <f t="array" ref="G11:G18">TRANSPOSE('18x18x4_ETS75'!AG48:AN48)</f>
        <v>2030</v>
      </c>
      <c r="H11" s="83">
        <f t="array" ref="H11:H18">TRANSPOSE('18x18x4_ETS75'!AG53:AN53)</f>
        <v>2035</v>
      </c>
      <c r="I11" s="83">
        <f t="array" ref="I11:I18">TRANSPOSE('18x18x4_ETS75'!$AG58:$AN$58)</f>
        <v>2040</v>
      </c>
      <c r="J11" s="83">
        <f t="array" ref="J11:J18">TRANSPOSE('18x18x4_ETS75'!$AG63:$AN$63)</f>
        <v>2045</v>
      </c>
      <c r="K11" s="84">
        <f t="array" ref="K11:K18">TRANSPOSE('18x18x4_ETS75'!$AG68:$AN$68)</f>
        <v>2050</v>
      </c>
      <c r="L11" s="70" t="s">
        <v>87</v>
      </c>
      <c r="Y11" s="117"/>
      <c r="Z11" s="116">
        <v>2013</v>
      </c>
      <c r="AA11" s="104">
        <v>0</v>
      </c>
      <c r="AB11" s="104">
        <v>120</v>
      </c>
      <c r="AC11" s="117"/>
      <c r="AD11" s="117"/>
      <c r="AE11" s="117"/>
    </row>
    <row r="12" spans="1:47" x14ac:dyDescent="0.25">
      <c r="A12" s="79" t="str">
        <v>EUN</v>
      </c>
      <c r="B12" s="73">
        <v>100</v>
      </c>
      <c r="C12" s="74">
        <v>95.635447922924882</v>
      </c>
      <c r="D12" s="74">
        <v>82.586943254643558</v>
      </c>
      <c r="E12" s="74">
        <v>66.996641036647304</v>
      </c>
      <c r="F12" s="74">
        <v>54.349389059644118</v>
      </c>
      <c r="G12" s="74">
        <v>44.089614724726239</v>
      </c>
      <c r="H12" s="74">
        <v>35.766623327477127</v>
      </c>
      <c r="I12" s="74">
        <v>29.014799794387951</v>
      </c>
      <c r="J12" s="74">
        <v>23.53754782497656</v>
      </c>
      <c r="K12" s="75">
        <v>19.094260913019177</v>
      </c>
      <c r="L12" s="45">
        <f>K12-'18x18x4_ETS75'!AH68</f>
        <v>0</v>
      </c>
    </row>
    <row r="13" spans="1:47" x14ac:dyDescent="0.25">
      <c r="A13" s="79" t="str">
        <v>DEU</v>
      </c>
      <c r="B13" s="73">
        <v>100</v>
      </c>
      <c r="C13" s="74">
        <v>93.372896045778504</v>
      </c>
      <c r="D13" s="74">
        <v>90.438903998437965</v>
      </c>
      <c r="E13" s="74">
        <v>72.640246291201422</v>
      </c>
      <c r="F13" s="74">
        <v>58.344419801212275</v>
      </c>
      <c r="G13" s="74">
        <v>46.862056445868774</v>
      </c>
      <c r="H13" s="74">
        <v>37.639457926191646</v>
      </c>
      <c r="I13" s="74">
        <v>30.231895491271072</v>
      </c>
      <c r="J13" s="74">
        <v>24.282164392148335</v>
      </c>
      <c r="K13" s="75">
        <v>19.50335888590115</v>
      </c>
      <c r="L13">
        <f>K13-'18x18x4_ETS75'!AI68</f>
        <v>0</v>
      </c>
    </row>
    <row r="14" spans="1:47" x14ac:dyDescent="0.25">
      <c r="A14" s="79" t="str">
        <v>EUS</v>
      </c>
      <c r="B14" s="73">
        <v>100</v>
      </c>
      <c r="C14" s="74">
        <v>77.272393253344333</v>
      </c>
      <c r="D14" s="74">
        <v>68.515256131224461</v>
      </c>
      <c r="E14" s="74">
        <v>57.459288510458975</v>
      </c>
      <c r="F14" s="74">
        <v>48.187367639767707</v>
      </c>
      <c r="G14" s="74">
        <v>40.411610729002831</v>
      </c>
      <c r="H14" s="74">
        <v>33.890589208378032</v>
      </c>
      <c r="I14" s="74">
        <v>28.421832640952271</v>
      </c>
      <c r="J14" s="74">
        <v>23.83554224163813</v>
      </c>
      <c r="K14" s="75">
        <v>19.989318814519642</v>
      </c>
      <c r="L14">
        <f>K14-'18x18x4_ETS75'!AJ68</f>
        <v>0</v>
      </c>
    </row>
    <row r="15" spans="1:47" x14ac:dyDescent="0.25">
      <c r="A15" s="79" t="str">
        <v>EUE</v>
      </c>
      <c r="B15" s="73">
        <v>100</v>
      </c>
      <c r="C15" s="74">
        <v>87.602791846624214</v>
      </c>
      <c r="D15" s="74">
        <v>77.419991306726317</v>
      </c>
      <c r="E15" s="74">
        <v>61.079916767289944</v>
      </c>
      <c r="F15" s="74">
        <v>48.188538507042381</v>
      </c>
      <c r="G15" s="74">
        <v>38.0179831005971</v>
      </c>
      <c r="H15" s="74">
        <v>29.994000312461388</v>
      </c>
      <c r="I15" s="74">
        <v>23.663539761261156</v>
      </c>
      <c r="J15" s="74">
        <v>18.669170774134574</v>
      </c>
      <c r="K15" s="75">
        <v>14.728901124268026</v>
      </c>
      <c r="L15">
        <f>K15-'18x18x4_ETS75'!AK68</f>
        <v>0</v>
      </c>
    </row>
    <row r="16" spans="1:47" x14ac:dyDescent="0.25">
      <c r="A16" s="79" t="str">
        <v>FRA</v>
      </c>
      <c r="B16" s="73">
        <v>100</v>
      </c>
      <c r="C16" s="74">
        <v>91.263038525384971</v>
      </c>
      <c r="D16" s="74">
        <v>75.301281399030287</v>
      </c>
      <c r="E16" s="74">
        <v>62.629158351999727</v>
      </c>
      <c r="F16" s="74">
        <v>52.08957142567786</v>
      </c>
      <c r="G16" s="74">
        <v>43.32364545058843</v>
      </c>
      <c r="H16" s="74">
        <v>36.03289878870158</v>
      </c>
      <c r="I16" s="74">
        <v>29.96907997037394</v>
      </c>
      <c r="J16" s="74">
        <v>24.92571467917228</v>
      </c>
      <c r="K16" s="75">
        <v>20.731075257621683</v>
      </c>
      <c r="L16">
        <f>K16-'18x18x4_ETS75'!AL68</f>
        <v>0</v>
      </c>
    </row>
    <row r="17" spans="1:47" ht="15.75" thickBot="1" x14ac:dyDescent="0.3">
      <c r="A17" s="80" t="str">
        <v>AUT</v>
      </c>
      <c r="B17" s="76">
        <v>100</v>
      </c>
      <c r="C17" s="77">
        <v>97.381051964551972</v>
      </c>
      <c r="D17" s="77">
        <v>86.702226497718513</v>
      </c>
      <c r="E17" s="77">
        <v>70.814324056043461</v>
      </c>
      <c r="F17" s="77">
        <v>57.837828324354433</v>
      </c>
      <c r="G17" s="77">
        <v>47.239233444211727</v>
      </c>
      <c r="H17" s="77">
        <v>38.582796779336711</v>
      </c>
      <c r="I17" s="77">
        <v>31.512624121507603</v>
      </c>
      <c r="J17" s="77">
        <v>25.738037724503567</v>
      </c>
      <c r="K17" s="78">
        <v>21.021625598480188</v>
      </c>
      <c r="L17">
        <f>K17-'18x18x4_ETS75'!AM68</f>
        <v>0</v>
      </c>
    </row>
    <row r="18" spans="1:47" x14ac:dyDescent="0.25">
      <c r="A18" s="81" t="str">
        <v>TOTAL</v>
      </c>
      <c r="B18" s="72">
        <v>99.999999999999986</v>
      </c>
      <c r="C18" s="69">
        <v>89.243942903166996</v>
      </c>
      <c r="D18" s="69">
        <v>80.205363776766688</v>
      </c>
      <c r="E18" s="69">
        <v>64.961496992728627</v>
      </c>
      <c r="F18" s="69">
        <v>52.679922307274424</v>
      </c>
      <c r="G18" s="69">
        <v>42.774198841121311</v>
      </c>
      <c r="H18" s="69">
        <v>34.775733524514244</v>
      </c>
      <c r="I18" s="69">
        <v>28.309817614853873</v>
      </c>
      <c r="J18" s="69">
        <v>23.07658146032237</v>
      </c>
      <c r="K18" s="69">
        <v>18.835850618287072</v>
      </c>
      <c r="L18" s="67">
        <f>K18-'18x18x4_ETS75'!AN68</f>
        <v>0</v>
      </c>
    </row>
    <row r="20" spans="1:47" ht="15.75" thickBot="1" x14ac:dyDescent="0.3">
      <c r="A20" s="126" t="s">
        <v>90</v>
      </c>
      <c r="B20" s="127"/>
      <c r="C20" s="118" t="s">
        <v>116</v>
      </c>
      <c r="D20" s="118"/>
      <c r="E20" s="118"/>
      <c r="F20" s="119"/>
      <c r="G20" s="119"/>
      <c r="H20" s="119"/>
      <c r="I20" s="119"/>
      <c r="J20" s="119"/>
      <c r="K20" s="119"/>
    </row>
    <row r="21" spans="1:47" x14ac:dyDescent="0.25">
      <c r="A21" s="82"/>
      <c r="B21" s="83">
        <f t="shared" ref="B21:K21" si="0">B11</f>
        <v>2007</v>
      </c>
      <c r="C21" s="83">
        <f t="shared" si="0"/>
        <v>2010</v>
      </c>
      <c r="D21" s="83">
        <f t="shared" si="0"/>
        <v>2015</v>
      </c>
      <c r="E21" s="83">
        <f t="shared" si="0"/>
        <v>2020</v>
      </c>
      <c r="F21" s="83">
        <f t="shared" si="0"/>
        <v>2025</v>
      </c>
      <c r="G21" s="83">
        <f t="shared" si="0"/>
        <v>2030</v>
      </c>
      <c r="H21" s="83">
        <f t="shared" si="0"/>
        <v>2035</v>
      </c>
      <c r="I21" s="83">
        <f t="shared" si="0"/>
        <v>2040</v>
      </c>
      <c r="J21" s="83">
        <f t="shared" si="0"/>
        <v>2045</v>
      </c>
      <c r="K21" s="84">
        <f t="shared" si="0"/>
        <v>2050</v>
      </c>
    </row>
    <row r="22" spans="1:47" x14ac:dyDescent="0.25">
      <c r="A22" s="79" t="str">
        <f t="shared" ref="A22" si="1">A12</f>
        <v>EUN</v>
      </c>
      <c r="B22" s="120">
        <f>B12/100</f>
        <v>1</v>
      </c>
      <c r="C22" s="121">
        <f t="shared" ref="C22:K22" si="2">C12/100</f>
        <v>0.95635447922924888</v>
      </c>
      <c r="D22" s="121">
        <f t="shared" si="2"/>
        <v>0.82586943254643552</v>
      </c>
      <c r="E22" s="121">
        <f t="shared" si="2"/>
        <v>0.66996641036647309</v>
      </c>
      <c r="F22" s="121">
        <f t="shared" si="2"/>
        <v>0.54349389059644115</v>
      </c>
      <c r="G22" s="121">
        <f t="shared" si="2"/>
        <v>0.44089614724726239</v>
      </c>
      <c r="H22" s="121">
        <f t="shared" si="2"/>
        <v>0.35766623327477126</v>
      </c>
      <c r="I22" s="121">
        <f t="shared" si="2"/>
        <v>0.29014799794387952</v>
      </c>
      <c r="J22" s="121">
        <f t="shared" si="2"/>
        <v>0.2353754782497656</v>
      </c>
      <c r="K22" s="122">
        <f t="shared" si="2"/>
        <v>0.19094260913019176</v>
      </c>
      <c r="L22" s="490" t="s">
        <v>121</v>
      </c>
    </row>
    <row r="23" spans="1:47" x14ac:dyDescent="0.25">
      <c r="A23" s="79" t="str">
        <f t="shared" ref="A23" si="3">A13</f>
        <v>DEU</v>
      </c>
      <c r="B23" s="120">
        <f t="shared" ref="B23:B28" si="4">B13/100</f>
        <v>1</v>
      </c>
      <c r="C23" s="121">
        <f t="shared" ref="C23:K23" si="5">C13/100</f>
        <v>0.93372896045778508</v>
      </c>
      <c r="D23" s="121">
        <f t="shared" si="5"/>
        <v>0.90438903998437969</v>
      </c>
      <c r="E23" s="121">
        <f t="shared" si="5"/>
        <v>0.72640246291201427</v>
      </c>
      <c r="F23" s="121">
        <f t="shared" si="5"/>
        <v>0.58344419801212277</v>
      </c>
      <c r="G23" s="121">
        <f t="shared" si="5"/>
        <v>0.46862056445868772</v>
      </c>
      <c r="H23" s="121">
        <f t="shared" si="5"/>
        <v>0.37639457926191644</v>
      </c>
      <c r="I23" s="121">
        <f t="shared" si="5"/>
        <v>0.30231895491271071</v>
      </c>
      <c r="J23" s="121">
        <f t="shared" si="5"/>
        <v>0.24282164392148334</v>
      </c>
      <c r="K23" s="122">
        <f t="shared" si="5"/>
        <v>0.19503358885901151</v>
      </c>
      <c r="L23" s="490"/>
    </row>
    <row r="24" spans="1:47" x14ac:dyDescent="0.25">
      <c r="A24" s="79" t="str">
        <f t="shared" ref="A24" si="6">A14</f>
        <v>EUS</v>
      </c>
      <c r="B24" s="120">
        <f t="shared" si="4"/>
        <v>1</v>
      </c>
      <c r="C24" s="121">
        <f t="shared" ref="C24:K24" si="7">C14/100</f>
        <v>0.77272393253344329</v>
      </c>
      <c r="D24" s="121">
        <f t="shared" si="7"/>
        <v>0.68515256131224467</v>
      </c>
      <c r="E24" s="121">
        <f t="shared" si="7"/>
        <v>0.57459288510458972</v>
      </c>
      <c r="F24" s="121">
        <f t="shared" si="7"/>
        <v>0.48187367639767709</v>
      </c>
      <c r="G24" s="121">
        <f t="shared" si="7"/>
        <v>0.40411610729002834</v>
      </c>
      <c r="H24" s="121">
        <f t="shared" si="7"/>
        <v>0.3389058920837803</v>
      </c>
      <c r="I24" s="121">
        <f t="shared" si="7"/>
        <v>0.28421832640952271</v>
      </c>
      <c r="J24" s="121">
        <f t="shared" si="7"/>
        <v>0.2383554224163813</v>
      </c>
      <c r="K24" s="122">
        <f t="shared" si="7"/>
        <v>0.19989318814519641</v>
      </c>
      <c r="L24" s="490"/>
    </row>
    <row r="25" spans="1:47" x14ac:dyDescent="0.25">
      <c r="A25" s="79" t="str">
        <f t="shared" ref="A25" si="8">A15</f>
        <v>EUE</v>
      </c>
      <c r="B25" s="120">
        <f t="shared" si="4"/>
        <v>1</v>
      </c>
      <c r="C25" s="121">
        <f t="shared" ref="C25:K25" si="9">C15/100</f>
        <v>0.87602791846624217</v>
      </c>
      <c r="D25" s="121">
        <f t="shared" si="9"/>
        <v>0.77419991306726321</v>
      </c>
      <c r="E25" s="121">
        <f t="shared" si="9"/>
        <v>0.61079916767289943</v>
      </c>
      <c r="F25" s="121">
        <f t="shared" si="9"/>
        <v>0.48188538507042383</v>
      </c>
      <c r="G25" s="121">
        <f t="shared" si="9"/>
        <v>0.38017983100597097</v>
      </c>
      <c r="H25" s="121">
        <f t="shared" si="9"/>
        <v>0.29994000312461389</v>
      </c>
      <c r="I25" s="121">
        <f t="shared" si="9"/>
        <v>0.23663539761261154</v>
      </c>
      <c r="J25" s="121">
        <f t="shared" si="9"/>
        <v>0.18669170774134575</v>
      </c>
      <c r="K25" s="122">
        <f t="shared" si="9"/>
        <v>0.14728901124268026</v>
      </c>
      <c r="L25" s="490"/>
    </row>
    <row r="26" spans="1:47" x14ac:dyDescent="0.25">
      <c r="A26" s="79" t="str">
        <f t="shared" ref="A26" si="10">A16</f>
        <v>FRA</v>
      </c>
      <c r="B26" s="120">
        <f t="shared" si="4"/>
        <v>1</v>
      </c>
      <c r="C26" s="121">
        <f t="shared" ref="C26:K26" si="11">C16/100</f>
        <v>0.91263038525384976</v>
      </c>
      <c r="D26" s="121">
        <f t="shared" si="11"/>
        <v>0.75301281399030284</v>
      </c>
      <c r="E26" s="121">
        <f t="shared" si="11"/>
        <v>0.62629158351999725</v>
      </c>
      <c r="F26" s="121">
        <f t="shared" si="11"/>
        <v>0.52089571425677861</v>
      </c>
      <c r="G26" s="121">
        <f t="shared" si="11"/>
        <v>0.43323645450588427</v>
      </c>
      <c r="H26" s="121">
        <f t="shared" si="11"/>
        <v>0.36032898788701578</v>
      </c>
      <c r="I26" s="121">
        <f t="shared" si="11"/>
        <v>0.29969079970373941</v>
      </c>
      <c r="J26" s="121">
        <f t="shared" si="11"/>
        <v>0.24925714679172281</v>
      </c>
      <c r="K26" s="122">
        <f t="shared" si="11"/>
        <v>0.20731075257621684</v>
      </c>
      <c r="L26" s="490"/>
    </row>
    <row r="27" spans="1:47" ht="15.75" thickBot="1" x14ac:dyDescent="0.3">
      <c r="A27" s="80" t="str">
        <f t="shared" ref="A27" si="12">A17</f>
        <v>AUT</v>
      </c>
      <c r="B27" s="123">
        <f t="shared" si="4"/>
        <v>1</v>
      </c>
      <c r="C27" s="124">
        <f t="shared" ref="C27:K27" si="13">C17/100</f>
        <v>0.97381051964551968</v>
      </c>
      <c r="D27" s="124">
        <f t="shared" si="13"/>
        <v>0.86702226497718515</v>
      </c>
      <c r="E27" s="124">
        <f t="shared" si="13"/>
        <v>0.70814324056043465</v>
      </c>
      <c r="F27" s="124">
        <f t="shared" si="13"/>
        <v>0.57837828324354434</v>
      </c>
      <c r="G27" s="124">
        <f t="shared" si="13"/>
        <v>0.47239233444211726</v>
      </c>
      <c r="H27" s="124">
        <f t="shared" si="13"/>
        <v>0.38582796779336709</v>
      </c>
      <c r="I27" s="124">
        <f t="shared" si="13"/>
        <v>0.31512624121507604</v>
      </c>
      <c r="J27" s="124">
        <f t="shared" si="13"/>
        <v>0.25738037724503565</v>
      </c>
      <c r="K27" s="125">
        <f t="shared" si="13"/>
        <v>0.21021625598480187</v>
      </c>
      <c r="L27" s="490"/>
    </row>
    <row r="28" spans="1:47" x14ac:dyDescent="0.25">
      <c r="A28" s="81" t="str">
        <f t="shared" ref="A28" si="14">A18</f>
        <v>TOTAL</v>
      </c>
      <c r="B28" s="72">
        <f t="shared" si="4"/>
        <v>0.99999999999999989</v>
      </c>
      <c r="C28" s="114">
        <f t="shared" ref="C28:K28" si="15">C18/100</f>
        <v>0.89243942903166995</v>
      </c>
      <c r="D28" s="114">
        <f t="shared" si="15"/>
        <v>0.80205363776766692</v>
      </c>
      <c r="E28" s="114">
        <f t="shared" si="15"/>
        <v>0.64961496992728629</v>
      </c>
      <c r="F28" s="114">
        <f t="shared" si="15"/>
        <v>0.52679922307274429</v>
      </c>
      <c r="G28" s="114">
        <f t="shared" si="15"/>
        <v>0.42774198841121314</v>
      </c>
      <c r="H28" s="114">
        <f t="shared" si="15"/>
        <v>0.34775733524514246</v>
      </c>
      <c r="I28" s="114">
        <f t="shared" si="15"/>
        <v>0.28309817614853872</v>
      </c>
      <c r="J28" s="114">
        <f t="shared" si="15"/>
        <v>0.23076581460322371</v>
      </c>
      <c r="K28" s="114">
        <f t="shared" si="15"/>
        <v>0.18835850618287073</v>
      </c>
    </row>
    <row r="30" spans="1:47" s="64" customFormat="1" x14ac:dyDescent="0.25">
      <c r="A30" s="63" t="s">
        <v>85</v>
      </c>
      <c r="B30" s="63"/>
      <c r="C30" s="63"/>
      <c r="D30" s="118" t="s">
        <v>117</v>
      </c>
      <c r="E30" s="118"/>
      <c r="F30" s="118"/>
      <c r="G30" s="119"/>
      <c r="H30" s="119"/>
      <c r="I30" s="119"/>
      <c r="J30" s="119"/>
      <c r="K30" s="119"/>
      <c r="L30" s="119"/>
    </row>
    <row r="31" spans="1:47" s="65" customFormat="1" x14ac:dyDescent="0.25">
      <c r="A31" s="65">
        <f t="array" ref="A31:AU37">TRANSPOSE('18x18x4_ETS75'!AO22:AU68)</f>
        <v>0</v>
      </c>
      <c r="B31" s="65">
        <v>2005</v>
      </c>
      <c r="C31" s="65">
        <v>2006</v>
      </c>
      <c r="D31" s="65">
        <v>2007</v>
      </c>
      <c r="E31" s="65">
        <v>2008</v>
      </c>
      <c r="F31" s="65">
        <v>2009</v>
      </c>
      <c r="G31" s="65">
        <v>2010</v>
      </c>
      <c r="H31" s="65">
        <v>2011</v>
      </c>
      <c r="I31" s="65">
        <v>2012</v>
      </c>
      <c r="J31" s="65">
        <v>2013</v>
      </c>
      <c r="K31" s="65">
        <v>2014</v>
      </c>
      <c r="L31" s="65">
        <v>2015</v>
      </c>
      <c r="M31" s="65">
        <v>2016</v>
      </c>
      <c r="N31" s="65">
        <v>2017</v>
      </c>
      <c r="O31" s="65">
        <v>2018</v>
      </c>
      <c r="P31" s="65">
        <v>2019</v>
      </c>
      <c r="Q31" s="65">
        <v>2020</v>
      </c>
      <c r="R31" s="65">
        <v>2021</v>
      </c>
      <c r="S31" s="65">
        <v>2022</v>
      </c>
      <c r="T31" s="65">
        <v>2023</v>
      </c>
      <c r="U31" s="65">
        <v>2024</v>
      </c>
      <c r="V31" s="65">
        <v>2025</v>
      </c>
      <c r="W31" s="65">
        <v>2026</v>
      </c>
      <c r="X31" s="65">
        <v>2027</v>
      </c>
      <c r="Y31" s="65">
        <v>2028</v>
      </c>
      <c r="Z31" s="65">
        <v>2029</v>
      </c>
      <c r="AA31" s="65">
        <v>2030</v>
      </c>
      <c r="AB31" s="65">
        <v>2031</v>
      </c>
      <c r="AC31" s="65">
        <v>2032</v>
      </c>
      <c r="AD31" s="65">
        <v>2033</v>
      </c>
      <c r="AE31" s="65">
        <v>2034</v>
      </c>
      <c r="AF31" s="65">
        <v>2035</v>
      </c>
      <c r="AG31" s="65">
        <v>2036</v>
      </c>
      <c r="AH31" s="65">
        <v>2037</v>
      </c>
      <c r="AI31" s="65">
        <v>2038</v>
      </c>
      <c r="AJ31" s="65">
        <v>2039</v>
      </c>
      <c r="AK31" s="65">
        <v>2040</v>
      </c>
      <c r="AL31" s="65">
        <v>2041</v>
      </c>
      <c r="AM31" s="65">
        <v>2042</v>
      </c>
      <c r="AN31" s="65">
        <v>2043</v>
      </c>
      <c r="AO31" s="65">
        <v>2044</v>
      </c>
      <c r="AP31" s="65">
        <v>2045</v>
      </c>
      <c r="AQ31" s="65">
        <v>2046</v>
      </c>
      <c r="AR31" s="65">
        <v>2047</v>
      </c>
      <c r="AS31" s="65">
        <v>2048</v>
      </c>
      <c r="AT31" s="65">
        <v>2049</v>
      </c>
      <c r="AU31" s="65">
        <v>2050</v>
      </c>
    </row>
    <row r="32" spans="1:47" x14ac:dyDescent="0.25">
      <c r="A32" s="65" t="str">
        <v>EUN</v>
      </c>
      <c r="B32" s="45">
        <v>95.471304565095764</v>
      </c>
      <c r="C32" s="45">
        <v>99.850434150896248</v>
      </c>
      <c r="D32" s="71">
        <v>100</v>
      </c>
      <c r="E32" s="45">
        <v>100.6552138002935</v>
      </c>
      <c r="F32" s="45">
        <v>89.834945072231861</v>
      </c>
      <c r="G32" s="45">
        <v>95.635447922924882</v>
      </c>
      <c r="H32" s="45">
        <v>87.954374129884414</v>
      </c>
      <c r="I32" s="45">
        <v>86.596952554602041</v>
      </c>
      <c r="J32" s="45">
        <v>89.795533946412476</v>
      </c>
      <c r="K32" s="45">
        <v>87.884688729293742</v>
      </c>
      <c r="L32" s="45">
        <v>85.973843512175009</v>
      </c>
      <c r="M32" s="45">
        <v>84.062998295056275</v>
      </c>
      <c r="N32" s="45">
        <v>82.152153077937555</v>
      </c>
      <c r="O32" s="45">
        <v>80.241307860818807</v>
      </c>
      <c r="P32" s="45">
        <v>78.330462643700073</v>
      </c>
      <c r="Q32" s="45">
        <v>76.419617426581326</v>
      </c>
      <c r="R32" s="45">
        <v>74.508772209462592</v>
      </c>
      <c r="S32" s="45">
        <v>72.597926992343858</v>
      </c>
      <c r="T32" s="45">
        <v>70.687081775225124</v>
      </c>
      <c r="U32" s="45">
        <v>68.77623655810639</v>
      </c>
      <c r="V32" s="45">
        <v>66.865391340987657</v>
      </c>
      <c r="W32" s="45">
        <v>64.954546123868923</v>
      </c>
      <c r="X32" s="45">
        <v>63.043700906750189</v>
      </c>
      <c r="Y32" s="45">
        <v>61.132855689631462</v>
      </c>
      <c r="Z32" s="45">
        <v>59.222010472512721</v>
      </c>
      <c r="AA32" s="45">
        <v>57.311165255393995</v>
      </c>
      <c r="AB32" s="45">
        <v>55.400320038275261</v>
      </c>
      <c r="AC32" s="45">
        <v>53.489474821156527</v>
      </c>
      <c r="AD32" s="45">
        <v>51.578629604037793</v>
      </c>
      <c r="AE32" s="45">
        <v>49.667784386919045</v>
      </c>
      <c r="AF32" s="45">
        <v>47.756939169800319</v>
      </c>
      <c r="AG32" s="45">
        <v>45.846093952681578</v>
      </c>
      <c r="AH32" s="45">
        <v>43.935248735562823</v>
      </c>
      <c r="AI32" s="45">
        <v>42.024403518444089</v>
      </c>
      <c r="AJ32" s="45">
        <v>40.113558301325348</v>
      </c>
      <c r="AK32" s="45">
        <v>38.202713084206607</v>
      </c>
      <c r="AL32" s="45">
        <v>36.291867867087866</v>
      </c>
      <c r="AM32" s="45">
        <v>34.381022649969125</v>
      </c>
      <c r="AN32" s="45">
        <v>32.470177432850392</v>
      </c>
      <c r="AO32" s="45">
        <v>30.559332215731651</v>
      </c>
      <c r="AP32" s="45">
        <v>28.64848699861291</v>
      </c>
      <c r="AQ32" s="45">
        <v>26.737641781494169</v>
      </c>
      <c r="AR32" s="45">
        <v>24.826796564375432</v>
      </c>
      <c r="AS32" s="45">
        <v>22.915951347256698</v>
      </c>
      <c r="AT32" s="45">
        <v>21.005106130137953</v>
      </c>
      <c r="AU32" s="45">
        <v>19.09426091301922</v>
      </c>
    </row>
    <row r="33" spans="1:47" x14ac:dyDescent="0.25">
      <c r="A33" s="65" t="str">
        <v>DEU</v>
      </c>
      <c r="B33" s="45">
        <v>97.516794429505623</v>
      </c>
      <c r="C33" s="45">
        <v>98.13741286967749</v>
      </c>
      <c r="D33" s="71">
        <v>100</v>
      </c>
      <c r="E33" s="45">
        <v>97.065597041683588</v>
      </c>
      <c r="F33" s="45">
        <v>87.918686352253317</v>
      </c>
      <c r="G33" s="45">
        <v>93.372896045778504</v>
      </c>
      <c r="H33" s="45">
        <v>92.442715488407856</v>
      </c>
      <c r="I33" s="45">
        <v>92.905129170158148</v>
      </c>
      <c r="J33" s="45">
        <v>98.724850252622815</v>
      </c>
      <c r="K33" s="45">
        <v>96.583728864333025</v>
      </c>
      <c r="L33" s="45">
        <v>94.44260747604325</v>
      </c>
      <c r="M33" s="45">
        <v>92.301486087753474</v>
      </c>
      <c r="N33" s="45">
        <v>90.160364699463685</v>
      </c>
      <c r="O33" s="45">
        <v>88.019243311173909</v>
      </c>
      <c r="P33" s="45">
        <v>85.878121922884134</v>
      </c>
      <c r="Q33" s="45">
        <v>83.737000534594358</v>
      </c>
      <c r="R33" s="45">
        <v>81.595879146304583</v>
      </c>
      <c r="S33" s="45">
        <v>79.454757758014807</v>
      </c>
      <c r="T33" s="45">
        <v>77.313636369725032</v>
      </c>
      <c r="U33" s="45">
        <v>75.172514981435242</v>
      </c>
      <c r="V33" s="45">
        <v>73.031393593145467</v>
      </c>
      <c r="W33" s="45">
        <v>70.890272204855691</v>
      </c>
      <c r="X33" s="45">
        <v>68.749150816565901</v>
      </c>
      <c r="Y33" s="45">
        <v>66.608029428276126</v>
      </c>
      <c r="Z33" s="45">
        <v>64.46690803998635</v>
      </c>
      <c r="AA33" s="45">
        <v>62.325786651696561</v>
      </c>
      <c r="AB33" s="45">
        <v>60.184665263406778</v>
      </c>
      <c r="AC33" s="45">
        <v>58.043543875116995</v>
      </c>
      <c r="AD33" s="45">
        <v>55.90242248682722</v>
      </c>
      <c r="AE33" s="45">
        <v>53.761301098537437</v>
      </c>
      <c r="AF33" s="45">
        <v>51.620179710247683</v>
      </c>
      <c r="AG33" s="45">
        <v>49.479058321957901</v>
      </c>
      <c r="AH33" s="45">
        <v>47.337936933668132</v>
      </c>
      <c r="AI33" s="45">
        <v>45.196815545378357</v>
      </c>
      <c r="AJ33" s="45">
        <v>43.055694157088588</v>
      </c>
      <c r="AK33" s="45">
        <v>40.914572768798813</v>
      </c>
      <c r="AL33" s="45">
        <v>38.77345138050903</v>
      </c>
      <c r="AM33" s="45">
        <v>36.632329992219269</v>
      </c>
      <c r="AN33" s="45">
        <v>34.491208603929493</v>
      </c>
      <c r="AO33" s="45">
        <v>32.350087215639718</v>
      </c>
      <c r="AP33" s="45">
        <v>30.208965827349942</v>
      </c>
      <c r="AQ33" s="45">
        <v>28.067844439060174</v>
      </c>
      <c r="AR33" s="45">
        <v>25.926723050770395</v>
      </c>
      <c r="AS33" s="45">
        <v>23.785601662480619</v>
      </c>
      <c r="AT33" s="45">
        <v>21.64448027419084</v>
      </c>
      <c r="AU33" s="45">
        <v>19.503358885901068</v>
      </c>
    </row>
    <row r="34" spans="1:47" x14ac:dyDescent="0.25">
      <c r="A34" s="65" t="str">
        <v>EUS</v>
      </c>
      <c r="B34" s="45">
        <v>99.946594072598032</v>
      </c>
      <c r="C34" s="45">
        <v>98.671232612944195</v>
      </c>
      <c r="D34" s="71">
        <v>100</v>
      </c>
      <c r="E34" s="45">
        <v>93.811680758212717</v>
      </c>
      <c r="F34" s="45">
        <v>80.445089767551508</v>
      </c>
      <c r="G34" s="45">
        <v>77.272393253344333</v>
      </c>
      <c r="H34" s="45">
        <v>78.937203877060824</v>
      </c>
      <c r="I34" s="45">
        <v>77.891501835634827</v>
      </c>
      <c r="J34" s="45">
        <v>73.511976928258377</v>
      </c>
      <c r="K34" s="45">
        <v>72.065418600860042</v>
      </c>
      <c r="L34" s="45">
        <v>70.618860273461692</v>
      </c>
      <c r="M34" s="45">
        <v>69.172301946063342</v>
      </c>
      <c r="N34" s="45">
        <v>67.725743618665007</v>
      </c>
      <c r="O34" s="45">
        <v>66.279185291266657</v>
      </c>
      <c r="P34" s="45">
        <v>64.832626963868307</v>
      </c>
      <c r="Q34" s="45">
        <v>63.386068636469957</v>
      </c>
      <c r="R34" s="45">
        <v>61.939510309071608</v>
      </c>
      <c r="S34" s="45">
        <v>60.492951981673258</v>
      </c>
      <c r="T34" s="45">
        <v>59.046393654274922</v>
      </c>
      <c r="U34" s="45">
        <v>57.599835326876573</v>
      </c>
      <c r="V34" s="45">
        <v>56.15327699947823</v>
      </c>
      <c r="W34" s="45">
        <v>54.706718672079866</v>
      </c>
      <c r="X34" s="45">
        <v>53.260160344681516</v>
      </c>
      <c r="Y34" s="45">
        <v>51.813602017283181</v>
      </c>
      <c r="Z34" s="45">
        <v>50.367043689884824</v>
      </c>
      <c r="AA34" s="45">
        <v>48.920485362486481</v>
      </c>
      <c r="AB34" s="45">
        <v>47.473927035088138</v>
      </c>
      <c r="AC34" s="45">
        <v>46.027368707689789</v>
      </c>
      <c r="AD34" s="45">
        <v>44.580810380291439</v>
      </c>
      <c r="AE34" s="45">
        <v>43.134252052893096</v>
      </c>
      <c r="AF34" s="45">
        <v>41.687693725494753</v>
      </c>
      <c r="AG34" s="45">
        <v>40.241135398096404</v>
      </c>
      <c r="AH34" s="45">
        <v>38.794577070698054</v>
      </c>
      <c r="AI34" s="45">
        <v>37.348018743299704</v>
      </c>
      <c r="AJ34" s="45">
        <v>35.901460415901354</v>
      </c>
      <c r="AK34" s="45">
        <v>34.454902088503012</v>
      </c>
      <c r="AL34" s="45">
        <v>33.008343761104662</v>
      </c>
      <c r="AM34" s="45">
        <v>31.561785433706319</v>
      </c>
      <c r="AN34" s="45">
        <v>30.11522710630797</v>
      </c>
      <c r="AO34" s="45">
        <v>28.668668778909623</v>
      </c>
      <c r="AP34" s="45">
        <v>27.222110451511274</v>
      </c>
      <c r="AQ34" s="45">
        <v>25.77555212411292</v>
      </c>
      <c r="AR34" s="45">
        <v>24.328993796714578</v>
      </c>
      <c r="AS34" s="45">
        <v>22.882435469316238</v>
      </c>
      <c r="AT34" s="45">
        <v>21.435877141917896</v>
      </c>
      <c r="AU34" s="45">
        <v>19.98931881451955</v>
      </c>
    </row>
    <row r="35" spans="1:47" x14ac:dyDescent="0.25">
      <c r="A35" s="65" t="str">
        <v>EUE</v>
      </c>
      <c r="B35" s="45">
        <v>73.644505621340059</v>
      </c>
      <c r="C35" s="45">
        <v>75.312505998682312</v>
      </c>
      <c r="D35" s="71">
        <v>100</v>
      </c>
      <c r="E35" s="45">
        <v>95.978854008934462</v>
      </c>
      <c r="F35" s="45">
        <v>85.23412876720306</v>
      </c>
      <c r="G35" s="45">
        <v>87.602791846624214</v>
      </c>
      <c r="H35" s="45">
        <v>90.284548773740823</v>
      </c>
      <c r="I35" s="45">
        <v>85.457944302577843</v>
      </c>
      <c r="J35" s="45">
        <v>85.120661669912181</v>
      </c>
      <c r="K35" s="45">
        <v>83.21818165516504</v>
      </c>
      <c r="L35" s="45">
        <v>81.315701640417899</v>
      </c>
      <c r="M35" s="45">
        <v>79.413221625670744</v>
      </c>
      <c r="N35" s="45">
        <v>77.510741610923603</v>
      </c>
      <c r="O35" s="45">
        <v>75.608261596176476</v>
      </c>
      <c r="P35" s="45">
        <v>73.705781581429335</v>
      </c>
      <c r="Q35" s="45">
        <v>71.803301566682194</v>
      </c>
      <c r="R35" s="45">
        <v>69.900821551935039</v>
      </c>
      <c r="S35" s="45">
        <v>67.998341537187912</v>
      </c>
      <c r="T35" s="45">
        <v>66.095861522440771</v>
      </c>
      <c r="U35" s="45">
        <v>64.19338150769363</v>
      </c>
      <c r="V35" s="45">
        <v>62.290901492946503</v>
      </c>
      <c r="W35" s="45">
        <v>60.388421478199362</v>
      </c>
      <c r="X35" s="45">
        <v>58.485941463452221</v>
      </c>
      <c r="Y35" s="45">
        <v>56.583461448705073</v>
      </c>
      <c r="Z35" s="45">
        <v>54.680981433957939</v>
      </c>
      <c r="AA35" s="45">
        <v>52.778501419210798</v>
      </c>
      <c r="AB35" s="45">
        <v>50.876021404463664</v>
      </c>
      <c r="AC35" s="45">
        <v>48.973541389716523</v>
      </c>
      <c r="AD35" s="45">
        <v>47.071061374969382</v>
      </c>
      <c r="AE35" s="45">
        <v>45.168581360222234</v>
      </c>
      <c r="AF35" s="45">
        <v>43.2661013454751</v>
      </c>
      <c r="AG35" s="45">
        <v>41.363621330727959</v>
      </c>
      <c r="AH35" s="45">
        <v>39.461141315980825</v>
      </c>
      <c r="AI35" s="45">
        <v>37.558661301233684</v>
      </c>
      <c r="AJ35" s="45">
        <v>35.65618128648655</v>
      </c>
      <c r="AK35" s="45">
        <v>33.753701271739409</v>
      </c>
      <c r="AL35" s="45">
        <v>31.851221256992261</v>
      </c>
      <c r="AM35" s="45">
        <v>29.948741242245131</v>
      </c>
      <c r="AN35" s="45">
        <v>28.046261227497986</v>
      </c>
      <c r="AO35" s="45">
        <v>26.143781212750845</v>
      </c>
      <c r="AP35" s="45">
        <v>24.241301198003708</v>
      </c>
      <c r="AQ35" s="45">
        <v>22.33882118325657</v>
      </c>
      <c r="AR35" s="45">
        <v>20.436341168509429</v>
      </c>
      <c r="AS35" s="45">
        <v>18.533861153762288</v>
      </c>
      <c r="AT35" s="45">
        <v>16.631381139015151</v>
      </c>
      <c r="AU35" s="45">
        <v>14.728901124268013</v>
      </c>
    </row>
    <row r="36" spans="1:47" x14ac:dyDescent="0.25">
      <c r="A36" s="65" t="str">
        <v>FRA</v>
      </c>
      <c r="B36" s="45">
        <v>103.65537628810844</v>
      </c>
      <c r="C36" s="45">
        <v>100.27183835661624</v>
      </c>
      <c r="D36" s="71">
        <v>100</v>
      </c>
      <c r="E36" s="45">
        <v>98.021863892642784</v>
      </c>
      <c r="F36" s="45">
        <v>87.726707698826729</v>
      </c>
      <c r="G36" s="45">
        <v>91.263038525384971</v>
      </c>
      <c r="H36" s="45">
        <v>83.375783349942111</v>
      </c>
      <c r="I36" s="45">
        <v>81.858089341386872</v>
      </c>
      <c r="J36" s="45">
        <v>81.061135517906351</v>
      </c>
      <c r="K36" s="45">
        <v>79.430593348709465</v>
      </c>
      <c r="L36" s="45">
        <v>77.800051179512579</v>
      </c>
      <c r="M36" s="45">
        <v>76.169509010315693</v>
      </c>
      <c r="N36" s="45">
        <v>74.538966841118807</v>
      </c>
      <c r="O36" s="45">
        <v>72.908424671921921</v>
      </c>
      <c r="P36" s="45">
        <v>71.277882502725049</v>
      </c>
      <c r="Q36" s="45">
        <v>69.647340333528149</v>
      </c>
      <c r="R36" s="45">
        <v>68.016798164331277</v>
      </c>
      <c r="S36" s="45">
        <v>66.386255995134363</v>
      </c>
      <c r="T36" s="45">
        <v>64.755713825937505</v>
      </c>
      <c r="U36" s="45">
        <v>63.125171656740605</v>
      </c>
      <c r="V36" s="45">
        <v>61.494629487543726</v>
      </c>
      <c r="W36" s="45">
        <v>59.864087318346847</v>
      </c>
      <c r="X36" s="45">
        <v>58.233545149149954</v>
      </c>
      <c r="Y36" s="45">
        <v>56.603002979953075</v>
      </c>
      <c r="Z36" s="45">
        <v>54.972460810756182</v>
      </c>
      <c r="AA36" s="45">
        <v>53.341918641559303</v>
      </c>
      <c r="AB36" s="45">
        <v>51.711376472362417</v>
      </c>
      <c r="AC36" s="45">
        <v>50.080834303165531</v>
      </c>
      <c r="AD36" s="45">
        <v>48.450292133968645</v>
      </c>
      <c r="AE36" s="45">
        <v>46.819749964771759</v>
      </c>
      <c r="AF36" s="45">
        <v>45.189207795574873</v>
      </c>
      <c r="AG36" s="45">
        <v>43.558665626377994</v>
      </c>
      <c r="AH36" s="45">
        <v>41.928123457181108</v>
      </c>
      <c r="AI36" s="45">
        <v>40.297581287984215</v>
      </c>
      <c r="AJ36" s="45">
        <v>38.667039118787336</v>
      </c>
      <c r="AK36" s="45">
        <v>37.03649694959045</v>
      </c>
      <c r="AL36" s="45">
        <v>35.405954780393564</v>
      </c>
      <c r="AM36" s="45">
        <v>33.775412611196678</v>
      </c>
      <c r="AN36" s="45">
        <v>32.144870441999792</v>
      </c>
      <c r="AO36" s="45">
        <v>30.514328272802903</v>
      </c>
      <c r="AP36" s="45">
        <v>28.883786103606017</v>
      </c>
      <c r="AQ36" s="45">
        <v>27.253243934409138</v>
      </c>
      <c r="AR36" s="45">
        <v>25.622701765212252</v>
      </c>
      <c r="AS36" s="45">
        <v>23.99215959601537</v>
      </c>
      <c r="AT36" s="45">
        <v>22.361617426818491</v>
      </c>
      <c r="AU36" s="45">
        <v>20.731075257621605</v>
      </c>
    </row>
    <row r="37" spans="1:47" x14ac:dyDescent="0.25">
      <c r="A37" s="65" t="str">
        <v>AUT</v>
      </c>
      <c r="B37" s="45">
        <v>105.10812799240095</v>
      </c>
      <c r="C37" s="45">
        <v>101.99397441235405</v>
      </c>
      <c r="D37" s="71">
        <v>100</v>
      </c>
      <c r="E37" s="45">
        <v>101.03212911865546</v>
      </c>
      <c r="F37" s="45">
        <v>86.169282730827064</v>
      </c>
      <c r="G37" s="45">
        <v>97.381051964551972</v>
      </c>
      <c r="H37" s="45">
        <v>96.372295146712318</v>
      </c>
      <c r="I37" s="45">
        <v>89.404514970429545</v>
      </c>
      <c r="J37" s="45">
        <v>94.014297385363605</v>
      </c>
      <c r="K37" s="45">
        <v>92.041522472204605</v>
      </c>
      <c r="L37" s="45">
        <v>90.068747559045605</v>
      </c>
      <c r="M37" s="45">
        <v>88.09597264588659</v>
      </c>
      <c r="N37" s="45">
        <v>86.123197732727576</v>
      </c>
      <c r="O37" s="45">
        <v>84.150422819568576</v>
      </c>
      <c r="P37" s="45">
        <v>82.177647906409561</v>
      </c>
      <c r="Q37" s="45">
        <v>80.204872993250547</v>
      </c>
      <c r="R37" s="45">
        <v>78.232098080091532</v>
      </c>
      <c r="S37" s="45">
        <v>76.259323166932532</v>
      </c>
      <c r="T37" s="45">
        <v>74.286548253773518</v>
      </c>
      <c r="U37" s="45">
        <v>72.313773340614503</v>
      </c>
      <c r="V37" s="45">
        <v>70.340998427455489</v>
      </c>
      <c r="W37" s="45">
        <v>68.368223514296474</v>
      </c>
      <c r="X37" s="45">
        <v>66.395448601137488</v>
      </c>
      <c r="Y37" s="45">
        <v>64.422673687978474</v>
      </c>
      <c r="Z37" s="45">
        <v>62.449898774819466</v>
      </c>
      <c r="AA37" s="45">
        <v>60.477123861660452</v>
      </c>
      <c r="AB37" s="45">
        <v>58.504348948501438</v>
      </c>
      <c r="AC37" s="45">
        <v>56.531574035342437</v>
      </c>
      <c r="AD37" s="45">
        <v>54.558799122183423</v>
      </c>
      <c r="AE37" s="45">
        <v>52.586024209024409</v>
      </c>
      <c r="AF37" s="45">
        <v>50.613249295865401</v>
      </c>
      <c r="AG37" s="45">
        <v>48.640474382706387</v>
      </c>
      <c r="AH37" s="45">
        <v>46.667699469547387</v>
      </c>
      <c r="AI37" s="45">
        <v>44.694924556388372</v>
      </c>
      <c r="AJ37" s="45">
        <v>42.722149643229365</v>
      </c>
      <c r="AK37" s="45">
        <v>40.749374730070357</v>
      </c>
      <c r="AL37" s="45">
        <v>38.776599816911343</v>
      </c>
      <c r="AM37" s="45">
        <v>36.803824903752343</v>
      </c>
      <c r="AN37" s="45">
        <v>34.831049990593328</v>
      </c>
      <c r="AO37" s="45">
        <v>32.858275077434321</v>
      </c>
      <c r="AP37" s="45">
        <v>30.88550016427531</v>
      </c>
      <c r="AQ37" s="45">
        <v>28.912725251116299</v>
      </c>
      <c r="AR37" s="45">
        <v>26.939950337957285</v>
      </c>
      <c r="AS37" s="45">
        <v>24.967175424798281</v>
      </c>
      <c r="AT37" s="45">
        <v>22.994400511639267</v>
      </c>
      <c r="AU37" s="45">
        <v>21.021625598480256</v>
      </c>
    </row>
    <row r="38" spans="1:47" x14ac:dyDescent="0.25">
      <c r="Y38" s="115" t="s">
        <v>118</v>
      </c>
      <c r="Z38" s="104"/>
      <c r="AA38" s="104"/>
      <c r="AB38" s="104"/>
      <c r="AC38" s="104"/>
      <c r="AD38" s="104"/>
      <c r="AE38" s="104"/>
      <c r="AF38" s="115"/>
    </row>
    <row r="39" spans="1:47" ht="15.75" thickBot="1" x14ac:dyDescent="0.3">
      <c r="C39" s="118" t="s">
        <v>117</v>
      </c>
      <c r="D39" s="118"/>
      <c r="E39" s="118"/>
      <c r="F39" s="119"/>
      <c r="G39" s="119"/>
      <c r="H39" s="119"/>
      <c r="I39" s="119"/>
      <c r="J39" s="119"/>
      <c r="K39" s="119"/>
      <c r="L39" s="62" t="s">
        <v>88</v>
      </c>
      <c r="M39" s="62">
        <f>SUM(C41:C46)+SUM(I41:I46)+SUM(K41:K46)-SUM(G32:G37)-SUM(AK32:AK38)-SUM(AU32:AU37)</f>
        <v>1.1368683772161603E-13</v>
      </c>
      <c r="Y39" s="104"/>
      <c r="Z39" s="116" t="s">
        <v>91</v>
      </c>
      <c r="AA39" s="104">
        <f>J31-B31+1</f>
        <v>9</v>
      </c>
      <c r="AB39" s="104">
        <f>K31-C31+1</f>
        <v>9</v>
      </c>
      <c r="AC39" s="104"/>
      <c r="AD39" s="104"/>
      <c r="AE39" s="104"/>
      <c r="AF39" s="104"/>
    </row>
    <row r="40" spans="1:47" s="35" customFormat="1" x14ac:dyDescent="0.25">
      <c r="A40" s="82">
        <f t="array" ref="A40:A47">TRANSPOSE('18x18x4_ETS75'!AO22:AV22)</f>
        <v>0</v>
      </c>
      <c r="B40" s="83">
        <f t="array" ref="B40:B47">TRANSPOSE('18x18x4_ETS75'!$AO$25:$AV25)</f>
        <v>2007</v>
      </c>
      <c r="C40" s="83">
        <f t="array" ref="C40:C47">TRANSPOSE('18x18x4_ETS75'!$AO28:$AV28)</f>
        <v>2010</v>
      </c>
      <c r="D40" s="83">
        <f t="array" ref="D40:D47">TRANSPOSE('18x18x4_ETS75'!$AO33:$AV33)</f>
        <v>2015</v>
      </c>
      <c r="E40" s="83">
        <f t="array" ref="E40:E47">TRANSPOSE('18x18x4_ETS75'!$AO38:$AV38)</f>
        <v>2020</v>
      </c>
      <c r="F40" s="83">
        <f t="array" ref="F40:F47">TRANSPOSE('18x18x4_ETS75'!$AO43:$AV43)</f>
        <v>2025</v>
      </c>
      <c r="G40" s="83">
        <f t="array" ref="G40:G47">TRANSPOSE('18x18x4_ETS75'!$AO48:$AV48)</f>
        <v>2030</v>
      </c>
      <c r="H40" s="83">
        <f t="array" ref="H40:H47">TRANSPOSE('18x18x4_ETS75'!$AO53:$AV53)</f>
        <v>2035</v>
      </c>
      <c r="I40" s="83">
        <f t="array" ref="I40:I47">TRANSPOSE('18x18x4_ETS75'!$AO58:$AV58)</f>
        <v>2040</v>
      </c>
      <c r="J40" s="83">
        <f t="array" ref="J40:J47">TRANSPOSE('18x18x4_ETS75'!$AO63:$AV63)</f>
        <v>2045</v>
      </c>
      <c r="K40" s="84">
        <f t="array" ref="K40:K47">TRANSPOSE('18x18x4_ETS75'!$AO68:$AV68)</f>
        <v>2050</v>
      </c>
      <c r="L40" s="70" t="s">
        <v>87</v>
      </c>
      <c r="Y40" s="117"/>
      <c r="Z40" s="116">
        <v>2013</v>
      </c>
      <c r="AA40" s="104">
        <v>0</v>
      </c>
      <c r="AB40" s="104">
        <v>120</v>
      </c>
      <c r="AC40" s="117"/>
      <c r="AD40" s="117"/>
      <c r="AE40" s="117"/>
      <c r="AF40" s="117"/>
    </row>
    <row r="41" spans="1:47" x14ac:dyDescent="0.25">
      <c r="A41" s="79" t="str">
        <v>EUN</v>
      </c>
      <c r="B41" s="73">
        <v>100</v>
      </c>
      <c r="C41" s="74">
        <v>95.635447922924882</v>
      </c>
      <c r="D41" s="74">
        <v>85.973843512175009</v>
      </c>
      <c r="E41" s="74">
        <v>76.419617426581326</v>
      </c>
      <c r="F41" s="74">
        <v>66.865391340987657</v>
      </c>
      <c r="G41" s="74">
        <v>57.311165255393995</v>
      </c>
      <c r="H41" s="74">
        <v>47.756939169800319</v>
      </c>
      <c r="I41" s="74">
        <v>38.202713084206607</v>
      </c>
      <c r="J41" s="74">
        <v>28.64848699861291</v>
      </c>
      <c r="K41" s="75">
        <v>19.09426091301922</v>
      </c>
      <c r="L41" s="45">
        <f>K41-'18x18x4_ETS75'!AP$68</f>
        <v>0</v>
      </c>
    </row>
    <row r="42" spans="1:47" x14ac:dyDescent="0.25">
      <c r="A42" s="79" t="str">
        <v>DEU</v>
      </c>
      <c r="B42" s="73">
        <v>100</v>
      </c>
      <c r="C42" s="74">
        <v>93.372896045778504</v>
      </c>
      <c r="D42" s="74">
        <v>94.44260747604325</v>
      </c>
      <c r="E42" s="74">
        <v>83.737000534594358</v>
      </c>
      <c r="F42" s="74">
        <v>73.031393593145467</v>
      </c>
      <c r="G42" s="74">
        <v>62.325786651696561</v>
      </c>
      <c r="H42" s="74">
        <v>51.620179710247683</v>
      </c>
      <c r="I42" s="74">
        <v>40.914572768798813</v>
      </c>
      <c r="J42" s="74">
        <v>30.208965827349942</v>
      </c>
      <c r="K42" s="75">
        <v>19.503358885901068</v>
      </c>
      <c r="L42">
        <f>K42-'18x18x4_ETS75'!AQ$68</f>
        <v>0</v>
      </c>
    </row>
    <row r="43" spans="1:47" x14ac:dyDescent="0.25">
      <c r="A43" s="79" t="str">
        <v>EUS</v>
      </c>
      <c r="B43" s="73">
        <v>100</v>
      </c>
      <c r="C43" s="74">
        <v>77.272393253344333</v>
      </c>
      <c r="D43" s="74">
        <v>70.618860273461692</v>
      </c>
      <c r="E43" s="74">
        <v>63.386068636469957</v>
      </c>
      <c r="F43" s="74">
        <v>56.15327699947823</v>
      </c>
      <c r="G43" s="74">
        <v>48.920485362486481</v>
      </c>
      <c r="H43" s="74">
        <v>41.687693725494753</v>
      </c>
      <c r="I43" s="74">
        <v>34.454902088503012</v>
      </c>
      <c r="J43" s="74">
        <v>27.222110451511274</v>
      </c>
      <c r="K43" s="75">
        <v>19.98931881451955</v>
      </c>
      <c r="L43">
        <f>K43-'18x18x4_ETS75'!AR$68</f>
        <v>0</v>
      </c>
    </row>
    <row r="44" spans="1:47" x14ac:dyDescent="0.25">
      <c r="A44" s="79" t="str">
        <v>EUE</v>
      </c>
      <c r="B44" s="73">
        <v>100</v>
      </c>
      <c r="C44" s="74">
        <v>87.602791846624214</v>
      </c>
      <c r="D44" s="74">
        <v>81.315701640417899</v>
      </c>
      <c r="E44" s="74">
        <v>71.803301566682194</v>
      </c>
      <c r="F44" s="74">
        <v>62.290901492946503</v>
      </c>
      <c r="G44" s="74">
        <v>52.778501419210798</v>
      </c>
      <c r="H44" s="74">
        <v>43.2661013454751</v>
      </c>
      <c r="I44" s="74">
        <v>33.753701271739409</v>
      </c>
      <c r="J44" s="74">
        <v>24.241301198003708</v>
      </c>
      <c r="K44" s="75">
        <v>14.728901124268013</v>
      </c>
      <c r="L44">
        <f>K44-'18x18x4_ETS75'!AS$68</f>
        <v>0</v>
      </c>
    </row>
    <row r="45" spans="1:47" x14ac:dyDescent="0.25">
      <c r="A45" s="79" t="str">
        <v>FRA</v>
      </c>
      <c r="B45" s="73">
        <v>100</v>
      </c>
      <c r="C45" s="74">
        <v>91.263038525384971</v>
      </c>
      <c r="D45" s="74">
        <v>77.800051179512579</v>
      </c>
      <c r="E45" s="74">
        <v>69.647340333528149</v>
      </c>
      <c r="F45" s="74">
        <v>61.494629487543726</v>
      </c>
      <c r="G45" s="74">
        <v>53.341918641559303</v>
      </c>
      <c r="H45" s="74">
        <v>45.189207795574873</v>
      </c>
      <c r="I45" s="74">
        <v>37.03649694959045</v>
      </c>
      <c r="J45" s="74">
        <v>28.883786103606017</v>
      </c>
      <c r="K45" s="75">
        <v>20.731075257621605</v>
      </c>
      <c r="L45">
        <f>K45-'18x18x4_ETS75'!AT$68</f>
        <v>0</v>
      </c>
    </row>
    <row r="46" spans="1:47" ht="15.75" thickBot="1" x14ac:dyDescent="0.3">
      <c r="A46" s="80" t="str">
        <v>AUT</v>
      </c>
      <c r="B46" s="76">
        <v>100</v>
      </c>
      <c r="C46" s="77">
        <v>97.381051964551972</v>
      </c>
      <c r="D46" s="77">
        <v>90.068747559045605</v>
      </c>
      <c r="E46" s="77">
        <v>80.204872993250547</v>
      </c>
      <c r="F46" s="77">
        <v>70.340998427455489</v>
      </c>
      <c r="G46" s="77">
        <v>60.477123861660452</v>
      </c>
      <c r="H46" s="77">
        <v>50.613249295865401</v>
      </c>
      <c r="I46" s="77">
        <v>40.749374730070357</v>
      </c>
      <c r="J46" s="77">
        <v>30.88550016427531</v>
      </c>
      <c r="K46" s="78">
        <v>21.021625598480256</v>
      </c>
      <c r="L46">
        <f>K46-'18x18x4_ETS75'!AU$68</f>
        <v>0</v>
      </c>
    </row>
    <row r="47" spans="1:47" x14ac:dyDescent="0.25">
      <c r="A47" s="81" t="str">
        <v>TOTAL</v>
      </c>
      <c r="B47" s="72">
        <v>99.999999999999986</v>
      </c>
      <c r="C47" s="69">
        <v>89.243942903166996</v>
      </c>
      <c r="D47" s="69">
        <v>83.566831076759669</v>
      </c>
      <c r="E47" s="69">
        <v>74.259231969204578</v>
      </c>
      <c r="F47" s="69">
        <v>64.957443719605507</v>
      </c>
      <c r="G47" s="69">
        <v>55.664356082429265</v>
      </c>
      <c r="H47" s="69">
        <v>46.38515566549632</v>
      </c>
      <c r="I47" s="69">
        <v>37.130173825480874</v>
      </c>
      <c r="J47" s="69">
        <v>27.923369227690102</v>
      </c>
      <c r="K47" s="69">
        <v>18.835850618287036</v>
      </c>
      <c r="L47" s="67">
        <f>K47-'18x18x4_ETS75'!AV$68</f>
        <v>0</v>
      </c>
    </row>
    <row r="49" spans="1:28" ht="15.75" thickBot="1" x14ac:dyDescent="0.3">
      <c r="A49" s="126" t="s">
        <v>90</v>
      </c>
      <c r="B49" s="127"/>
      <c r="C49" s="118" t="s">
        <v>117</v>
      </c>
      <c r="D49" s="118"/>
      <c r="E49" s="118"/>
      <c r="F49" s="119"/>
      <c r="G49" s="119"/>
      <c r="H49" s="119"/>
      <c r="I49" s="119"/>
      <c r="J49" s="119"/>
      <c r="K49" s="119"/>
    </row>
    <row r="50" spans="1:28" x14ac:dyDescent="0.25">
      <c r="A50" s="82"/>
      <c r="B50" s="83">
        <f t="shared" ref="B50:K50" si="16">B40</f>
        <v>2007</v>
      </c>
      <c r="C50" s="83">
        <f t="shared" si="16"/>
        <v>2010</v>
      </c>
      <c r="D50" s="83">
        <f t="shared" si="16"/>
        <v>2015</v>
      </c>
      <c r="E50" s="83">
        <f t="shared" si="16"/>
        <v>2020</v>
      </c>
      <c r="F50" s="83">
        <f t="shared" si="16"/>
        <v>2025</v>
      </c>
      <c r="G50" s="83">
        <f t="shared" si="16"/>
        <v>2030</v>
      </c>
      <c r="H50" s="83">
        <f t="shared" si="16"/>
        <v>2035</v>
      </c>
      <c r="I50" s="83">
        <f t="shared" si="16"/>
        <v>2040</v>
      </c>
      <c r="J50" s="83">
        <f t="shared" si="16"/>
        <v>2045</v>
      </c>
      <c r="K50" s="84">
        <f t="shared" si="16"/>
        <v>2050</v>
      </c>
    </row>
    <row r="51" spans="1:28" x14ac:dyDescent="0.25">
      <c r="A51" s="79" t="str">
        <f t="shared" ref="A51:A57" si="17">A41</f>
        <v>EUN</v>
      </c>
      <c r="B51" s="120">
        <f>B41/100</f>
        <v>1</v>
      </c>
      <c r="C51" s="121">
        <f t="shared" ref="C51:K51" si="18">C41/100</f>
        <v>0.95635447922924888</v>
      </c>
      <c r="D51" s="121">
        <f t="shared" si="18"/>
        <v>0.85973843512175008</v>
      </c>
      <c r="E51" s="121">
        <f t="shared" si="18"/>
        <v>0.76419617426581321</v>
      </c>
      <c r="F51" s="121">
        <f t="shared" si="18"/>
        <v>0.66865391340987657</v>
      </c>
      <c r="G51" s="121">
        <f t="shared" si="18"/>
        <v>0.57311165255393992</v>
      </c>
      <c r="H51" s="121">
        <f t="shared" si="18"/>
        <v>0.47756939169800317</v>
      </c>
      <c r="I51" s="121">
        <f t="shared" si="18"/>
        <v>0.38202713084206608</v>
      </c>
      <c r="J51" s="121">
        <f t="shared" si="18"/>
        <v>0.2864848699861291</v>
      </c>
      <c r="K51" s="122">
        <f t="shared" si="18"/>
        <v>0.1909426091301922</v>
      </c>
      <c r="L51" s="490" t="s">
        <v>121</v>
      </c>
    </row>
    <row r="52" spans="1:28" x14ac:dyDescent="0.25">
      <c r="A52" s="79" t="str">
        <f t="shared" si="17"/>
        <v>DEU</v>
      </c>
      <c r="B52" s="120">
        <f t="shared" ref="B52:K57" si="19">B42/100</f>
        <v>1</v>
      </c>
      <c r="C52" s="121">
        <f t="shared" si="19"/>
        <v>0.93372896045778508</v>
      </c>
      <c r="D52" s="121">
        <f t="shared" si="19"/>
        <v>0.9444260747604325</v>
      </c>
      <c r="E52" s="121">
        <f t="shared" si="19"/>
        <v>0.83737000534594364</v>
      </c>
      <c r="F52" s="121">
        <f t="shared" si="19"/>
        <v>0.73031393593145466</v>
      </c>
      <c r="G52" s="121">
        <f t="shared" si="19"/>
        <v>0.62325786651696558</v>
      </c>
      <c r="H52" s="121">
        <f t="shared" si="19"/>
        <v>0.51620179710247682</v>
      </c>
      <c r="I52" s="121">
        <f t="shared" si="19"/>
        <v>0.40914572768798813</v>
      </c>
      <c r="J52" s="121">
        <f t="shared" si="19"/>
        <v>0.30208965827349943</v>
      </c>
      <c r="K52" s="122">
        <f t="shared" si="19"/>
        <v>0.19503358885901068</v>
      </c>
      <c r="L52" s="490"/>
    </row>
    <row r="53" spans="1:28" x14ac:dyDescent="0.25">
      <c r="A53" s="79" t="str">
        <f t="shared" si="17"/>
        <v>EUS</v>
      </c>
      <c r="B53" s="120">
        <f t="shared" si="19"/>
        <v>1</v>
      </c>
      <c r="C53" s="121">
        <f t="shared" si="19"/>
        <v>0.77272393253344329</v>
      </c>
      <c r="D53" s="121">
        <f t="shared" si="19"/>
        <v>0.70618860273461692</v>
      </c>
      <c r="E53" s="121">
        <f t="shared" si="19"/>
        <v>0.63386068636469961</v>
      </c>
      <c r="F53" s="121">
        <f t="shared" si="19"/>
        <v>0.5615327699947823</v>
      </c>
      <c r="G53" s="121">
        <f t="shared" si="19"/>
        <v>0.48920485362486482</v>
      </c>
      <c r="H53" s="121">
        <f t="shared" si="19"/>
        <v>0.41687693725494751</v>
      </c>
      <c r="I53" s="121">
        <f t="shared" si="19"/>
        <v>0.34454902088503014</v>
      </c>
      <c r="J53" s="121">
        <f t="shared" si="19"/>
        <v>0.27222110451511272</v>
      </c>
      <c r="K53" s="122">
        <f t="shared" si="19"/>
        <v>0.19989318814519549</v>
      </c>
      <c r="L53" s="490"/>
    </row>
    <row r="54" spans="1:28" x14ac:dyDescent="0.25">
      <c r="A54" s="79" t="str">
        <f t="shared" si="17"/>
        <v>EUE</v>
      </c>
      <c r="B54" s="120">
        <f t="shared" si="19"/>
        <v>1</v>
      </c>
      <c r="C54" s="121">
        <f t="shared" si="19"/>
        <v>0.87602791846624217</v>
      </c>
      <c r="D54" s="121">
        <f t="shared" si="19"/>
        <v>0.81315701640417903</v>
      </c>
      <c r="E54" s="121">
        <f t="shared" si="19"/>
        <v>0.71803301566682198</v>
      </c>
      <c r="F54" s="121">
        <f t="shared" si="19"/>
        <v>0.62290901492946504</v>
      </c>
      <c r="G54" s="121">
        <f t="shared" si="19"/>
        <v>0.52778501419210799</v>
      </c>
      <c r="H54" s="121">
        <f t="shared" si="19"/>
        <v>0.432661013454751</v>
      </c>
      <c r="I54" s="121">
        <f t="shared" si="19"/>
        <v>0.33753701271739411</v>
      </c>
      <c r="J54" s="121">
        <f t="shared" si="19"/>
        <v>0.24241301198003706</v>
      </c>
      <c r="K54" s="122">
        <f t="shared" si="19"/>
        <v>0.14728901124268012</v>
      </c>
      <c r="L54" s="490"/>
    </row>
    <row r="55" spans="1:28" x14ac:dyDescent="0.25">
      <c r="A55" s="79" t="str">
        <f t="shared" si="17"/>
        <v>FRA</v>
      </c>
      <c r="B55" s="120">
        <f t="shared" si="19"/>
        <v>1</v>
      </c>
      <c r="C55" s="121">
        <f t="shared" si="19"/>
        <v>0.91263038525384976</v>
      </c>
      <c r="D55" s="121">
        <f t="shared" si="19"/>
        <v>0.77800051179512575</v>
      </c>
      <c r="E55" s="121">
        <f t="shared" si="19"/>
        <v>0.69647340333528152</v>
      </c>
      <c r="F55" s="121">
        <f t="shared" si="19"/>
        <v>0.61494629487543728</v>
      </c>
      <c r="G55" s="121">
        <f t="shared" si="19"/>
        <v>0.53341918641559305</v>
      </c>
      <c r="H55" s="121">
        <f t="shared" si="19"/>
        <v>0.45189207795574871</v>
      </c>
      <c r="I55" s="121">
        <f t="shared" si="19"/>
        <v>0.37036496949590453</v>
      </c>
      <c r="J55" s="121">
        <f t="shared" si="19"/>
        <v>0.28883786103606018</v>
      </c>
      <c r="K55" s="122">
        <f t="shared" si="19"/>
        <v>0.20731075257621603</v>
      </c>
      <c r="L55" s="490"/>
      <c r="Z55" t="s">
        <v>91</v>
      </c>
      <c r="AA55">
        <v>9</v>
      </c>
      <c r="AB55">
        <v>9</v>
      </c>
    </row>
    <row r="56" spans="1:28" ht="15.75" thickBot="1" x14ac:dyDescent="0.3">
      <c r="A56" s="80" t="str">
        <f t="shared" si="17"/>
        <v>AUT</v>
      </c>
      <c r="B56" s="123">
        <f t="shared" si="19"/>
        <v>1</v>
      </c>
      <c r="C56" s="124">
        <f t="shared" si="19"/>
        <v>0.97381051964551968</v>
      </c>
      <c r="D56" s="124">
        <f t="shared" si="19"/>
        <v>0.90068747559045603</v>
      </c>
      <c r="E56" s="124">
        <f t="shared" si="19"/>
        <v>0.80204872993250542</v>
      </c>
      <c r="F56" s="124">
        <f t="shared" si="19"/>
        <v>0.70340998427455492</v>
      </c>
      <c r="G56" s="124">
        <f t="shared" si="19"/>
        <v>0.60477123861660453</v>
      </c>
      <c r="H56" s="124">
        <f t="shared" si="19"/>
        <v>0.50613249295865403</v>
      </c>
      <c r="I56" s="124">
        <f t="shared" si="19"/>
        <v>0.40749374730070359</v>
      </c>
      <c r="J56" s="124">
        <f t="shared" si="19"/>
        <v>0.30885500164275309</v>
      </c>
      <c r="K56" s="125">
        <f t="shared" si="19"/>
        <v>0.21021625598480256</v>
      </c>
      <c r="L56" s="490"/>
      <c r="Z56">
        <v>2013</v>
      </c>
      <c r="AA56">
        <v>0</v>
      </c>
      <c r="AB56">
        <v>120</v>
      </c>
    </row>
    <row r="57" spans="1:28" x14ac:dyDescent="0.25">
      <c r="A57" s="81" t="str">
        <f t="shared" si="17"/>
        <v>TOTAL</v>
      </c>
      <c r="B57" s="72">
        <f t="shared" si="19"/>
        <v>0.99999999999999989</v>
      </c>
      <c r="C57" s="114">
        <f t="shared" si="19"/>
        <v>0.89243942903166995</v>
      </c>
      <c r="D57" s="114">
        <f t="shared" si="19"/>
        <v>0.83566831076759673</v>
      </c>
      <c r="E57" s="114">
        <f t="shared" si="19"/>
        <v>0.74259231969204575</v>
      </c>
      <c r="F57" s="114">
        <f t="shared" si="19"/>
        <v>0.64957443719605512</v>
      </c>
      <c r="G57" s="114">
        <f t="shared" si="19"/>
        <v>0.55664356082429267</v>
      </c>
      <c r="H57" s="114">
        <f t="shared" si="19"/>
        <v>0.46385155665496319</v>
      </c>
      <c r="I57" s="114">
        <f t="shared" si="19"/>
        <v>0.37130173825480872</v>
      </c>
      <c r="J57" s="114">
        <f t="shared" si="19"/>
        <v>0.27923369227690104</v>
      </c>
      <c r="K57" s="114">
        <f t="shared" si="19"/>
        <v>0.18835850618287037</v>
      </c>
    </row>
  </sheetData>
  <mergeCells count="2">
    <mergeCell ref="L22:L27"/>
    <mergeCell ref="L51:L56"/>
  </mergeCells>
  <hyperlinks>
    <hyperlink ref="Y38" r:id="rId1"/>
    <hyperlink ref="Y9" r:id="rId2"/>
  </hyperlinks>
  <pageMargins left="0.7" right="0.7" top="0.78740157499999996" bottom="0.78740157499999996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N19"/>
  <sheetViews>
    <sheetView zoomScale="85" zoomScaleNormal="85" workbookViewId="0">
      <selection activeCell="L27" sqref="L27"/>
    </sheetView>
  </sheetViews>
  <sheetFormatPr defaultColWidth="11.42578125" defaultRowHeight="15" x14ac:dyDescent="0.25"/>
  <cols>
    <col min="2" max="2" width="11.42578125" style="113"/>
    <col min="12" max="12" width="11.42578125" style="113"/>
  </cols>
  <sheetData>
    <row r="1" spans="1:14" s="88" customFormat="1" ht="33" customHeight="1" thickBot="1" x14ac:dyDescent="0.3">
      <c r="A1" s="85" t="s">
        <v>92</v>
      </c>
      <c r="B1" s="86"/>
      <c r="C1" s="87"/>
      <c r="E1" s="89" t="s">
        <v>93</v>
      </c>
      <c r="L1" s="90"/>
    </row>
    <row r="2" spans="1:14" s="88" customFormat="1" ht="15.75" thickBot="1" x14ac:dyDescent="0.3">
      <c r="B2" s="90"/>
      <c r="C2" s="91">
        <v>2007</v>
      </c>
      <c r="D2" s="91">
        <v>2010</v>
      </c>
      <c r="E2" s="91">
        <v>2015</v>
      </c>
      <c r="F2" s="91">
        <v>2020</v>
      </c>
      <c r="G2" s="91">
        <v>2025</v>
      </c>
      <c r="H2" s="91">
        <v>2030</v>
      </c>
      <c r="I2" s="91">
        <v>2035</v>
      </c>
      <c r="J2" s="91">
        <v>2040</v>
      </c>
      <c r="K2" s="91">
        <v>2045</v>
      </c>
      <c r="L2" s="92">
        <v>2050</v>
      </c>
      <c r="M2" s="93" t="s">
        <v>94</v>
      </c>
      <c r="N2" s="93" t="s">
        <v>95</v>
      </c>
    </row>
    <row r="3" spans="1:14" s="40" customFormat="1" x14ac:dyDescent="0.25">
      <c r="A3" s="94">
        <v>1</v>
      </c>
      <c r="B3" s="95" t="s">
        <v>89</v>
      </c>
      <c r="C3" s="100">
        <v>1</v>
      </c>
      <c r="D3" s="97">
        <f>[1]REF_nonets!E$6</f>
        <v>0.95755681848889374</v>
      </c>
      <c r="E3" s="97">
        <f>[1]REF_nonets!F$6</f>
        <v>0.95626490988398227</v>
      </c>
      <c r="F3" s="97">
        <f>[1]REF_nonets!G$6</f>
        <v>0.9181406778760548</v>
      </c>
      <c r="G3" s="97">
        <f>[1]REF_nonets!H$6</f>
        <v>0.88794280509723889</v>
      </c>
      <c r="H3" s="97">
        <f>[1]REF_nonets!I$6</f>
        <v>0.8762424039651221</v>
      </c>
      <c r="I3" s="97">
        <f>[1]REF_nonets!J$6</f>
        <v>0.85398160883121255</v>
      </c>
      <c r="J3" s="97">
        <f>[1]REF_nonets!K$6</f>
        <v>0.831720813697303</v>
      </c>
      <c r="K3" s="97">
        <f>[1]REF_nonets!L$6</f>
        <v>0.80514921837104736</v>
      </c>
      <c r="L3" s="98">
        <f>[1]REF_nonets!M$6</f>
        <v>0.77857762304479194</v>
      </c>
      <c r="M3" s="40" t="s">
        <v>89</v>
      </c>
      <c r="N3" s="99" t="s">
        <v>89</v>
      </c>
    </row>
    <row r="4" spans="1:14" x14ac:dyDescent="0.25">
      <c r="A4" s="94">
        <v>2</v>
      </c>
      <c r="B4" s="101" t="s">
        <v>97</v>
      </c>
      <c r="C4" s="102">
        <v>1</v>
      </c>
      <c r="D4" s="68">
        <f>[1]REF_nonets!E$7</f>
        <v>0.99509108110636313</v>
      </c>
      <c r="E4" s="68">
        <f>[1]REF_nonets!F$7</f>
        <v>1.0255697620662914</v>
      </c>
      <c r="F4" s="68">
        <f>[1]REF_nonets!G$7</f>
        <v>1.0046243440100648</v>
      </c>
      <c r="G4" s="68">
        <f>[1]REF_nonets!H$7</f>
        <v>0.99677305995293408</v>
      </c>
      <c r="H4" s="68">
        <f>[1]REF_nonets!I$7</f>
        <v>1.0029458937396274</v>
      </c>
      <c r="I4" s="68">
        <f>[1]REF_nonets!J$7</f>
        <v>1.0080646877812618</v>
      </c>
      <c r="J4" s="68">
        <f>[1]REF_nonets!K$7</f>
        <v>1.0131834818228966</v>
      </c>
      <c r="K4" s="68">
        <f>[1]REF_nonets!L$7</f>
        <v>1.0032905689966833</v>
      </c>
      <c r="L4" s="103">
        <f>[1]REF_nonets!M$7</f>
        <v>0.99339765617046993</v>
      </c>
      <c r="M4" t="s">
        <v>97</v>
      </c>
      <c r="N4" s="104" t="s">
        <v>98</v>
      </c>
    </row>
    <row r="5" spans="1:14" x14ac:dyDescent="0.25">
      <c r="A5" s="94">
        <v>3</v>
      </c>
      <c r="B5" s="101" t="s">
        <v>72</v>
      </c>
      <c r="C5" s="102">
        <v>1</v>
      </c>
      <c r="D5" s="68">
        <f>[1]REF_nonets!E$7</f>
        <v>0.99509108110636313</v>
      </c>
      <c r="E5" s="68">
        <f>[1]REF_nonets!F$7</f>
        <v>1.0255697620662914</v>
      </c>
      <c r="F5" s="68">
        <f>[1]REF_nonets!G$7</f>
        <v>1.0046243440100648</v>
      </c>
      <c r="G5" s="68">
        <f>[1]REF_nonets!H$7</f>
        <v>0.99677305995293408</v>
      </c>
      <c r="H5" s="68">
        <f>[1]REF_nonets!I$7</f>
        <v>1.0029458937396274</v>
      </c>
      <c r="I5" s="68">
        <f>[1]REF_nonets!J$7</f>
        <v>1.0080646877812618</v>
      </c>
      <c r="J5" s="68">
        <f>[1]REF_nonets!K$7</f>
        <v>1.0131834818228966</v>
      </c>
      <c r="K5" s="68">
        <f>[1]REF_nonets!L$7</f>
        <v>1.0032905689966833</v>
      </c>
      <c r="L5" s="103">
        <f>[1]REF_nonets!M$7</f>
        <v>0.99339765617046993</v>
      </c>
      <c r="M5" t="s">
        <v>72</v>
      </c>
      <c r="N5" s="104" t="s">
        <v>98</v>
      </c>
    </row>
    <row r="6" spans="1:14" x14ac:dyDescent="0.25">
      <c r="A6" s="94">
        <v>4</v>
      </c>
      <c r="B6" s="101" t="s">
        <v>99</v>
      </c>
      <c r="C6" s="102">
        <f>C5</f>
        <v>1</v>
      </c>
      <c r="D6" s="68">
        <f t="shared" ref="D6:L6" si="0">D5</f>
        <v>0.99509108110636313</v>
      </c>
      <c r="E6" s="68">
        <f t="shared" si="0"/>
        <v>1.0255697620662914</v>
      </c>
      <c r="F6" s="68">
        <f t="shared" si="0"/>
        <v>1.0046243440100648</v>
      </c>
      <c r="G6" s="68">
        <f t="shared" si="0"/>
        <v>0.99677305995293408</v>
      </c>
      <c r="H6" s="68">
        <f t="shared" si="0"/>
        <v>1.0029458937396274</v>
      </c>
      <c r="I6" s="68">
        <f t="shared" si="0"/>
        <v>1.0080646877812618</v>
      </c>
      <c r="J6" s="68">
        <f t="shared" si="0"/>
        <v>1.0131834818228966</v>
      </c>
      <c r="K6" s="68">
        <f t="shared" si="0"/>
        <v>1.0032905689966833</v>
      </c>
      <c r="L6" s="103">
        <f t="shared" si="0"/>
        <v>0.99339765617046993</v>
      </c>
      <c r="M6" t="s">
        <v>99</v>
      </c>
      <c r="N6" s="105" t="s">
        <v>98</v>
      </c>
    </row>
    <row r="7" spans="1:14" x14ac:dyDescent="0.25">
      <c r="A7" s="94">
        <v>5</v>
      </c>
      <c r="B7" s="101" t="s">
        <v>66</v>
      </c>
      <c r="C7" s="102">
        <v>1</v>
      </c>
      <c r="D7" s="68">
        <f>[1]REF_nonets!E$7</f>
        <v>0.99509108110636313</v>
      </c>
      <c r="E7" s="68">
        <f>[1]REF_nonets!F$7</f>
        <v>1.0255697620662914</v>
      </c>
      <c r="F7" s="68">
        <f>[1]REF_nonets!G$7</f>
        <v>1.0046243440100648</v>
      </c>
      <c r="G7" s="68">
        <f>[1]REF_nonets!H$7</f>
        <v>0.99677305995293408</v>
      </c>
      <c r="H7" s="68">
        <f>[1]REF_nonets!I$7</f>
        <v>1.0029458937396274</v>
      </c>
      <c r="I7" s="68">
        <f>[1]REF_nonets!J$7</f>
        <v>1.0080646877812618</v>
      </c>
      <c r="J7" s="68">
        <f>[1]REF_nonets!K$7</f>
        <v>1.0131834818228966</v>
      </c>
      <c r="K7" s="68">
        <f>[1]REF_nonets!L$7</f>
        <v>1.0032905689966833</v>
      </c>
      <c r="L7" s="103">
        <f>[1]REF_nonets!M$7</f>
        <v>0.99339765617046993</v>
      </c>
      <c r="M7" s="40" t="s">
        <v>66</v>
      </c>
      <c r="N7" s="104" t="s">
        <v>98</v>
      </c>
    </row>
    <row r="8" spans="1:14" x14ac:dyDescent="0.25">
      <c r="A8" s="94">
        <v>6</v>
      </c>
      <c r="B8" s="101" t="s">
        <v>70</v>
      </c>
      <c r="C8" s="102">
        <v>1</v>
      </c>
      <c r="D8" s="68">
        <f>[1]REF_nonets!E$7</f>
        <v>0.99509108110636313</v>
      </c>
      <c r="E8" s="68">
        <f>[1]REF_nonets!F$7</f>
        <v>1.0255697620662914</v>
      </c>
      <c r="F8" s="68">
        <f>[1]REF_nonets!G$7</f>
        <v>1.0046243440100648</v>
      </c>
      <c r="G8" s="68">
        <f>[1]REF_nonets!H$7</f>
        <v>0.99677305995293408</v>
      </c>
      <c r="H8" s="68">
        <f>[1]REF_nonets!I$7</f>
        <v>1.0029458937396274</v>
      </c>
      <c r="I8" s="68">
        <f>[1]REF_nonets!J$7</f>
        <v>1.0080646877812618</v>
      </c>
      <c r="J8" s="68">
        <f>[1]REF_nonets!K$7</f>
        <v>1.0131834818228966</v>
      </c>
      <c r="K8" s="68">
        <f>[1]REF_nonets!L$7</f>
        <v>1.0032905689966833</v>
      </c>
      <c r="L8" s="103">
        <f>[1]REF_nonets!M$7</f>
        <v>0.99339765617046993</v>
      </c>
      <c r="M8" s="40" t="s">
        <v>70</v>
      </c>
      <c r="N8" s="104" t="s">
        <v>98</v>
      </c>
    </row>
    <row r="9" spans="1:14" x14ac:dyDescent="0.25">
      <c r="A9" s="94">
        <v>7</v>
      </c>
      <c r="B9" s="101" t="s">
        <v>68</v>
      </c>
      <c r="C9" s="102">
        <v>1</v>
      </c>
      <c r="D9" s="68">
        <f>[1]REF_nonets!E$8</f>
        <v>1.0675767845615654</v>
      </c>
      <c r="E9" s="68">
        <f>[1]REF_nonets!F$8</f>
        <v>1.1454651384122507</v>
      </c>
      <c r="F9" s="68">
        <f>[1]REF_nonets!G$8</f>
        <v>1.1560836898852946</v>
      </c>
      <c r="G9" s="68">
        <f>[1]REF_nonets!H$8</f>
        <v>1.201573422521941</v>
      </c>
      <c r="H9" s="68">
        <f>[1]REF_nonets!I$8</f>
        <v>1.2733463109486085</v>
      </c>
      <c r="I9" s="68">
        <f>[1]REF_nonets!J$8</f>
        <v>1.3120788719161181</v>
      </c>
      <c r="J9" s="68">
        <f>[1]REF_nonets!K$8</f>
        <v>1.3508114328836272</v>
      </c>
      <c r="K9" s="68">
        <f>[1]REF_nonets!L$8</f>
        <v>1.363038899460782</v>
      </c>
      <c r="L9" s="103">
        <f>[1]REF_nonets!M$8</f>
        <v>1.3752663660379372</v>
      </c>
      <c r="M9" t="s">
        <v>68</v>
      </c>
      <c r="N9" s="106" t="s">
        <v>100</v>
      </c>
    </row>
    <row r="10" spans="1:14" x14ac:dyDescent="0.25">
      <c r="A10" s="94">
        <v>8</v>
      </c>
      <c r="B10" s="101" t="s">
        <v>101</v>
      </c>
      <c r="C10" s="102">
        <v>1</v>
      </c>
      <c r="D10" s="68">
        <f>[1]REF_nonets!E$12</f>
        <v>0.96437060742893743</v>
      </c>
      <c r="E10" s="68">
        <f>[1]REF_nonets!F$12</f>
        <v>0.92280551020053803</v>
      </c>
      <c r="F10" s="68">
        <f>[1]REF_nonets!G$12</f>
        <v>0.8812404129721384</v>
      </c>
      <c r="G10" s="68">
        <f>[1]REF_nonets!H$12</f>
        <v>0.84154749497165737</v>
      </c>
      <c r="H10" s="68">
        <f>[1]REF_nonets!I$12</f>
        <v>0.80364242931680252</v>
      </c>
      <c r="I10" s="68">
        <f>[1]REF_nonets!J$12</f>
        <v>0.76744468738506955</v>
      </c>
      <c r="J10" s="68">
        <f>[1]REF_nonets!K$12</f>
        <v>0.73287736773214818</v>
      </c>
      <c r="K10" s="68">
        <f>[1]REF_nonets!L$12</f>
        <v>0.69986703271620243</v>
      </c>
      <c r="L10" s="103">
        <f>[1]REF_nonets!M$12</f>
        <v>0.66834355248093713</v>
      </c>
      <c r="M10" t="s">
        <v>101</v>
      </c>
      <c r="N10" s="107" t="s">
        <v>101</v>
      </c>
    </row>
    <row r="11" spans="1:14" x14ac:dyDescent="0.25">
      <c r="A11" s="94">
        <v>9</v>
      </c>
      <c r="B11" s="101" t="s">
        <v>102</v>
      </c>
      <c r="C11" s="102">
        <v>0</v>
      </c>
      <c r="D11" s="68">
        <f>[1]REF_nonets!E$15</f>
        <v>0</v>
      </c>
      <c r="E11" s="68">
        <f>[1]REF_nonets!F$15</f>
        <v>0</v>
      </c>
      <c r="F11" s="68">
        <f>[1]REF_nonets!G$15</f>
        <v>0</v>
      </c>
      <c r="G11" s="68">
        <f>[1]REF_nonets!H$15</f>
        <v>0</v>
      </c>
      <c r="H11" s="68">
        <f>[1]REF_nonets!I$15</f>
        <v>0</v>
      </c>
      <c r="I11" s="68">
        <f>[1]REF_nonets!J$15</f>
        <v>0</v>
      </c>
      <c r="J11" s="68">
        <f>[1]REF_nonets!K$15</f>
        <v>0</v>
      </c>
      <c r="K11" s="68">
        <f>[1]REF_nonets!L$15</f>
        <v>0</v>
      </c>
      <c r="L11" s="103">
        <f>[1]REF_nonets!M$15</f>
        <v>0</v>
      </c>
      <c r="M11" t="s">
        <v>102</v>
      </c>
      <c r="N11" s="66" t="s">
        <v>103</v>
      </c>
    </row>
    <row r="12" spans="1:14" x14ac:dyDescent="0.25">
      <c r="A12" s="94">
        <v>10</v>
      </c>
      <c r="B12" s="101" t="s">
        <v>104</v>
      </c>
      <c r="C12" s="102">
        <v>1</v>
      </c>
      <c r="D12" s="108">
        <v>1.3</v>
      </c>
      <c r="E12" s="68">
        <f>[1]REF_nonets!F$10</f>
        <v>1.6419710205058919</v>
      </c>
      <c r="F12" s="68">
        <f>[1]REF_nonets!G$10</f>
        <v>1.6419710205058919</v>
      </c>
      <c r="G12" s="68">
        <f>[1]REF_nonets!H$10</f>
        <v>1.6419710205058919</v>
      </c>
      <c r="H12" s="68">
        <f>[1]REF_nonets!I$10</f>
        <v>1.6419710205058919</v>
      </c>
      <c r="I12" s="68">
        <f>[1]REF_nonets!J$10</f>
        <v>1.6419710205058919</v>
      </c>
      <c r="J12" s="68">
        <f>[1]REF_nonets!K$10</f>
        <v>1.6419710205058919</v>
      </c>
      <c r="K12" s="68">
        <f>[1]REF_nonets!L$10</f>
        <v>1.6419710205058919</v>
      </c>
      <c r="L12" s="103">
        <f>[1]REF_nonets!M$10</f>
        <v>1.6419710205058919</v>
      </c>
      <c r="M12" t="s">
        <v>104</v>
      </c>
      <c r="N12" s="109" t="s">
        <v>104</v>
      </c>
    </row>
    <row r="13" spans="1:14" x14ac:dyDescent="0.25">
      <c r="A13" s="94">
        <v>11</v>
      </c>
      <c r="B13" s="101" t="s">
        <v>105</v>
      </c>
      <c r="C13" s="102">
        <v>0</v>
      </c>
      <c r="D13" s="68">
        <f>[1]REF_nonets!E$14</f>
        <v>0</v>
      </c>
      <c r="E13" s="68">
        <f>[1]REF_nonets!F$14</f>
        <v>0</v>
      </c>
      <c r="F13" s="68">
        <f>[1]REF_nonets!G$14</f>
        <v>0</v>
      </c>
      <c r="G13" s="68">
        <f>[1]REF_nonets!H$14</f>
        <v>0</v>
      </c>
      <c r="H13" s="68">
        <f>[1]REF_nonets!I$14</f>
        <v>0</v>
      </c>
      <c r="I13" s="68">
        <f>[1]REF_nonets!J$14</f>
        <v>0</v>
      </c>
      <c r="J13" s="68">
        <f>[1]REF_nonets!K$14</f>
        <v>0</v>
      </c>
      <c r="K13" s="68">
        <f>[1]REF_nonets!L$14</f>
        <v>0</v>
      </c>
      <c r="L13" s="103">
        <f>[1]REF_nonets!M$14</f>
        <v>0</v>
      </c>
      <c r="M13" t="s">
        <v>105</v>
      </c>
      <c r="N13" s="110" t="s">
        <v>106</v>
      </c>
    </row>
    <row r="14" spans="1:14" x14ac:dyDescent="0.25">
      <c r="A14" s="94">
        <v>12</v>
      </c>
      <c r="B14" s="101" t="s">
        <v>106</v>
      </c>
      <c r="C14" s="102">
        <v>0</v>
      </c>
      <c r="D14" s="68">
        <f>[1]REF_nonets!E$14</f>
        <v>0</v>
      </c>
      <c r="E14" s="68">
        <f>[1]REF_nonets!F$14</f>
        <v>0</v>
      </c>
      <c r="F14" s="68">
        <f>[1]REF_nonets!G$14</f>
        <v>0</v>
      </c>
      <c r="G14" s="68">
        <f>[1]REF_nonets!H$14</f>
        <v>0</v>
      </c>
      <c r="H14" s="68">
        <f>[1]REF_nonets!I$14</f>
        <v>0</v>
      </c>
      <c r="I14" s="68">
        <f>[1]REF_nonets!J$14</f>
        <v>0</v>
      </c>
      <c r="J14" s="68">
        <f>[1]REF_nonets!K$14</f>
        <v>0</v>
      </c>
      <c r="K14" s="68">
        <f>[1]REF_nonets!L$14</f>
        <v>0</v>
      </c>
      <c r="L14" s="103">
        <f>[1]REF_nonets!M$14</f>
        <v>0</v>
      </c>
      <c r="M14" t="s">
        <v>106</v>
      </c>
      <c r="N14" s="110" t="s">
        <v>106</v>
      </c>
    </row>
    <row r="15" spans="1:14" x14ac:dyDescent="0.25">
      <c r="A15" s="94">
        <v>13</v>
      </c>
      <c r="B15" s="101" t="s">
        <v>107</v>
      </c>
      <c r="C15" s="102">
        <v>0</v>
      </c>
      <c r="D15" s="68">
        <f>[1]REF_nonets!E$15</f>
        <v>0</v>
      </c>
      <c r="E15" s="68">
        <f>[1]REF_nonets!F$15</f>
        <v>0</v>
      </c>
      <c r="F15" s="68">
        <f>[1]REF_nonets!G$15</f>
        <v>0</v>
      </c>
      <c r="G15" s="68">
        <f>[1]REF_nonets!H$15</f>
        <v>0</v>
      </c>
      <c r="H15" s="68">
        <f>[1]REF_nonets!I$15</f>
        <v>0</v>
      </c>
      <c r="I15" s="68">
        <f>[1]REF_nonets!J$15</f>
        <v>0</v>
      </c>
      <c r="J15" s="68">
        <f>[1]REF_nonets!K$15</f>
        <v>0</v>
      </c>
      <c r="K15" s="68">
        <f>[1]REF_nonets!L$15</f>
        <v>0</v>
      </c>
      <c r="L15" s="103">
        <f>[1]REF_nonets!M$15</f>
        <v>0</v>
      </c>
      <c r="M15" t="s">
        <v>107</v>
      </c>
      <c r="N15" s="66" t="s">
        <v>103</v>
      </c>
    </row>
    <row r="16" spans="1:14" x14ac:dyDescent="0.25">
      <c r="A16" s="94">
        <v>14</v>
      </c>
      <c r="B16" s="101" t="s">
        <v>108</v>
      </c>
      <c r="C16" s="102">
        <v>1</v>
      </c>
      <c r="D16" s="68">
        <f>[1]REF_nonets!E$11</f>
        <v>0.95447601552200689</v>
      </c>
      <c r="E16" s="68">
        <f>[1]REF_nonets!F$11</f>
        <v>0.9059220070695071</v>
      </c>
      <c r="F16" s="68">
        <f>[1]REF_nonets!G$11</f>
        <v>0.85736799861700763</v>
      </c>
      <c r="G16" s="68">
        <f>[1]REF_nonets!H$11</f>
        <v>0.81449959868615729</v>
      </c>
      <c r="H16" s="68">
        <f>[1]REF_nonets!I$11</f>
        <v>0.77163119875530672</v>
      </c>
      <c r="I16" s="68">
        <f>[1]REF_nonets!J$11</f>
        <v>0.73101903039976435</v>
      </c>
      <c r="J16" s="68">
        <f>[1]REF_nonets!K$11</f>
        <v>0.69254434458925029</v>
      </c>
      <c r="K16" s="68">
        <f>[1]REF_nonets!L$11</f>
        <v>0.65609464224244751</v>
      </c>
      <c r="L16" s="103">
        <f>[1]REF_nonets!M$11</f>
        <v>0.6215633452823186</v>
      </c>
      <c r="M16" s="40" t="s">
        <v>109</v>
      </c>
      <c r="N16" s="111" t="s">
        <v>110</v>
      </c>
    </row>
    <row r="17" spans="1:14" x14ac:dyDescent="0.25">
      <c r="A17" s="94">
        <v>15</v>
      </c>
      <c r="B17" s="101" t="s">
        <v>111</v>
      </c>
      <c r="C17" s="102">
        <v>0</v>
      </c>
      <c r="D17" s="68">
        <f>[1]REF_nonets!E$13</f>
        <v>0</v>
      </c>
      <c r="E17" s="68">
        <f>[1]REF_nonets!F$13</f>
        <v>0</v>
      </c>
      <c r="F17" s="68">
        <f>[1]REF_nonets!G$13</f>
        <v>0</v>
      </c>
      <c r="G17" s="68">
        <f>[1]REF_nonets!H$13</f>
        <v>0</v>
      </c>
      <c r="H17" s="68">
        <f>[1]REF_nonets!I$13</f>
        <v>0</v>
      </c>
      <c r="I17" s="68">
        <f>[1]REF_nonets!J$13</f>
        <v>0</v>
      </c>
      <c r="J17" s="68">
        <f>[1]REF_nonets!K$13</f>
        <v>0</v>
      </c>
      <c r="K17" s="68">
        <f>[1]REF_nonets!L$13</f>
        <v>0</v>
      </c>
      <c r="L17" s="103">
        <f>[1]REF_nonets!M$13</f>
        <v>0</v>
      </c>
      <c r="M17" s="40" t="s">
        <v>112</v>
      </c>
      <c r="N17" s="112" t="s">
        <v>113</v>
      </c>
    </row>
    <row r="18" spans="1:14" x14ac:dyDescent="0.25">
      <c r="A18" s="94">
        <v>16</v>
      </c>
      <c r="B18" s="101" t="s">
        <v>113</v>
      </c>
      <c r="C18" s="102">
        <v>0</v>
      </c>
      <c r="D18" s="68">
        <f>[1]REF_nonets!E$13</f>
        <v>0</v>
      </c>
      <c r="E18" s="68">
        <f>[1]REF_nonets!F$13</f>
        <v>0</v>
      </c>
      <c r="F18" s="68">
        <f>[1]REF_nonets!G$13</f>
        <v>0</v>
      </c>
      <c r="G18" s="68">
        <f>[1]REF_nonets!H$13</f>
        <v>0</v>
      </c>
      <c r="H18" s="68">
        <f>[1]REF_nonets!I$13</f>
        <v>0</v>
      </c>
      <c r="I18" s="68">
        <f>[1]REF_nonets!J$13</f>
        <v>0</v>
      </c>
      <c r="J18" s="68">
        <f>[1]REF_nonets!K$13</f>
        <v>0</v>
      </c>
      <c r="K18" s="68">
        <f>[1]REF_nonets!L$13</f>
        <v>0</v>
      </c>
      <c r="L18" s="103">
        <f>[1]REF_nonets!M$13</f>
        <v>0</v>
      </c>
      <c r="M18" t="s">
        <v>114</v>
      </c>
      <c r="N18" s="112" t="s">
        <v>113</v>
      </c>
    </row>
    <row r="19" spans="1:14" x14ac:dyDescent="0.25">
      <c r="A19" s="94">
        <v>17</v>
      </c>
      <c r="B19" s="101" t="s">
        <v>103</v>
      </c>
      <c r="C19" s="102">
        <v>0</v>
      </c>
      <c r="D19" s="68">
        <f>[1]REF_nonets!E$15</f>
        <v>0</v>
      </c>
      <c r="E19" s="68">
        <f>[1]REF_nonets!F$15</f>
        <v>0</v>
      </c>
      <c r="F19" s="68">
        <f>[1]REF_nonets!G$15</f>
        <v>0</v>
      </c>
      <c r="G19" s="68">
        <f>[1]REF_nonets!H$15</f>
        <v>0</v>
      </c>
      <c r="H19" s="68">
        <f>[1]REF_nonets!I$15</f>
        <v>0</v>
      </c>
      <c r="I19" s="68">
        <f>[1]REF_nonets!J$15</f>
        <v>0</v>
      </c>
      <c r="J19" s="68">
        <f>[1]REF_nonets!K$15</f>
        <v>0</v>
      </c>
      <c r="K19" s="68">
        <f>[1]REF_nonets!L$15</f>
        <v>0</v>
      </c>
      <c r="L19" s="103">
        <f>[1]REF_nonets!M$15</f>
        <v>0</v>
      </c>
      <c r="M19" s="40" t="s">
        <v>115</v>
      </c>
      <c r="N19" s="66" t="s">
        <v>103</v>
      </c>
    </row>
  </sheetData>
  <conditionalFormatting sqref="C3:L19">
    <cfRule type="cellIs" dxfId="10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N20"/>
  <sheetViews>
    <sheetView zoomScale="85" zoomScaleNormal="85" workbookViewId="0">
      <selection activeCell="L4" sqref="L4"/>
    </sheetView>
  </sheetViews>
  <sheetFormatPr defaultColWidth="11.42578125" defaultRowHeight="15" x14ac:dyDescent="0.25"/>
  <cols>
    <col min="2" max="2" width="11.42578125" style="113"/>
    <col min="12" max="12" width="11.42578125" style="113"/>
  </cols>
  <sheetData>
    <row r="1" spans="1:14" s="88" customFormat="1" ht="33" customHeight="1" thickBot="1" x14ac:dyDescent="0.3">
      <c r="A1" s="85" t="s">
        <v>92</v>
      </c>
      <c r="B1" s="86"/>
      <c r="C1" s="87"/>
      <c r="E1" s="89" t="s">
        <v>93</v>
      </c>
      <c r="L1" s="90"/>
    </row>
    <row r="2" spans="1:14" s="88" customFormat="1" ht="15.75" thickBot="1" x14ac:dyDescent="0.3">
      <c r="B2" s="90"/>
      <c r="C2" s="91">
        <v>2007</v>
      </c>
      <c r="D2" s="91">
        <v>2010</v>
      </c>
      <c r="E2" s="91">
        <v>2015</v>
      </c>
      <c r="F2" s="91">
        <v>2020</v>
      </c>
      <c r="G2" s="91">
        <v>2025</v>
      </c>
      <c r="H2" s="91">
        <v>2030</v>
      </c>
      <c r="I2" s="91">
        <v>2035</v>
      </c>
      <c r="J2" s="91">
        <v>2040</v>
      </c>
      <c r="K2" s="91">
        <v>2045</v>
      </c>
      <c r="L2" s="92">
        <v>2050</v>
      </c>
      <c r="M2" s="93" t="s">
        <v>94</v>
      </c>
      <c r="N2" s="93" t="s">
        <v>95</v>
      </c>
    </row>
    <row r="3" spans="1:14" x14ac:dyDescent="0.25">
      <c r="A3" s="94">
        <v>1</v>
      </c>
      <c r="B3" s="95" t="s">
        <v>96</v>
      </c>
      <c r="C3" s="96">
        <v>1</v>
      </c>
      <c r="D3" s="97">
        <f>[1]REF_nonets!E$6</f>
        <v>0.95755681848889374</v>
      </c>
      <c r="E3" s="97">
        <f>[1]REF_nonets!F$6</f>
        <v>0.95626490988398227</v>
      </c>
      <c r="F3" s="97">
        <f>[1]REF_nonets!G$6</f>
        <v>0.9181406778760548</v>
      </c>
      <c r="G3" s="97">
        <f>[1]REF_nonets!H$6</f>
        <v>0.88794280509723889</v>
      </c>
      <c r="H3" s="97">
        <f>[1]REF_nonets!I$6</f>
        <v>0.8762424039651221</v>
      </c>
      <c r="I3" s="97">
        <f>[1]REF_nonets!J$6</f>
        <v>0.85398160883121255</v>
      </c>
      <c r="J3" s="97">
        <f>[1]REF_nonets!K$6</f>
        <v>0.831720813697303</v>
      </c>
      <c r="K3" s="97">
        <f>[1]REF_nonets!L$6</f>
        <v>0.80514921837104736</v>
      </c>
      <c r="L3" s="98">
        <f>[1]REF_nonets!M$6</f>
        <v>0.77857762304479194</v>
      </c>
      <c r="M3" s="40" t="s">
        <v>96</v>
      </c>
      <c r="N3" s="99" t="s">
        <v>89</v>
      </c>
    </row>
    <row r="4" spans="1:14" s="40" customFormat="1" x14ac:dyDescent="0.25">
      <c r="A4" s="94">
        <v>2</v>
      </c>
      <c r="B4" s="95" t="s">
        <v>89</v>
      </c>
      <c r="C4" s="100">
        <v>1</v>
      </c>
      <c r="D4" s="97">
        <f>[1]REF_nonets!E$6</f>
        <v>0.95755681848889374</v>
      </c>
      <c r="E4" s="97">
        <f>[1]REF_nonets!F$6</f>
        <v>0.95626490988398227</v>
      </c>
      <c r="F4" s="97">
        <f>[1]REF_nonets!G$6</f>
        <v>0.9181406778760548</v>
      </c>
      <c r="G4" s="97">
        <f>[1]REF_nonets!H$6</f>
        <v>0.88794280509723889</v>
      </c>
      <c r="H4" s="97">
        <f>[1]REF_nonets!I$6</f>
        <v>0.8762424039651221</v>
      </c>
      <c r="I4" s="97">
        <f>[1]REF_nonets!J$6</f>
        <v>0.85398160883121255</v>
      </c>
      <c r="J4" s="97">
        <f>[1]REF_nonets!K$6</f>
        <v>0.831720813697303</v>
      </c>
      <c r="K4" s="97">
        <f>[1]REF_nonets!L$6</f>
        <v>0.80514921837104736</v>
      </c>
      <c r="L4" s="98">
        <f>[1]REF_nonets!M$6</f>
        <v>0.77857762304479194</v>
      </c>
      <c r="M4" s="40" t="s">
        <v>89</v>
      </c>
      <c r="N4" s="99" t="s">
        <v>89</v>
      </c>
    </row>
    <row r="5" spans="1:14" x14ac:dyDescent="0.25">
      <c r="A5" s="94">
        <v>3</v>
      </c>
      <c r="B5" s="101" t="s">
        <v>97</v>
      </c>
      <c r="C5" s="102">
        <v>1</v>
      </c>
      <c r="D5" s="68">
        <f>[1]REF_nonets!E$7</f>
        <v>0.99509108110636313</v>
      </c>
      <c r="E5" s="68">
        <f>[1]REF_nonets!F$7</f>
        <v>1.0255697620662914</v>
      </c>
      <c r="F5" s="68">
        <f>[1]REF_nonets!G$7</f>
        <v>1.0046243440100648</v>
      </c>
      <c r="G5" s="68">
        <f>[1]REF_nonets!H$7</f>
        <v>0.99677305995293408</v>
      </c>
      <c r="H5" s="68">
        <f>[1]REF_nonets!I$7</f>
        <v>1.0029458937396274</v>
      </c>
      <c r="I5" s="68">
        <f>[1]REF_nonets!J$7</f>
        <v>1.0080646877812618</v>
      </c>
      <c r="J5" s="68">
        <f>[1]REF_nonets!K$7</f>
        <v>1.0131834818228966</v>
      </c>
      <c r="K5" s="68">
        <f>[1]REF_nonets!L$7</f>
        <v>1.0032905689966833</v>
      </c>
      <c r="L5" s="103">
        <f>[1]REF_nonets!M$7</f>
        <v>0.99339765617046993</v>
      </c>
      <c r="M5" t="s">
        <v>97</v>
      </c>
      <c r="N5" s="104" t="s">
        <v>98</v>
      </c>
    </row>
    <row r="6" spans="1:14" x14ac:dyDescent="0.25">
      <c r="A6" s="94">
        <v>4</v>
      </c>
      <c r="B6" s="101" t="s">
        <v>72</v>
      </c>
      <c r="C6" s="102">
        <v>1</v>
      </c>
      <c r="D6" s="68">
        <f>[1]REF_nonets!E$7</f>
        <v>0.99509108110636313</v>
      </c>
      <c r="E6" s="68">
        <f>[1]REF_nonets!F$7</f>
        <v>1.0255697620662914</v>
      </c>
      <c r="F6" s="68">
        <f>[1]REF_nonets!G$7</f>
        <v>1.0046243440100648</v>
      </c>
      <c r="G6" s="68">
        <f>[1]REF_nonets!H$7</f>
        <v>0.99677305995293408</v>
      </c>
      <c r="H6" s="68">
        <f>[1]REF_nonets!I$7</f>
        <v>1.0029458937396274</v>
      </c>
      <c r="I6" s="68">
        <f>[1]REF_nonets!J$7</f>
        <v>1.0080646877812618</v>
      </c>
      <c r="J6" s="68">
        <f>[1]REF_nonets!K$7</f>
        <v>1.0131834818228966</v>
      </c>
      <c r="K6" s="68">
        <f>[1]REF_nonets!L$7</f>
        <v>1.0032905689966833</v>
      </c>
      <c r="L6" s="103">
        <f>[1]REF_nonets!M$7</f>
        <v>0.99339765617046993</v>
      </c>
      <c r="M6" t="s">
        <v>72</v>
      </c>
      <c r="N6" s="104" t="s">
        <v>98</v>
      </c>
    </row>
    <row r="7" spans="1:14" x14ac:dyDescent="0.25">
      <c r="A7" s="94">
        <v>5</v>
      </c>
      <c r="B7" s="101" t="s">
        <v>99</v>
      </c>
      <c r="C7" s="102">
        <f>C6</f>
        <v>1</v>
      </c>
      <c r="D7" s="68">
        <f t="shared" ref="D7:L7" si="0">D6</f>
        <v>0.99509108110636313</v>
      </c>
      <c r="E7" s="68">
        <f t="shared" si="0"/>
        <v>1.0255697620662914</v>
      </c>
      <c r="F7" s="68">
        <f t="shared" si="0"/>
        <v>1.0046243440100648</v>
      </c>
      <c r="G7" s="68">
        <f t="shared" si="0"/>
        <v>0.99677305995293408</v>
      </c>
      <c r="H7" s="68">
        <f t="shared" si="0"/>
        <v>1.0029458937396274</v>
      </c>
      <c r="I7" s="68">
        <f t="shared" si="0"/>
        <v>1.0080646877812618</v>
      </c>
      <c r="J7" s="68">
        <f t="shared" si="0"/>
        <v>1.0131834818228966</v>
      </c>
      <c r="K7" s="68">
        <f t="shared" si="0"/>
        <v>1.0032905689966833</v>
      </c>
      <c r="L7" s="103">
        <f t="shared" si="0"/>
        <v>0.99339765617046993</v>
      </c>
      <c r="M7" t="s">
        <v>99</v>
      </c>
      <c r="N7" s="105" t="s">
        <v>98</v>
      </c>
    </row>
    <row r="8" spans="1:14" x14ac:dyDescent="0.25">
      <c r="A8" s="94">
        <v>6</v>
      </c>
      <c r="B8" s="101" t="s">
        <v>66</v>
      </c>
      <c r="C8" s="102">
        <v>1</v>
      </c>
      <c r="D8" s="68">
        <f>[1]REF_nonets!E$7</f>
        <v>0.99509108110636313</v>
      </c>
      <c r="E8" s="68">
        <f>[1]REF_nonets!F$7</f>
        <v>1.0255697620662914</v>
      </c>
      <c r="F8" s="68">
        <f>[1]REF_nonets!G$7</f>
        <v>1.0046243440100648</v>
      </c>
      <c r="G8" s="68">
        <f>[1]REF_nonets!H$7</f>
        <v>0.99677305995293408</v>
      </c>
      <c r="H8" s="68">
        <f>[1]REF_nonets!I$7</f>
        <v>1.0029458937396274</v>
      </c>
      <c r="I8" s="68">
        <f>[1]REF_nonets!J$7</f>
        <v>1.0080646877812618</v>
      </c>
      <c r="J8" s="68">
        <f>[1]REF_nonets!K$7</f>
        <v>1.0131834818228966</v>
      </c>
      <c r="K8" s="68">
        <f>[1]REF_nonets!L$7</f>
        <v>1.0032905689966833</v>
      </c>
      <c r="L8" s="103">
        <f>[1]REF_nonets!M$7</f>
        <v>0.99339765617046993</v>
      </c>
      <c r="M8" s="40" t="s">
        <v>66</v>
      </c>
      <c r="N8" s="104" t="s">
        <v>98</v>
      </c>
    </row>
    <row r="9" spans="1:14" x14ac:dyDescent="0.25">
      <c r="A9" s="94">
        <v>7</v>
      </c>
      <c r="B9" s="101" t="s">
        <v>70</v>
      </c>
      <c r="C9" s="102">
        <v>1</v>
      </c>
      <c r="D9" s="68">
        <f>[1]REF_nonets!E$7</f>
        <v>0.99509108110636313</v>
      </c>
      <c r="E9" s="68">
        <f>[1]REF_nonets!F$7</f>
        <v>1.0255697620662914</v>
      </c>
      <c r="F9" s="68">
        <f>[1]REF_nonets!G$7</f>
        <v>1.0046243440100648</v>
      </c>
      <c r="G9" s="68">
        <f>[1]REF_nonets!H$7</f>
        <v>0.99677305995293408</v>
      </c>
      <c r="H9" s="68">
        <f>[1]REF_nonets!I$7</f>
        <v>1.0029458937396274</v>
      </c>
      <c r="I9" s="68">
        <f>[1]REF_nonets!J$7</f>
        <v>1.0080646877812618</v>
      </c>
      <c r="J9" s="68">
        <f>[1]REF_nonets!K$7</f>
        <v>1.0131834818228966</v>
      </c>
      <c r="K9" s="68">
        <f>[1]REF_nonets!L$7</f>
        <v>1.0032905689966833</v>
      </c>
      <c r="L9" s="103">
        <f>[1]REF_nonets!M$7</f>
        <v>0.99339765617046993</v>
      </c>
      <c r="M9" s="40" t="s">
        <v>70</v>
      </c>
      <c r="N9" s="104" t="s">
        <v>98</v>
      </c>
    </row>
    <row r="10" spans="1:14" x14ac:dyDescent="0.25">
      <c r="A10" s="94">
        <v>8</v>
      </c>
      <c r="B10" s="101" t="s">
        <v>68</v>
      </c>
      <c r="C10" s="102">
        <v>1</v>
      </c>
      <c r="D10" s="68">
        <f>[1]REF_nonets!E$8</f>
        <v>1.0675767845615654</v>
      </c>
      <c r="E10" s="68">
        <f>[1]REF_nonets!F$8</f>
        <v>1.1454651384122507</v>
      </c>
      <c r="F10" s="68">
        <f>[1]REF_nonets!G$8</f>
        <v>1.1560836898852946</v>
      </c>
      <c r="G10" s="68">
        <f>[1]REF_nonets!H$8</f>
        <v>1.201573422521941</v>
      </c>
      <c r="H10" s="68">
        <f>[1]REF_nonets!I$8</f>
        <v>1.2733463109486085</v>
      </c>
      <c r="I10" s="68">
        <f>[1]REF_nonets!J$8</f>
        <v>1.3120788719161181</v>
      </c>
      <c r="J10" s="68">
        <f>[1]REF_nonets!K$8</f>
        <v>1.3508114328836272</v>
      </c>
      <c r="K10" s="68">
        <f>[1]REF_nonets!L$8</f>
        <v>1.363038899460782</v>
      </c>
      <c r="L10" s="103">
        <f>[1]REF_nonets!M$8</f>
        <v>1.3752663660379372</v>
      </c>
      <c r="M10" t="s">
        <v>68</v>
      </c>
      <c r="N10" s="106" t="s">
        <v>100</v>
      </c>
    </row>
    <row r="11" spans="1:14" x14ac:dyDescent="0.25">
      <c r="A11" s="94">
        <v>9</v>
      </c>
      <c r="B11" s="101" t="s">
        <v>101</v>
      </c>
      <c r="C11" s="102">
        <v>1</v>
      </c>
      <c r="D11" s="68">
        <f>[1]REF_nonets!E$12</f>
        <v>0.96437060742893743</v>
      </c>
      <c r="E11" s="68">
        <f>[1]REF_nonets!F$12</f>
        <v>0.92280551020053803</v>
      </c>
      <c r="F11" s="68">
        <f>[1]REF_nonets!G$12</f>
        <v>0.8812404129721384</v>
      </c>
      <c r="G11" s="68">
        <f>[1]REF_nonets!H$12</f>
        <v>0.84154749497165737</v>
      </c>
      <c r="H11" s="68">
        <f>[1]REF_nonets!I$12</f>
        <v>0.80364242931680252</v>
      </c>
      <c r="I11" s="68">
        <f>[1]REF_nonets!J$12</f>
        <v>0.76744468738506955</v>
      </c>
      <c r="J11" s="68">
        <f>[1]REF_nonets!K$12</f>
        <v>0.73287736773214818</v>
      </c>
      <c r="K11" s="68">
        <f>[1]REF_nonets!L$12</f>
        <v>0.69986703271620243</v>
      </c>
      <c r="L11" s="103">
        <f>[1]REF_nonets!M$12</f>
        <v>0.66834355248093713</v>
      </c>
      <c r="M11" t="s">
        <v>101</v>
      </c>
      <c r="N11" s="107" t="s">
        <v>101</v>
      </c>
    </row>
    <row r="12" spans="1:14" x14ac:dyDescent="0.25">
      <c r="A12" s="94">
        <v>10</v>
      </c>
      <c r="B12" s="101" t="s">
        <v>102</v>
      </c>
      <c r="C12" s="102">
        <v>0</v>
      </c>
      <c r="D12" s="68">
        <f>[1]REF_nonets!E$15</f>
        <v>0</v>
      </c>
      <c r="E12" s="68">
        <f>[1]REF_nonets!F$15</f>
        <v>0</v>
      </c>
      <c r="F12" s="68">
        <f>[1]REF_nonets!G$15</f>
        <v>0</v>
      </c>
      <c r="G12" s="68">
        <f>[1]REF_nonets!H$15</f>
        <v>0</v>
      </c>
      <c r="H12" s="68">
        <f>[1]REF_nonets!I$15</f>
        <v>0</v>
      </c>
      <c r="I12" s="68">
        <f>[1]REF_nonets!J$15</f>
        <v>0</v>
      </c>
      <c r="J12" s="68">
        <f>[1]REF_nonets!K$15</f>
        <v>0</v>
      </c>
      <c r="K12" s="68">
        <f>[1]REF_nonets!L$15</f>
        <v>0</v>
      </c>
      <c r="L12" s="103">
        <f>[1]REF_nonets!M$15</f>
        <v>0</v>
      </c>
      <c r="M12" t="s">
        <v>102</v>
      </c>
      <c r="N12" s="66" t="s">
        <v>103</v>
      </c>
    </row>
    <row r="13" spans="1:14" x14ac:dyDescent="0.25">
      <c r="A13" s="94">
        <v>11</v>
      </c>
      <c r="B13" s="101" t="s">
        <v>104</v>
      </c>
      <c r="C13" s="102">
        <v>1</v>
      </c>
      <c r="D13" s="108">
        <v>1.3</v>
      </c>
      <c r="E13" s="68">
        <f>[1]REF_nonets!F$10</f>
        <v>1.6419710205058919</v>
      </c>
      <c r="F13" s="68">
        <f>[1]REF_nonets!G$10</f>
        <v>1.6419710205058919</v>
      </c>
      <c r="G13" s="68">
        <f>[1]REF_nonets!H$10</f>
        <v>1.6419710205058919</v>
      </c>
      <c r="H13" s="68">
        <f>[1]REF_nonets!I$10</f>
        <v>1.6419710205058919</v>
      </c>
      <c r="I13" s="68">
        <f>[1]REF_nonets!J$10</f>
        <v>1.6419710205058919</v>
      </c>
      <c r="J13" s="68">
        <f>[1]REF_nonets!K$10</f>
        <v>1.6419710205058919</v>
      </c>
      <c r="K13" s="68">
        <f>[1]REF_nonets!L$10</f>
        <v>1.6419710205058919</v>
      </c>
      <c r="L13" s="103">
        <f>[1]REF_nonets!M$10</f>
        <v>1.6419710205058919</v>
      </c>
      <c r="M13" t="s">
        <v>104</v>
      </c>
      <c r="N13" s="109" t="s">
        <v>104</v>
      </c>
    </row>
    <row r="14" spans="1:14" x14ac:dyDescent="0.25">
      <c r="A14" s="94">
        <v>12</v>
      </c>
      <c r="B14" s="101" t="s">
        <v>105</v>
      </c>
      <c r="C14" s="102">
        <v>0</v>
      </c>
      <c r="D14" s="68">
        <f>[1]REF_nonets!E$14</f>
        <v>0</v>
      </c>
      <c r="E14" s="68">
        <f>[1]REF_nonets!F$14</f>
        <v>0</v>
      </c>
      <c r="F14" s="68">
        <f>[1]REF_nonets!G$14</f>
        <v>0</v>
      </c>
      <c r="G14" s="68">
        <f>[1]REF_nonets!H$14</f>
        <v>0</v>
      </c>
      <c r="H14" s="68">
        <f>[1]REF_nonets!I$14</f>
        <v>0</v>
      </c>
      <c r="I14" s="68">
        <f>[1]REF_nonets!J$14</f>
        <v>0</v>
      </c>
      <c r="J14" s="68">
        <f>[1]REF_nonets!K$14</f>
        <v>0</v>
      </c>
      <c r="K14" s="68">
        <f>[1]REF_nonets!L$14</f>
        <v>0</v>
      </c>
      <c r="L14" s="103">
        <f>[1]REF_nonets!M$14</f>
        <v>0</v>
      </c>
      <c r="M14" t="s">
        <v>105</v>
      </c>
      <c r="N14" s="110" t="s">
        <v>106</v>
      </c>
    </row>
    <row r="15" spans="1:14" x14ac:dyDescent="0.25">
      <c r="A15" s="94">
        <v>13</v>
      </c>
      <c r="B15" s="101" t="s">
        <v>106</v>
      </c>
      <c r="C15" s="102">
        <v>0</v>
      </c>
      <c r="D15" s="68">
        <f>[1]REF_nonets!E$14</f>
        <v>0</v>
      </c>
      <c r="E15" s="68">
        <f>[1]REF_nonets!F$14</f>
        <v>0</v>
      </c>
      <c r="F15" s="68">
        <f>[1]REF_nonets!G$14</f>
        <v>0</v>
      </c>
      <c r="G15" s="68">
        <f>[1]REF_nonets!H$14</f>
        <v>0</v>
      </c>
      <c r="H15" s="68">
        <f>[1]REF_nonets!I$14</f>
        <v>0</v>
      </c>
      <c r="I15" s="68">
        <f>[1]REF_nonets!J$14</f>
        <v>0</v>
      </c>
      <c r="J15" s="68">
        <f>[1]REF_nonets!K$14</f>
        <v>0</v>
      </c>
      <c r="K15" s="68">
        <f>[1]REF_nonets!L$14</f>
        <v>0</v>
      </c>
      <c r="L15" s="103">
        <f>[1]REF_nonets!M$14</f>
        <v>0</v>
      </c>
      <c r="M15" t="s">
        <v>106</v>
      </c>
      <c r="N15" s="110" t="s">
        <v>106</v>
      </c>
    </row>
    <row r="16" spans="1:14" x14ac:dyDescent="0.25">
      <c r="A16" s="94">
        <v>14</v>
      </c>
      <c r="B16" s="101" t="s">
        <v>107</v>
      </c>
      <c r="C16" s="102">
        <v>0</v>
      </c>
      <c r="D16" s="68">
        <f>[1]REF_nonets!E$15</f>
        <v>0</v>
      </c>
      <c r="E16" s="68">
        <f>[1]REF_nonets!F$15</f>
        <v>0</v>
      </c>
      <c r="F16" s="68">
        <f>[1]REF_nonets!G$15</f>
        <v>0</v>
      </c>
      <c r="G16" s="68">
        <f>[1]REF_nonets!H$15</f>
        <v>0</v>
      </c>
      <c r="H16" s="68">
        <f>[1]REF_nonets!I$15</f>
        <v>0</v>
      </c>
      <c r="I16" s="68">
        <f>[1]REF_nonets!J$15</f>
        <v>0</v>
      </c>
      <c r="J16" s="68">
        <f>[1]REF_nonets!K$15</f>
        <v>0</v>
      </c>
      <c r="K16" s="68">
        <f>[1]REF_nonets!L$15</f>
        <v>0</v>
      </c>
      <c r="L16" s="103">
        <f>[1]REF_nonets!M$15</f>
        <v>0</v>
      </c>
      <c r="M16" t="s">
        <v>107</v>
      </c>
      <c r="N16" s="66" t="s">
        <v>103</v>
      </c>
    </row>
    <row r="17" spans="1:14" x14ac:dyDescent="0.25">
      <c r="A17" s="94">
        <v>15</v>
      </c>
      <c r="B17" s="101" t="s">
        <v>108</v>
      </c>
      <c r="C17" s="102">
        <v>1</v>
      </c>
      <c r="D17" s="68">
        <f>[1]REF_nonets!E$11</f>
        <v>0.95447601552200689</v>
      </c>
      <c r="E17" s="68">
        <f>[1]REF_nonets!F$11</f>
        <v>0.9059220070695071</v>
      </c>
      <c r="F17" s="68">
        <f>[1]REF_nonets!G$11</f>
        <v>0.85736799861700763</v>
      </c>
      <c r="G17" s="68">
        <f>[1]REF_nonets!H$11</f>
        <v>0.81449959868615729</v>
      </c>
      <c r="H17" s="68">
        <f>[1]REF_nonets!I$11</f>
        <v>0.77163119875530672</v>
      </c>
      <c r="I17" s="68">
        <f>[1]REF_nonets!J$11</f>
        <v>0.73101903039976435</v>
      </c>
      <c r="J17" s="68">
        <f>[1]REF_nonets!K$11</f>
        <v>0.69254434458925029</v>
      </c>
      <c r="K17" s="68">
        <f>[1]REF_nonets!L$11</f>
        <v>0.65609464224244751</v>
      </c>
      <c r="L17" s="103">
        <f>[1]REF_nonets!M$11</f>
        <v>0.6215633452823186</v>
      </c>
      <c r="M17" s="40" t="s">
        <v>109</v>
      </c>
      <c r="N17" s="111" t="s">
        <v>110</v>
      </c>
    </row>
    <row r="18" spans="1:14" x14ac:dyDescent="0.25">
      <c r="A18" s="94">
        <v>16</v>
      </c>
      <c r="B18" s="101" t="s">
        <v>111</v>
      </c>
      <c r="C18" s="102">
        <v>0</v>
      </c>
      <c r="D18" s="68">
        <f>[1]REF_nonets!E$13</f>
        <v>0</v>
      </c>
      <c r="E18" s="68">
        <f>[1]REF_nonets!F$13</f>
        <v>0</v>
      </c>
      <c r="F18" s="68">
        <f>[1]REF_nonets!G$13</f>
        <v>0</v>
      </c>
      <c r="G18" s="68">
        <f>[1]REF_nonets!H$13</f>
        <v>0</v>
      </c>
      <c r="H18" s="68">
        <f>[1]REF_nonets!I$13</f>
        <v>0</v>
      </c>
      <c r="I18" s="68">
        <f>[1]REF_nonets!J$13</f>
        <v>0</v>
      </c>
      <c r="J18" s="68">
        <f>[1]REF_nonets!K$13</f>
        <v>0</v>
      </c>
      <c r="K18" s="68">
        <f>[1]REF_nonets!L$13</f>
        <v>0</v>
      </c>
      <c r="L18" s="103">
        <f>[1]REF_nonets!M$13</f>
        <v>0</v>
      </c>
      <c r="M18" s="40" t="s">
        <v>112</v>
      </c>
      <c r="N18" s="112" t="s">
        <v>113</v>
      </c>
    </row>
    <row r="19" spans="1:14" x14ac:dyDescent="0.25">
      <c r="A19" s="94">
        <v>17</v>
      </c>
      <c r="B19" s="101" t="s">
        <v>113</v>
      </c>
      <c r="C19" s="102">
        <v>0</v>
      </c>
      <c r="D19" s="68">
        <f>[1]REF_nonets!E$13</f>
        <v>0</v>
      </c>
      <c r="E19" s="68">
        <f>[1]REF_nonets!F$13</f>
        <v>0</v>
      </c>
      <c r="F19" s="68">
        <f>[1]REF_nonets!G$13</f>
        <v>0</v>
      </c>
      <c r="G19" s="68">
        <f>[1]REF_nonets!H$13</f>
        <v>0</v>
      </c>
      <c r="H19" s="68">
        <f>[1]REF_nonets!I$13</f>
        <v>0</v>
      </c>
      <c r="I19" s="68">
        <f>[1]REF_nonets!J$13</f>
        <v>0</v>
      </c>
      <c r="J19" s="68">
        <f>[1]REF_nonets!K$13</f>
        <v>0</v>
      </c>
      <c r="K19" s="68">
        <f>[1]REF_nonets!L$13</f>
        <v>0</v>
      </c>
      <c r="L19" s="103">
        <f>[1]REF_nonets!M$13</f>
        <v>0</v>
      </c>
      <c r="M19" t="s">
        <v>114</v>
      </c>
      <c r="N19" s="112" t="s">
        <v>113</v>
      </c>
    </row>
    <row r="20" spans="1:14" x14ac:dyDescent="0.25">
      <c r="A20" s="94">
        <v>18</v>
      </c>
      <c r="B20" s="101" t="s">
        <v>103</v>
      </c>
      <c r="C20" s="102">
        <v>0</v>
      </c>
      <c r="D20" s="68">
        <f>[1]REF_nonets!E$15</f>
        <v>0</v>
      </c>
      <c r="E20" s="68">
        <f>[1]REF_nonets!F$15</f>
        <v>0</v>
      </c>
      <c r="F20" s="68">
        <f>[1]REF_nonets!G$15</f>
        <v>0</v>
      </c>
      <c r="G20" s="68">
        <f>[1]REF_nonets!H$15</f>
        <v>0</v>
      </c>
      <c r="H20" s="68">
        <f>[1]REF_nonets!I$15</f>
        <v>0</v>
      </c>
      <c r="I20" s="68">
        <f>[1]REF_nonets!J$15</f>
        <v>0</v>
      </c>
      <c r="J20" s="68">
        <f>[1]REF_nonets!K$15</f>
        <v>0</v>
      </c>
      <c r="K20" s="68">
        <f>[1]REF_nonets!L$15</f>
        <v>0</v>
      </c>
      <c r="L20" s="103">
        <f>[1]REF_nonets!M$15</f>
        <v>0</v>
      </c>
      <c r="M20" s="40" t="s">
        <v>115</v>
      </c>
      <c r="N20" s="66" t="s">
        <v>103</v>
      </c>
    </row>
  </sheetData>
  <conditionalFormatting sqref="C3:L20">
    <cfRule type="cellIs" dxfId="9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2:D688"/>
  <sheetViews>
    <sheetView zoomScale="85" zoomScaleNormal="85" workbookViewId="0">
      <selection activeCell="B3" sqref="B3"/>
    </sheetView>
  </sheetViews>
  <sheetFormatPr defaultColWidth="11.42578125" defaultRowHeight="15" x14ac:dyDescent="0.25"/>
  <cols>
    <col min="1" max="1" width="15.7109375" customWidth="1"/>
    <col min="2" max="2" width="30.7109375" customWidth="1"/>
    <col min="3" max="4" width="20.7109375" customWidth="1"/>
  </cols>
  <sheetData>
    <row r="2" spans="1:4" ht="25.5" customHeight="1" thickBot="1" x14ac:dyDescent="0.45">
      <c r="A2" s="493" t="s">
        <v>0</v>
      </c>
      <c r="B2" s="493"/>
    </row>
    <row r="3" spans="1:4" ht="15" customHeight="1" x14ac:dyDescent="0.25">
      <c r="A3" s="26" t="s">
        <v>183</v>
      </c>
      <c r="B3" s="288" t="s">
        <v>184</v>
      </c>
      <c r="C3" s="491" t="s">
        <v>23</v>
      </c>
      <c r="D3" s="492"/>
    </row>
    <row r="4" spans="1:4" ht="30" customHeight="1" thickBot="1" x14ac:dyDescent="0.3">
      <c r="A4" s="26" t="s">
        <v>58</v>
      </c>
      <c r="B4" s="27" t="s">
        <v>57</v>
      </c>
      <c r="C4" s="28" t="s">
        <v>62</v>
      </c>
      <c r="D4" s="29" t="s">
        <v>63</v>
      </c>
    </row>
    <row r="5" spans="1:4" x14ac:dyDescent="0.25">
      <c r="A5" s="7" t="s">
        <v>1</v>
      </c>
      <c r="B5" s="8" t="s">
        <v>2</v>
      </c>
      <c r="C5" s="13">
        <v>32412.653999999999</v>
      </c>
      <c r="D5" s="19">
        <v>33373.154999999999</v>
      </c>
    </row>
    <row r="6" spans="1:4" x14ac:dyDescent="0.25">
      <c r="A6" s="9" t="s">
        <v>1</v>
      </c>
      <c r="B6" s="10" t="s">
        <v>3</v>
      </c>
      <c r="C6" s="14">
        <v>32649.366000000002</v>
      </c>
      <c r="D6" s="20">
        <v>32384.371999999999</v>
      </c>
    </row>
    <row r="7" spans="1:4" x14ac:dyDescent="0.25">
      <c r="A7" s="9" t="s">
        <v>1</v>
      </c>
      <c r="B7" s="10" t="s">
        <v>4</v>
      </c>
      <c r="C7" s="14">
        <v>32729.289000000001</v>
      </c>
      <c r="D7" s="20">
        <v>31751.26</v>
      </c>
    </row>
    <row r="8" spans="1:4" x14ac:dyDescent="0.25">
      <c r="A8" s="9" t="s">
        <v>1</v>
      </c>
      <c r="B8" s="10" t="s">
        <v>5</v>
      </c>
      <c r="C8" s="14">
        <v>30141.386999999999</v>
      </c>
      <c r="D8" s="20">
        <v>32078.973999999998</v>
      </c>
    </row>
    <row r="9" spans="1:4" x14ac:dyDescent="0.25">
      <c r="A9" s="9" t="s">
        <v>1</v>
      </c>
      <c r="B9" s="10" t="s">
        <v>6</v>
      </c>
      <c r="C9" s="14">
        <v>32281.036</v>
      </c>
      <c r="D9" s="20">
        <v>27359.832999999999</v>
      </c>
    </row>
    <row r="10" spans="1:4" x14ac:dyDescent="0.25">
      <c r="A10" s="9" t="s">
        <v>1</v>
      </c>
      <c r="B10" s="10" t="s">
        <v>7</v>
      </c>
      <c r="C10" s="14">
        <v>32526.685000000001</v>
      </c>
      <c r="D10" s="20">
        <v>30919.710999999999</v>
      </c>
    </row>
    <row r="11" spans="1:4" x14ac:dyDescent="0.25">
      <c r="A11" s="9" t="s">
        <v>1</v>
      </c>
      <c r="B11" s="10" t="s">
        <v>8</v>
      </c>
      <c r="C11" s="14">
        <v>32828.595999999998</v>
      </c>
      <c r="D11" s="20">
        <v>30599.418000000001</v>
      </c>
    </row>
    <row r="12" spans="1:4" x14ac:dyDescent="0.25">
      <c r="A12" s="9" t="s">
        <v>1</v>
      </c>
      <c r="B12" s="10" t="s">
        <v>9</v>
      </c>
      <c r="C12" s="14">
        <v>34440.864999999998</v>
      </c>
      <c r="D12" s="20">
        <v>28387.06</v>
      </c>
    </row>
    <row r="13" spans="1:4" x14ac:dyDescent="0.25">
      <c r="A13" s="9" t="s">
        <v>1</v>
      </c>
      <c r="B13" s="10" t="s">
        <v>10</v>
      </c>
      <c r="C13" s="14">
        <v>36694.063999999998</v>
      </c>
      <c r="D13" s="20">
        <v>29850.723999999998</v>
      </c>
    </row>
    <row r="14" spans="1:4" x14ac:dyDescent="0.25">
      <c r="A14" s="9" t="s">
        <v>1</v>
      </c>
      <c r="B14" s="10" t="s">
        <v>11</v>
      </c>
      <c r="C14" s="14">
        <v>31205.063999999998</v>
      </c>
      <c r="D14" s="20"/>
    </row>
    <row r="15" spans="1:4" x14ac:dyDescent="0.25">
      <c r="A15" s="9" t="s">
        <v>1</v>
      </c>
      <c r="B15" s="10" t="s">
        <v>12</v>
      </c>
      <c r="C15" s="14">
        <v>32352.013864529701</v>
      </c>
      <c r="D15" s="20"/>
    </row>
    <row r="16" spans="1:4" x14ac:dyDescent="0.25">
      <c r="A16" s="9" t="s">
        <v>1</v>
      </c>
      <c r="B16" s="10" t="s">
        <v>13</v>
      </c>
      <c r="C16" s="14">
        <v>33518.156826672603</v>
      </c>
      <c r="D16" s="20"/>
    </row>
    <row r="17" spans="1:4" x14ac:dyDescent="0.25">
      <c r="A17" s="9" t="s">
        <v>1</v>
      </c>
      <c r="B17" s="10" t="s">
        <v>14</v>
      </c>
      <c r="C17" s="14">
        <v>36019.3957393194</v>
      </c>
      <c r="D17" s="20"/>
    </row>
    <row r="18" spans="1:4" x14ac:dyDescent="0.25">
      <c r="A18" s="9" t="s">
        <v>1</v>
      </c>
      <c r="B18" s="10" t="s">
        <v>15</v>
      </c>
      <c r="C18" s="14">
        <v>35822.876998974803</v>
      </c>
      <c r="D18" s="20"/>
    </row>
    <row r="19" spans="1:4" x14ac:dyDescent="0.25">
      <c r="A19" s="9" t="s">
        <v>1</v>
      </c>
      <c r="B19" s="10" t="s">
        <v>16</v>
      </c>
      <c r="C19" s="14">
        <v>39658.050737044898</v>
      </c>
      <c r="D19" s="20"/>
    </row>
    <row r="20" spans="1:4" x14ac:dyDescent="0.25">
      <c r="A20" s="9" t="s">
        <v>1</v>
      </c>
      <c r="B20" s="10" t="s">
        <v>17</v>
      </c>
      <c r="C20" s="14">
        <v>43490.090073099404</v>
      </c>
      <c r="D20" s="20"/>
    </row>
    <row r="21" spans="1:4" x14ac:dyDescent="0.25">
      <c r="A21" s="9" t="s">
        <v>1</v>
      </c>
      <c r="B21" s="10" t="s">
        <v>18</v>
      </c>
      <c r="C21" s="14">
        <v>97791.308999999994</v>
      </c>
      <c r="D21" s="20">
        <v>97508.786999999997</v>
      </c>
    </row>
    <row r="22" spans="1:4" x14ac:dyDescent="0.25">
      <c r="A22" s="9" t="s">
        <v>1</v>
      </c>
      <c r="B22" s="10" t="s">
        <v>19</v>
      </c>
      <c r="C22" s="14">
        <v>162218.56899999999</v>
      </c>
      <c r="D22" s="20">
        <v>149344.99600000001</v>
      </c>
    </row>
    <row r="23" spans="1:4" ht="15.75" thickBot="1" x14ac:dyDescent="0.3">
      <c r="A23" s="11" t="s">
        <v>1</v>
      </c>
      <c r="B23" s="12" t="s">
        <v>20</v>
      </c>
      <c r="C23" s="15">
        <v>288759.712239641</v>
      </c>
      <c r="D23" s="21">
        <v>29850.723999999998</v>
      </c>
    </row>
    <row r="24" spans="1:4" x14ac:dyDescent="0.25">
      <c r="A24" s="1" t="s">
        <v>21</v>
      </c>
      <c r="B24" s="2" t="s">
        <v>2</v>
      </c>
      <c r="C24" s="16">
        <v>58309.908000000003</v>
      </c>
      <c r="D24" s="22">
        <v>55363.232000000004</v>
      </c>
    </row>
    <row r="25" spans="1:4" x14ac:dyDescent="0.25">
      <c r="A25" s="3" t="s">
        <v>21</v>
      </c>
      <c r="B25" s="4" t="s">
        <v>3</v>
      </c>
      <c r="C25" s="17">
        <v>59952.177000000003</v>
      </c>
      <c r="D25" s="23">
        <v>54775.326000000001</v>
      </c>
    </row>
    <row r="26" spans="1:4" x14ac:dyDescent="0.25">
      <c r="A26" s="3" t="s">
        <v>21</v>
      </c>
      <c r="B26" s="4" t="s">
        <v>4</v>
      </c>
      <c r="C26" s="17">
        <v>60428.821000000004</v>
      </c>
      <c r="D26" s="23">
        <v>52795.332999999999</v>
      </c>
    </row>
    <row r="27" spans="1:4" x14ac:dyDescent="0.25">
      <c r="A27" s="3" t="s">
        <v>21</v>
      </c>
      <c r="B27" s="4" t="s">
        <v>5</v>
      </c>
      <c r="C27" s="17">
        <v>55384.483</v>
      </c>
      <c r="D27" s="23">
        <v>55462.027000000002</v>
      </c>
    </row>
    <row r="28" spans="1:4" x14ac:dyDescent="0.25">
      <c r="A28" s="3" t="s">
        <v>21</v>
      </c>
      <c r="B28" s="4" t="s">
        <v>6</v>
      </c>
      <c r="C28" s="17">
        <v>56797.576000000001</v>
      </c>
      <c r="D28" s="23">
        <v>46206.938000000002</v>
      </c>
    </row>
    <row r="29" spans="1:4" x14ac:dyDescent="0.25">
      <c r="A29" s="3" t="s">
        <v>21</v>
      </c>
      <c r="B29" s="4" t="s">
        <v>7</v>
      </c>
      <c r="C29" s="17">
        <v>56025.476999999999</v>
      </c>
      <c r="D29" s="23">
        <v>50103.978999999999</v>
      </c>
    </row>
    <row r="30" spans="1:4" x14ac:dyDescent="0.25">
      <c r="A30" s="3" t="s">
        <v>21</v>
      </c>
      <c r="B30" s="4" t="s">
        <v>8</v>
      </c>
      <c r="C30" s="17">
        <v>56557.332999999999</v>
      </c>
      <c r="D30" s="23">
        <v>46203.055</v>
      </c>
    </row>
    <row r="31" spans="1:4" x14ac:dyDescent="0.25">
      <c r="A31" s="3" t="s">
        <v>21</v>
      </c>
      <c r="B31" s="4" t="s">
        <v>9</v>
      </c>
      <c r="C31" s="17">
        <v>68117.960000000006</v>
      </c>
      <c r="D31" s="23">
        <v>43006.98</v>
      </c>
    </row>
    <row r="32" spans="1:4" x14ac:dyDescent="0.25">
      <c r="A32" s="3" t="s">
        <v>21</v>
      </c>
      <c r="B32" s="4" t="s">
        <v>10</v>
      </c>
      <c r="C32" s="17">
        <v>66082.406000000003</v>
      </c>
      <c r="D32" s="23">
        <v>45231.175000000003</v>
      </c>
    </row>
    <row r="33" spans="1:4" x14ac:dyDescent="0.25">
      <c r="A33" s="3" t="s">
        <v>21</v>
      </c>
      <c r="B33" s="4" t="s">
        <v>11</v>
      </c>
      <c r="C33" s="17">
        <v>53080.406000000003</v>
      </c>
      <c r="D33" s="23"/>
    </row>
    <row r="34" spans="1:4" x14ac:dyDescent="0.25">
      <c r="A34" s="3" t="s">
        <v>21</v>
      </c>
      <c r="B34" s="4" t="s">
        <v>12</v>
      </c>
      <c r="C34" s="17">
        <v>55181.305161925797</v>
      </c>
      <c r="D34" s="23"/>
    </row>
    <row r="35" spans="1:4" x14ac:dyDescent="0.25">
      <c r="A35" s="3" t="s">
        <v>21</v>
      </c>
      <c r="B35" s="4" t="s">
        <v>13</v>
      </c>
      <c r="C35" s="17">
        <v>57305.917482459503</v>
      </c>
      <c r="D35" s="23"/>
    </row>
    <row r="36" spans="1:4" x14ac:dyDescent="0.25">
      <c r="A36" s="3" t="s">
        <v>21</v>
      </c>
      <c r="B36" s="4" t="s">
        <v>14</v>
      </c>
      <c r="C36" s="17">
        <v>61862.959957459199</v>
      </c>
      <c r="D36" s="23"/>
    </row>
    <row r="37" spans="1:4" x14ac:dyDescent="0.25">
      <c r="A37" s="3" t="s">
        <v>21</v>
      </c>
      <c r="B37" s="4" t="s">
        <v>15</v>
      </c>
      <c r="C37" s="17">
        <v>61504.919690951501</v>
      </c>
      <c r="D37" s="23"/>
    </row>
    <row r="38" spans="1:4" x14ac:dyDescent="0.25">
      <c r="A38" s="3" t="s">
        <v>21</v>
      </c>
      <c r="B38" s="4" t="s">
        <v>16</v>
      </c>
      <c r="C38" s="17">
        <v>68492.276850246097</v>
      </c>
      <c r="D38" s="23"/>
    </row>
    <row r="39" spans="1:4" x14ac:dyDescent="0.25">
      <c r="A39" s="3" t="s">
        <v>21</v>
      </c>
      <c r="B39" s="4" t="s">
        <v>17</v>
      </c>
      <c r="C39" s="17">
        <v>75473.923398272804</v>
      </c>
      <c r="D39" s="23"/>
    </row>
    <row r="40" spans="1:4" x14ac:dyDescent="0.25">
      <c r="A40" s="3" t="s">
        <v>21</v>
      </c>
      <c r="B40" s="4" t="s">
        <v>18</v>
      </c>
      <c r="C40" s="17">
        <v>178690.90599999999</v>
      </c>
      <c r="D40" s="23">
        <v>162933.891</v>
      </c>
    </row>
    <row r="41" spans="1:4" x14ac:dyDescent="0.25">
      <c r="A41" s="3" t="s">
        <v>21</v>
      </c>
      <c r="B41" s="4" t="s">
        <v>19</v>
      </c>
      <c r="C41" s="17">
        <v>292882.82900000003</v>
      </c>
      <c r="D41" s="23">
        <v>240982.97899999999</v>
      </c>
    </row>
    <row r="42" spans="1:4" ht="15.75" thickBot="1" x14ac:dyDescent="0.3">
      <c r="A42" s="5" t="s">
        <v>21</v>
      </c>
      <c r="B42" s="6" t="s">
        <v>20</v>
      </c>
      <c r="C42" s="18">
        <v>498984.11454131501</v>
      </c>
      <c r="D42" s="24">
        <v>45231.175000000003</v>
      </c>
    </row>
    <row r="43" spans="1:4" x14ac:dyDescent="0.25">
      <c r="A43" s="7" t="s">
        <v>22</v>
      </c>
      <c r="B43" s="8" t="s">
        <v>2</v>
      </c>
      <c r="C43" s="13">
        <v>0</v>
      </c>
      <c r="D43" s="25"/>
    </row>
    <row r="44" spans="1:4" x14ac:dyDescent="0.25">
      <c r="A44" s="9" t="s">
        <v>22</v>
      </c>
      <c r="B44" s="10" t="s">
        <v>3</v>
      </c>
      <c r="C44" s="14">
        <v>0</v>
      </c>
      <c r="D44" s="20"/>
    </row>
    <row r="45" spans="1:4" x14ac:dyDescent="0.25">
      <c r="A45" s="9" t="s">
        <v>22</v>
      </c>
      <c r="B45" s="10" t="s">
        <v>4</v>
      </c>
      <c r="C45" s="14">
        <v>0</v>
      </c>
      <c r="D45" s="20">
        <v>39181.983999999997</v>
      </c>
    </row>
    <row r="46" spans="1:4" x14ac:dyDescent="0.25">
      <c r="A46" s="9" t="s">
        <v>22</v>
      </c>
      <c r="B46" s="10" t="s">
        <v>5</v>
      </c>
      <c r="C46" s="14">
        <v>38303</v>
      </c>
      <c r="D46" s="20">
        <v>38303.052000000003</v>
      </c>
    </row>
    <row r="47" spans="1:4" x14ac:dyDescent="0.25">
      <c r="A47" s="9" t="s">
        <v>22</v>
      </c>
      <c r="B47" s="10" t="s">
        <v>6</v>
      </c>
      <c r="C47" s="14">
        <v>40595.828999999998</v>
      </c>
      <c r="D47" s="20">
        <v>32014.544999999998</v>
      </c>
    </row>
    <row r="48" spans="1:4" x14ac:dyDescent="0.25">
      <c r="A48" s="9" t="s">
        <v>22</v>
      </c>
      <c r="B48" s="10" t="s">
        <v>7</v>
      </c>
      <c r="C48" s="14">
        <v>35266.538</v>
      </c>
      <c r="D48" s="20">
        <v>33525.095999999998</v>
      </c>
    </row>
    <row r="49" spans="1:4" x14ac:dyDescent="0.25">
      <c r="A49" s="9" t="s">
        <v>22</v>
      </c>
      <c r="B49" s="10" t="s">
        <v>8</v>
      </c>
      <c r="C49" s="14">
        <v>41536.014000000003</v>
      </c>
      <c r="D49" s="20">
        <v>39997.538</v>
      </c>
    </row>
    <row r="50" spans="1:4" x14ac:dyDescent="0.25">
      <c r="A50" s="9" t="s">
        <v>22</v>
      </c>
      <c r="B50" s="10" t="s">
        <v>9</v>
      </c>
      <c r="C50" s="14">
        <v>42944.675999999999</v>
      </c>
      <c r="D50" s="20">
        <v>35049.983999999997</v>
      </c>
    </row>
    <row r="51" spans="1:4" x14ac:dyDescent="0.25">
      <c r="A51" s="9" t="s">
        <v>22</v>
      </c>
      <c r="B51" s="10" t="s">
        <v>10</v>
      </c>
      <c r="C51" s="14">
        <v>25713.609</v>
      </c>
      <c r="D51" s="20">
        <v>32695.534</v>
      </c>
    </row>
    <row r="52" spans="1:4" x14ac:dyDescent="0.25">
      <c r="A52" s="9" t="s">
        <v>22</v>
      </c>
      <c r="B52" s="10" t="s">
        <v>11</v>
      </c>
      <c r="C52" s="14">
        <v>16570.609</v>
      </c>
      <c r="D52" s="20"/>
    </row>
    <row r="53" spans="1:4" x14ac:dyDescent="0.25">
      <c r="A53" s="9" t="s">
        <v>22</v>
      </c>
      <c r="B53" s="10" t="s">
        <v>12</v>
      </c>
      <c r="C53" s="14">
        <v>20835.245665462298</v>
      </c>
      <c r="D53" s="20"/>
    </row>
    <row r="54" spans="1:4" x14ac:dyDescent="0.25">
      <c r="A54" s="9" t="s">
        <v>22</v>
      </c>
      <c r="B54" s="10" t="s">
        <v>13</v>
      </c>
      <c r="C54" s="14">
        <v>25111.924909914698</v>
      </c>
      <c r="D54" s="20"/>
    </row>
    <row r="55" spans="1:4" x14ac:dyDescent="0.25">
      <c r="A55" s="9" t="s">
        <v>22</v>
      </c>
      <c r="B55" s="10" t="s">
        <v>14</v>
      </c>
      <c r="C55" s="14">
        <v>32070.0424517836</v>
      </c>
      <c r="D55" s="20"/>
    </row>
    <row r="56" spans="1:4" x14ac:dyDescent="0.25">
      <c r="A56" s="9" t="s">
        <v>22</v>
      </c>
      <c r="B56" s="10" t="s">
        <v>15</v>
      </c>
      <c r="C56" s="14">
        <v>33609.920710934297</v>
      </c>
      <c r="D56" s="20"/>
    </row>
    <row r="57" spans="1:4" x14ac:dyDescent="0.25">
      <c r="A57" s="9" t="s">
        <v>22</v>
      </c>
      <c r="B57" s="10" t="s">
        <v>16</v>
      </c>
      <c r="C57" s="14">
        <v>43247.143520003701</v>
      </c>
      <c r="D57" s="20"/>
    </row>
    <row r="58" spans="1:4" x14ac:dyDescent="0.25">
      <c r="A58" s="9" t="s">
        <v>22</v>
      </c>
      <c r="B58" s="10" t="s">
        <v>17</v>
      </c>
      <c r="C58" s="14">
        <v>52878.070124248101</v>
      </c>
      <c r="D58" s="20"/>
    </row>
    <row r="59" spans="1:4" x14ac:dyDescent="0.25">
      <c r="A59" s="9" t="s">
        <v>22</v>
      </c>
      <c r="B59" s="10" t="s">
        <v>18</v>
      </c>
      <c r="C59" s="14">
        <v>0</v>
      </c>
      <c r="D59" s="20">
        <v>39181.983999999997</v>
      </c>
    </row>
    <row r="60" spans="1:4" x14ac:dyDescent="0.25">
      <c r="A60" s="9" t="s">
        <v>22</v>
      </c>
      <c r="B60" s="10" t="s">
        <v>19</v>
      </c>
      <c r="C60" s="14">
        <v>198646.057</v>
      </c>
      <c r="D60" s="20">
        <v>178890.215</v>
      </c>
    </row>
    <row r="61" spans="1:4" ht="15.75" thickBot="1" x14ac:dyDescent="0.3">
      <c r="A61" s="11" t="s">
        <v>22</v>
      </c>
      <c r="B61" s="12" t="s">
        <v>20</v>
      </c>
      <c r="C61" s="15">
        <v>250036.56538234701</v>
      </c>
      <c r="D61" s="21">
        <v>32695.534</v>
      </c>
    </row>
    <row r="62" spans="1:4" x14ac:dyDescent="0.25">
      <c r="A62" s="1" t="s">
        <v>24</v>
      </c>
      <c r="B62" s="2" t="s">
        <v>2</v>
      </c>
      <c r="C62" s="16">
        <v>0</v>
      </c>
      <c r="D62" s="22"/>
    </row>
    <row r="63" spans="1:4" x14ac:dyDescent="0.25">
      <c r="A63" s="3" t="s">
        <v>24</v>
      </c>
      <c r="B63" s="4" t="s">
        <v>3</v>
      </c>
      <c r="C63" s="17">
        <v>0</v>
      </c>
      <c r="D63" s="23"/>
    </row>
    <row r="64" spans="1:4" x14ac:dyDescent="0.25">
      <c r="A64" s="3" t="s">
        <v>24</v>
      </c>
      <c r="B64" s="4" t="s">
        <v>4</v>
      </c>
      <c r="C64" s="17">
        <v>0</v>
      </c>
      <c r="D64" s="23"/>
    </row>
    <row r="65" spans="1:4" x14ac:dyDescent="0.25">
      <c r="A65" s="3" t="s">
        <v>24</v>
      </c>
      <c r="B65" s="4" t="s">
        <v>5</v>
      </c>
      <c r="C65" s="17">
        <v>0</v>
      </c>
      <c r="D65" s="23"/>
    </row>
    <row r="66" spans="1:4" x14ac:dyDescent="0.25">
      <c r="A66" s="3" t="s">
        <v>24</v>
      </c>
      <c r="B66" s="4" t="s">
        <v>6</v>
      </c>
      <c r="C66" s="17">
        <v>0</v>
      </c>
      <c r="D66" s="23"/>
    </row>
    <row r="67" spans="1:4" x14ac:dyDescent="0.25">
      <c r="A67" s="3" t="s">
        <v>24</v>
      </c>
      <c r="B67" s="4" t="s">
        <v>7</v>
      </c>
      <c r="C67" s="17">
        <v>0</v>
      </c>
      <c r="D67" s="23"/>
    </row>
    <row r="68" spans="1:4" x14ac:dyDescent="0.25">
      <c r="A68" s="3" t="s">
        <v>24</v>
      </c>
      <c r="B68" s="4" t="s">
        <v>8</v>
      </c>
      <c r="C68" s="17">
        <v>0</v>
      </c>
      <c r="D68" s="23"/>
    </row>
    <row r="69" spans="1:4" x14ac:dyDescent="0.25">
      <c r="A69" s="3" t="s">
        <v>24</v>
      </c>
      <c r="B69" s="4" t="s">
        <v>9</v>
      </c>
      <c r="C69" s="17">
        <v>0</v>
      </c>
      <c r="D69" s="23"/>
    </row>
    <row r="70" spans="1:4" x14ac:dyDescent="0.25">
      <c r="A70" s="3" t="s">
        <v>24</v>
      </c>
      <c r="B70" s="4" t="s">
        <v>10</v>
      </c>
      <c r="C70" s="17">
        <v>5293.7129999999997</v>
      </c>
      <c r="D70" s="23">
        <v>8511.9879999999994</v>
      </c>
    </row>
    <row r="71" spans="1:4" x14ac:dyDescent="0.25">
      <c r="A71" s="3" t="s">
        <v>24</v>
      </c>
      <c r="B71" s="4" t="s">
        <v>11</v>
      </c>
      <c r="C71" s="17">
        <v>5293.7129999999997</v>
      </c>
      <c r="D71" s="23"/>
    </row>
    <row r="72" spans="1:4" x14ac:dyDescent="0.25">
      <c r="A72" s="3" t="s">
        <v>24</v>
      </c>
      <c r="B72" s="4" t="s">
        <v>12</v>
      </c>
      <c r="C72" s="17">
        <v>8703.9998796673899</v>
      </c>
      <c r="D72" s="23"/>
    </row>
    <row r="73" spans="1:4" x14ac:dyDescent="0.25">
      <c r="A73" s="3" t="s">
        <v>24</v>
      </c>
      <c r="B73" s="4" t="s">
        <v>13</v>
      </c>
      <c r="C73" s="17">
        <v>9102.3274051031294</v>
      </c>
      <c r="D73" s="23"/>
    </row>
    <row r="74" spans="1:4" x14ac:dyDescent="0.25">
      <c r="A74" s="3" t="s">
        <v>24</v>
      </c>
      <c r="B74" s="4" t="s">
        <v>14</v>
      </c>
      <c r="C74" s="17">
        <v>9956.69289796456</v>
      </c>
      <c r="D74" s="23"/>
    </row>
    <row r="75" spans="1:4" x14ac:dyDescent="0.25">
      <c r="A75" s="3" t="s">
        <v>24</v>
      </c>
      <c r="B75" s="4" t="s">
        <v>15</v>
      </c>
      <c r="C75" s="17">
        <v>9889.5666312164994</v>
      </c>
      <c r="D75" s="23"/>
    </row>
    <row r="76" spans="1:4" x14ac:dyDescent="0.25">
      <c r="A76" s="3" t="s">
        <v>24</v>
      </c>
      <c r="B76" s="4" t="s">
        <v>16</v>
      </c>
      <c r="C76" s="17">
        <v>11199.5734779708</v>
      </c>
      <c r="D76" s="23"/>
    </row>
    <row r="77" spans="1:4" x14ac:dyDescent="0.25">
      <c r="A77" s="3" t="s">
        <v>24</v>
      </c>
      <c r="B77" s="4" t="s">
        <v>17</v>
      </c>
      <c r="C77" s="17">
        <v>12508.509685327401</v>
      </c>
      <c r="D77" s="23"/>
    </row>
    <row r="78" spans="1:4" x14ac:dyDescent="0.25">
      <c r="A78" s="3" t="s">
        <v>24</v>
      </c>
      <c r="B78" s="4" t="s">
        <v>18</v>
      </c>
      <c r="C78" s="17">
        <v>0</v>
      </c>
      <c r="D78" s="23"/>
    </row>
    <row r="79" spans="1:4" x14ac:dyDescent="0.25">
      <c r="A79" s="3" t="s">
        <v>24</v>
      </c>
      <c r="B79" s="4" t="s">
        <v>19</v>
      </c>
      <c r="C79" s="17">
        <v>0</v>
      </c>
      <c r="D79" s="23"/>
    </row>
    <row r="80" spans="1:4" ht="15.75" thickBot="1" x14ac:dyDescent="0.3">
      <c r="A80" s="5" t="s">
        <v>24</v>
      </c>
      <c r="B80" s="6" t="s">
        <v>20</v>
      </c>
      <c r="C80" s="18">
        <v>71948.095977249701</v>
      </c>
      <c r="D80" s="24">
        <v>8511.9879999999994</v>
      </c>
    </row>
    <row r="81" spans="1:4" x14ac:dyDescent="0.25">
      <c r="A81" s="7" t="s">
        <v>25</v>
      </c>
      <c r="B81" s="8" t="s">
        <v>2</v>
      </c>
      <c r="C81" s="13">
        <v>5471.3530000000001</v>
      </c>
      <c r="D81" s="25">
        <v>5078.8770000000004</v>
      </c>
    </row>
    <row r="82" spans="1:4" x14ac:dyDescent="0.25">
      <c r="A82" s="9" t="s">
        <v>25</v>
      </c>
      <c r="B82" s="10" t="s">
        <v>3</v>
      </c>
      <c r="C82" s="14">
        <v>5612.3789999999999</v>
      </c>
      <c r="D82" s="20">
        <v>5259.2730000000001</v>
      </c>
    </row>
    <row r="83" spans="1:4" x14ac:dyDescent="0.25">
      <c r="A83" s="9" t="s">
        <v>25</v>
      </c>
      <c r="B83" s="10" t="s">
        <v>4</v>
      </c>
      <c r="C83" s="14">
        <v>5899.4930000000004</v>
      </c>
      <c r="D83" s="20">
        <v>5396.1639999999998</v>
      </c>
    </row>
    <row r="84" spans="1:4" x14ac:dyDescent="0.25">
      <c r="A84" s="9" t="s">
        <v>25</v>
      </c>
      <c r="B84" s="10" t="s">
        <v>5</v>
      </c>
      <c r="C84" s="14">
        <v>4815.0889999999999</v>
      </c>
      <c r="D84" s="20">
        <v>5576.6459999999997</v>
      </c>
    </row>
    <row r="85" spans="1:4" x14ac:dyDescent="0.25">
      <c r="A85" s="9" t="s">
        <v>25</v>
      </c>
      <c r="B85" s="10" t="s">
        <v>6</v>
      </c>
      <c r="C85" s="14">
        <v>5089.0820000000003</v>
      </c>
      <c r="D85" s="20">
        <v>5361.6329999999998</v>
      </c>
    </row>
    <row r="86" spans="1:4" x14ac:dyDescent="0.25">
      <c r="A86" s="9" t="s">
        <v>25</v>
      </c>
      <c r="B86" s="10" t="s">
        <v>7</v>
      </c>
      <c r="C86" s="14">
        <v>5371.0330000000004</v>
      </c>
      <c r="D86" s="20">
        <v>5056.22</v>
      </c>
    </row>
    <row r="87" spans="1:4" x14ac:dyDescent="0.25">
      <c r="A87" s="9" t="s">
        <v>25</v>
      </c>
      <c r="B87" s="10" t="s">
        <v>8</v>
      </c>
      <c r="C87" s="14">
        <v>5837.2820000000002</v>
      </c>
      <c r="D87" s="20">
        <v>4599.3810000000003</v>
      </c>
    </row>
    <row r="88" spans="1:4" x14ac:dyDescent="0.25">
      <c r="A88" s="9" t="s">
        <v>25</v>
      </c>
      <c r="B88" s="10" t="s">
        <v>9</v>
      </c>
      <c r="C88" s="14">
        <v>6238.9520000000002</v>
      </c>
      <c r="D88" s="20">
        <v>4383.8980000000001</v>
      </c>
    </row>
    <row r="89" spans="1:4" x14ac:dyDescent="0.25">
      <c r="A89" s="9" t="s">
        <v>25</v>
      </c>
      <c r="B89" s="10" t="s">
        <v>10</v>
      </c>
      <c r="C89" s="14">
        <v>1202.701</v>
      </c>
      <c r="D89" s="20">
        <v>4024.8739999999998</v>
      </c>
    </row>
    <row r="90" spans="1:4" x14ac:dyDescent="0.25">
      <c r="A90" s="9" t="s">
        <v>25</v>
      </c>
      <c r="B90" s="10" t="s">
        <v>11</v>
      </c>
      <c r="C90" s="14">
        <v>968.13800000000003</v>
      </c>
      <c r="D90" s="20"/>
    </row>
    <row r="91" spans="1:4" x14ac:dyDescent="0.25">
      <c r="A91" s="9" t="s">
        <v>25</v>
      </c>
      <c r="B91" s="10" t="s">
        <v>12</v>
      </c>
      <c r="C91" s="14">
        <v>865.688498890191</v>
      </c>
      <c r="D91" s="20"/>
    </row>
    <row r="92" spans="1:4" x14ac:dyDescent="0.25">
      <c r="A92" s="9" t="s">
        <v>25</v>
      </c>
      <c r="B92" s="10" t="s">
        <v>13</v>
      </c>
      <c r="C92" s="14">
        <v>1408.8474667891701</v>
      </c>
      <c r="D92" s="20"/>
    </row>
    <row r="93" spans="1:4" x14ac:dyDescent="0.25">
      <c r="A93" s="9" t="s">
        <v>25</v>
      </c>
      <c r="B93" s="10" t="s">
        <v>14</v>
      </c>
      <c r="C93" s="14">
        <v>2203.0548075065199</v>
      </c>
      <c r="D93" s="20"/>
    </row>
    <row r="94" spans="1:4" x14ac:dyDescent="0.25">
      <c r="A94" s="9" t="s">
        <v>25</v>
      </c>
      <c r="B94" s="10" t="s">
        <v>15</v>
      </c>
      <c r="C94" s="14">
        <v>2489.9830226115801</v>
      </c>
      <c r="D94" s="20"/>
    </row>
    <row r="95" spans="1:4" x14ac:dyDescent="0.25">
      <c r="A95" s="9" t="s">
        <v>25</v>
      </c>
      <c r="B95" s="10" t="s">
        <v>16</v>
      </c>
      <c r="C95" s="14">
        <v>3571.0054017265702</v>
      </c>
      <c r="D95" s="20"/>
    </row>
    <row r="96" spans="1:4" x14ac:dyDescent="0.25">
      <c r="A96" s="9" t="s">
        <v>25</v>
      </c>
      <c r="B96" s="10" t="s">
        <v>17</v>
      </c>
      <c r="C96" s="14">
        <v>4867.3593974410196</v>
      </c>
      <c r="D96" s="20"/>
    </row>
    <row r="97" spans="1:4" x14ac:dyDescent="0.25">
      <c r="A97" s="9" t="s">
        <v>25</v>
      </c>
      <c r="B97" s="10" t="s">
        <v>18</v>
      </c>
      <c r="C97" s="14">
        <v>16983.224999999999</v>
      </c>
      <c r="D97" s="20">
        <v>15734.314</v>
      </c>
    </row>
    <row r="98" spans="1:4" x14ac:dyDescent="0.25">
      <c r="A98" s="9" t="s">
        <v>25</v>
      </c>
      <c r="B98" s="10" t="s">
        <v>19</v>
      </c>
      <c r="C98" s="14">
        <v>27351.437999999998</v>
      </c>
      <c r="D98" s="20">
        <v>24977.777999999998</v>
      </c>
    </row>
    <row r="99" spans="1:4" ht="15.75" thickBot="1" x14ac:dyDescent="0.3">
      <c r="A99" s="11" t="s">
        <v>25</v>
      </c>
      <c r="B99" s="12" t="s">
        <v>20</v>
      </c>
      <c r="C99" s="15">
        <v>17576.777594964999</v>
      </c>
      <c r="D99" s="21">
        <v>4024.8739999999998</v>
      </c>
    </row>
    <row r="100" spans="1:4" x14ac:dyDescent="0.25">
      <c r="A100" s="1" t="s">
        <v>26</v>
      </c>
      <c r="B100" s="2" t="s">
        <v>2</v>
      </c>
      <c r="C100" s="16">
        <v>96919.971000000005</v>
      </c>
      <c r="D100" s="22">
        <v>82454.635999999999</v>
      </c>
    </row>
    <row r="101" spans="1:4" x14ac:dyDescent="0.25">
      <c r="A101" s="3" t="s">
        <v>26</v>
      </c>
      <c r="B101" s="4" t="s">
        <v>3</v>
      </c>
      <c r="C101" s="17">
        <v>96919.971000000005</v>
      </c>
      <c r="D101" s="23">
        <v>83624.960000000006</v>
      </c>
    </row>
    <row r="102" spans="1:4" x14ac:dyDescent="0.25">
      <c r="A102" s="3" t="s">
        <v>26</v>
      </c>
      <c r="B102" s="4" t="s">
        <v>4</v>
      </c>
      <c r="C102" s="17">
        <v>96919.971000000005</v>
      </c>
      <c r="D102" s="23">
        <v>87834.763999999996</v>
      </c>
    </row>
    <row r="103" spans="1:4" x14ac:dyDescent="0.25">
      <c r="A103" s="3" t="s">
        <v>26</v>
      </c>
      <c r="B103" s="4" t="s">
        <v>5</v>
      </c>
      <c r="C103" s="17">
        <v>85559.187999999995</v>
      </c>
      <c r="D103" s="23">
        <v>80399.099000000002</v>
      </c>
    </row>
    <row r="104" spans="1:4" x14ac:dyDescent="0.25">
      <c r="A104" s="3" t="s">
        <v>26</v>
      </c>
      <c r="B104" s="4" t="s">
        <v>6</v>
      </c>
      <c r="C104" s="17">
        <v>85911.83</v>
      </c>
      <c r="D104" s="23">
        <v>73784.83</v>
      </c>
    </row>
    <row r="105" spans="1:4" x14ac:dyDescent="0.25">
      <c r="A105" s="3" t="s">
        <v>26</v>
      </c>
      <c r="B105" s="4" t="s">
        <v>7</v>
      </c>
      <c r="C105" s="17">
        <v>86083.888000000006</v>
      </c>
      <c r="D105" s="23">
        <v>75584.351999999999</v>
      </c>
    </row>
    <row r="106" spans="1:4" x14ac:dyDescent="0.25">
      <c r="A106" s="3" t="s">
        <v>26</v>
      </c>
      <c r="B106" s="4" t="s">
        <v>8</v>
      </c>
      <c r="C106" s="17">
        <v>86427.827999999994</v>
      </c>
      <c r="D106" s="23">
        <v>74187.035999999993</v>
      </c>
    </row>
    <row r="107" spans="1:4" x14ac:dyDescent="0.25">
      <c r="A107" s="3" t="s">
        <v>26</v>
      </c>
      <c r="B107" s="4" t="s">
        <v>9</v>
      </c>
      <c r="C107" s="17">
        <v>88975.192999999999</v>
      </c>
      <c r="D107" s="23">
        <v>69316.47</v>
      </c>
    </row>
    <row r="108" spans="1:4" x14ac:dyDescent="0.25">
      <c r="A108" s="3" t="s">
        <v>26</v>
      </c>
      <c r="B108" s="4" t="s">
        <v>10</v>
      </c>
      <c r="C108" s="17">
        <v>49418.690999999999</v>
      </c>
      <c r="D108" s="23">
        <v>67713.644</v>
      </c>
    </row>
    <row r="109" spans="1:4" x14ac:dyDescent="0.25">
      <c r="A109" s="3" t="s">
        <v>26</v>
      </c>
      <c r="B109" s="4" t="s">
        <v>11</v>
      </c>
      <c r="C109" s="17">
        <v>34736.690999999999</v>
      </c>
      <c r="D109" s="23"/>
    </row>
    <row r="110" spans="1:4" x14ac:dyDescent="0.25">
      <c r="A110" s="3" t="s">
        <v>26</v>
      </c>
      <c r="B110" s="4" t="s">
        <v>12</v>
      </c>
      <c r="C110" s="17">
        <v>39713.118956358303</v>
      </c>
      <c r="D110" s="23"/>
    </row>
    <row r="111" spans="1:4" x14ac:dyDescent="0.25">
      <c r="A111" s="3" t="s">
        <v>26</v>
      </c>
      <c r="B111" s="4" t="s">
        <v>13</v>
      </c>
      <c r="C111" s="17">
        <v>47485.946988080403</v>
      </c>
      <c r="D111" s="23"/>
    </row>
    <row r="112" spans="1:4" x14ac:dyDescent="0.25">
      <c r="A112" s="3" t="s">
        <v>26</v>
      </c>
      <c r="B112" s="4" t="s">
        <v>14</v>
      </c>
      <c r="C112" s="17">
        <v>59755.402691505697</v>
      </c>
      <c r="D112" s="23"/>
    </row>
    <row r="113" spans="1:4" x14ac:dyDescent="0.25">
      <c r="A113" s="3" t="s">
        <v>26</v>
      </c>
      <c r="B113" s="4" t="s">
        <v>15</v>
      </c>
      <c r="C113" s="17">
        <v>62938.762113423501</v>
      </c>
      <c r="D113" s="23"/>
    </row>
    <row r="114" spans="1:4" x14ac:dyDescent="0.25">
      <c r="A114" s="3" t="s">
        <v>26</v>
      </c>
      <c r="B114" s="4" t="s">
        <v>16</v>
      </c>
      <c r="C114" s="17">
        <v>79700.932798834197</v>
      </c>
      <c r="D114" s="23"/>
    </row>
    <row r="115" spans="1:4" x14ac:dyDescent="0.25">
      <c r="A115" s="3" t="s">
        <v>26</v>
      </c>
      <c r="B115" s="4" t="s">
        <v>17</v>
      </c>
      <c r="C115" s="17">
        <v>96452.546763061298</v>
      </c>
      <c r="D115" s="23"/>
    </row>
    <row r="116" spans="1:4" x14ac:dyDescent="0.25">
      <c r="A116" s="3" t="s">
        <v>26</v>
      </c>
      <c r="B116" s="4" t="s">
        <v>18</v>
      </c>
      <c r="C116" s="17">
        <v>290759.913</v>
      </c>
      <c r="D116" s="23">
        <v>253914.36</v>
      </c>
    </row>
    <row r="117" spans="1:4" x14ac:dyDescent="0.25">
      <c r="A117" s="3" t="s">
        <v>26</v>
      </c>
      <c r="B117" s="4" t="s">
        <v>19</v>
      </c>
      <c r="C117" s="17">
        <v>432957.92700000003</v>
      </c>
      <c r="D117" s="23">
        <v>373271.78700000001</v>
      </c>
    </row>
    <row r="118" spans="1:4" ht="15.75" thickBot="1" x14ac:dyDescent="0.3">
      <c r="A118" s="5" t="s">
        <v>26</v>
      </c>
      <c r="B118" s="6" t="s">
        <v>20</v>
      </c>
      <c r="C118" s="18">
        <v>470202.09231126303</v>
      </c>
      <c r="D118" s="24">
        <v>67713.644</v>
      </c>
    </row>
    <row r="119" spans="1:4" x14ac:dyDescent="0.25">
      <c r="A119" s="7" t="s">
        <v>27</v>
      </c>
      <c r="B119" s="8" t="s">
        <v>2</v>
      </c>
      <c r="C119" s="13">
        <v>37303.72</v>
      </c>
      <c r="D119" s="25">
        <v>26475.718000000001</v>
      </c>
    </row>
    <row r="120" spans="1:4" x14ac:dyDescent="0.25">
      <c r="A120" s="9" t="s">
        <v>27</v>
      </c>
      <c r="B120" s="10" t="s">
        <v>3</v>
      </c>
      <c r="C120" s="14">
        <v>32279.319</v>
      </c>
      <c r="D120" s="20">
        <v>34199.588000000003</v>
      </c>
    </row>
    <row r="121" spans="1:4" x14ac:dyDescent="0.25">
      <c r="A121" s="9" t="s">
        <v>27</v>
      </c>
      <c r="B121" s="10" t="s">
        <v>4</v>
      </c>
      <c r="C121" s="14">
        <v>27902.895</v>
      </c>
      <c r="D121" s="20">
        <v>29407.401000000002</v>
      </c>
    </row>
    <row r="122" spans="1:4" x14ac:dyDescent="0.25">
      <c r="A122" s="9" t="s">
        <v>27</v>
      </c>
      <c r="B122" s="10" t="s">
        <v>5</v>
      </c>
      <c r="C122" s="14">
        <v>23983.428</v>
      </c>
      <c r="D122" s="20">
        <v>26548.562999999998</v>
      </c>
    </row>
    <row r="123" spans="1:4" x14ac:dyDescent="0.25">
      <c r="A123" s="9" t="s">
        <v>27</v>
      </c>
      <c r="B123" s="10" t="s">
        <v>6</v>
      </c>
      <c r="C123" s="14">
        <v>23912.313999999998</v>
      </c>
      <c r="D123" s="20">
        <v>25461.124</v>
      </c>
    </row>
    <row r="124" spans="1:4" x14ac:dyDescent="0.25">
      <c r="A124" s="9" t="s">
        <v>27</v>
      </c>
      <c r="B124" s="10" t="s">
        <v>7</v>
      </c>
      <c r="C124" s="14">
        <v>23906.256000000001</v>
      </c>
      <c r="D124" s="20">
        <v>25266.362000000001</v>
      </c>
    </row>
    <row r="125" spans="1:4" x14ac:dyDescent="0.25">
      <c r="A125" s="9" t="s">
        <v>27</v>
      </c>
      <c r="B125" s="10" t="s">
        <v>8</v>
      </c>
      <c r="C125" s="14">
        <v>23908.972000000002</v>
      </c>
      <c r="D125" s="20">
        <v>21465.657999999999</v>
      </c>
    </row>
    <row r="126" spans="1:4" x14ac:dyDescent="0.25">
      <c r="A126" s="9" t="s">
        <v>27</v>
      </c>
      <c r="B126" s="10" t="s">
        <v>9</v>
      </c>
      <c r="C126" s="14">
        <v>26927.918000000001</v>
      </c>
      <c r="D126" s="20">
        <v>18185.55</v>
      </c>
    </row>
    <row r="127" spans="1:4" x14ac:dyDescent="0.25">
      <c r="A127" s="9" t="s">
        <v>27</v>
      </c>
      <c r="B127" s="10" t="s">
        <v>10</v>
      </c>
      <c r="C127" s="14">
        <v>26387.078000000001</v>
      </c>
      <c r="D127" s="20">
        <v>21601.954000000002</v>
      </c>
    </row>
    <row r="128" spans="1:4" x14ac:dyDescent="0.25">
      <c r="A128" s="9" t="s">
        <v>27</v>
      </c>
      <c r="B128" s="10" t="s">
        <v>11</v>
      </c>
      <c r="C128" s="14">
        <v>20141.578000000001</v>
      </c>
      <c r="D128" s="20"/>
    </row>
    <row r="129" spans="1:4" x14ac:dyDescent="0.25">
      <c r="A129" s="9" t="s">
        <v>27</v>
      </c>
      <c r="B129" s="10" t="s">
        <v>12</v>
      </c>
      <c r="C129" s="14">
        <v>21173.740100210802</v>
      </c>
      <c r="D129" s="20"/>
    </row>
    <row r="130" spans="1:4" x14ac:dyDescent="0.25">
      <c r="A130" s="9" t="s">
        <v>27</v>
      </c>
      <c r="B130" s="10" t="s">
        <v>13</v>
      </c>
      <c r="C130" s="14">
        <v>22222.989285462401</v>
      </c>
      <c r="D130" s="20"/>
    </row>
    <row r="131" spans="1:4" x14ac:dyDescent="0.25">
      <c r="A131" s="9" t="s">
        <v>27</v>
      </c>
      <c r="B131" s="10" t="s">
        <v>14</v>
      </c>
      <c r="C131" s="14">
        <v>24473.504853803501</v>
      </c>
      <c r="D131" s="20"/>
    </row>
    <row r="132" spans="1:4" x14ac:dyDescent="0.25">
      <c r="A132" s="9" t="s">
        <v>27</v>
      </c>
      <c r="B132" s="10" t="s">
        <v>15</v>
      </c>
      <c r="C132" s="14">
        <v>24296.685085655801</v>
      </c>
      <c r="D132" s="20"/>
    </row>
    <row r="133" spans="1:4" x14ac:dyDescent="0.25">
      <c r="A133" s="9" t="s">
        <v>27</v>
      </c>
      <c r="B133" s="10" t="s">
        <v>16</v>
      </c>
      <c r="C133" s="14">
        <v>27747.4223027921</v>
      </c>
      <c r="D133" s="20"/>
    </row>
    <row r="134" spans="1:4" x14ac:dyDescent="0.25">
      <c r="A134" s="9" t="s">
        <v>27</v>
      </c>
      <c r="B134" s="10" t="s">
        <v>17</v>
      </c>
      <c r="C134" s="14">
        <v>31195.3393093128</v>
      </c>
      <c r="D134" s="20"/>
    </row>
    <row r="135" spans="1:4" x14ac:dyDescent="0.25">
      <c r="A135" s="9" t="s">
        <v>27</v>
      </c>
      <c r="B135" s="10" t="s">
        <v>18</v>
      </c>
      <c r="C135" s="14">
        <v>97485.933999999994</v>
      </c>
      <c r="D135" s="20">
        <v>90082.706999999995</v>
      </c>
    </row>
    <row r="136" spans="1:4" x14ac:dyDescent="0.25">
      <c r="A136" s="9" t="s">
        <v>27</v>
      </c>
      <c r="B136" s="10" t="s">
        <v>19</v>
      </c>
      <c r="C136" s="14">
        <v>122638.88800000001</v>
      </c>
      <c r="D136" s="20">
        <v>116927.257</v>
      </c>
    </row>
    <row r="137" spans="1:4" ht="15.75" thickBot="1" x14ac:dyDescent="0.3">
      <c r="A137" s="11" t="s">
        <v>27</v>
      </c>
      <c r="B137" s="12" t="s">
        <v>20</v>
      </c>
      <c r="C137" s="15">
        <v>197638.33693723701</v>
      </c>
      <c r="D137" s="21">
        <v>21601.954000000002</v>
      </c>
    </row>
    <row r="138" spans="1:4" x14ac:dyDescent="0.25">
      <c r="A138" s="1" t="s">
        <v>28</v>
      </c>
      <c r="B138" s="2" t="s">
        <v>2</v>
      </c>
      <c r="C138" s="16">
        <v>16747.054</v>
      </c>
      <c r="D138" s="22">
        <v>12621.824000000001</v>
      </c>
    </row>
    <row r="139" spans="1:4" x14ac:dyDescent="0.25">
      <c r="A139" s="3" t="s">
        <v>28</v>
      </c>
      <c r="B139" s="4" t="s">
        <v>3</v>
      </c>
      <c r="C139" s="17">
        <v>18199.833999999999</v>
      </c>
      <c r="D139" s="23">
        <v>12104.433000000001</v>
      </c>
    </row>
    <row r="140" spans="1:4" x14ac:dyDescent="0.25">
      <c r="A140" s="3" t="s">
        <v>28</v>
      </c>
      <c r="B140" s="4" t="s">
        <v>4</v>
      </c>
      <c r="C140" s="17">
        <v>21343.525000000001</v>
      </c>
      <c r="D140" s="23">
        <v>15329.933999999999</v>
      </c>
    </row>
    <row r="141" spans="1:4" x14ac:dyDescent="0.25">
      <c r="A141" s="3" t="s">
        <v>28</v>
      </c>
      <c r="B141" s="4" t="s">
        <v>5</v>
      </c>
      <c r="C141" s="17">
        <v>11678.257</v>
      </c>
      <c r="D141" s="23">
        <v>13540.891</v>
      </c>
    </row>
    <row r="142" spans="1:4" x14ac:dyDescent="0.25">
      <c r="A142" s="3" t="s">
        <v>28</v>
      </c>
      <c r="B142" s="4" t="s">
        <v>6</v>
      </c>
      <c r="C142" s="17">
        <v>11855.527</v>
      </c>
      <c r="D142" s="23">
        <v>10378.346</v>
      </c>
    </row>
    <row r="143" spans="1:4" x14ac:dyDescent="0.25">
      <c r="A143" s="3" t="s">
        <v>28</v>
      </c>
      <c r="B143" s="4" t="s">
        <v>7</v>
      </c>
      <c r="C143" s="17">
        <v>11855.527</v>
      </c>
      <c r="D143" s="23">
        <v>14514.39</v>
      </c>
    </row>
    <row r="144" spans="1:4" x14ac:dyDescent="0.25">
      <c r="A144" s="3" t="s">
        <v>28</v>
      </c>
      <c r="B144" s="4" t="s">
        <v>8</v>
      </c>
      <c r="C144" s="17">
        <v>15948.312</v>
      </c>
      <c r="D144" s="23">
        <v>14809.460999999999</v>
      </c>
    </row>
    <row r="145" spans="1:4" x14ac:dyDescent="0.25">
      <c r="A145" s="3" t="s">
        <v>28</v>
      </c>
      <c r="B145" s="4" t="s">
        <v>9</v>
      </c>
      <c r="C145" s="17">
        <v>14242.906999999999</v>
      </c>
      <c r="D145" s="23">
        <v>13543.879000000001</v>
      </c>
    </row>
    <row r="146" spans="1:4" x14ac:dyDescent="0.25">
      <c r="A146" s="3" t="s">
        <v>28</v>
      </c>
      <c r="B146" s="4" t="s">
        <v>10</v>
      </c>
      <c r="C146" s="17">
        <v>8257.6640000000007</v>
      </c>
      <c r="D146" s="23">
        <v>15922.531000000001</v>
      </c>
    </row>
    <row r="147" spans="1:4" x14ac:dyDescent="0.25">
      <c r="A147" s="3" t="s">
        <v>28</v>
      </c>
      <c r="B147" s="4" t="s">
        <v>11</v>
      </c>
      <c r="C147" s="17">
        <v>4343.1639999999998</v>
      </c>
      <c r="D147" s="23"/>
    </row>
    <row r="148" spans="1:4" x14ac:dyDescent="0.25">
      <c r="A148" s="3" t="s">
        <v>28</v>
      </c>
      <c r="B148" s="4" t="s">
        <v>12</v>
      </c>
      <c r="C148" s="17">
        <v>5854.2527402655696</v>
      </c>
      <c r="D148" s="23"/>
    </row>
    <row r="149" spans="1:4" x14ac:dyDescent="0.25">
      <c r="A149" s="3" t="s">
        <v>28</v>
      </c>
      <c r="B149" s="4" t="s">
        <v>13</v>
      </c>
      <c r="C149" s="17">
        <v>7372.9022484165598</v>
      </c>
      <c r="D149" s="23"/>
    </row>
    <row r="150" spans="1:4" x14ac:dyDescent="0.25">
      <c r="A150" s="3" t="s">
        <v>28</v>
      </c>
      <c r="B150" s="4" t="s">
        <v>14</v>
      </c>
      <c r="C150" s="17">
        <v>9765.2161380070102</v>
      </c>
      <c r="D150" s="23"/>
    </row>
    <row r="151" spans="1:4" x14ac:dyDescent="0.25">
      <c r="A151" s="3" t="s">
        <v>28</v>
      </c>
      <c r="B151" s="4" t="s">
        <v>15</v>
      </c>
      <c r="C151" s="17">
        <v>10392.1647199376</v>
      </c>
      <c r="D151" s="23"/>
    </row>
    <row r="152" spans="1:4" x14ac:dyDescent="0.25">
      <c r="A152" s="3" t="s">
        <v>28</v>
      </c>
      <c r="B152" s="4" t="s">
        <v>16</v>
      </c>
      <c r="C152" s="17">
        <v>13657.381171073201</v>
      </c>
      <c r="D152" s="23"/>
    </row>
    <row r="153" spans="1:4" x14ac:dyDescent="0.25">
      <c r="A153" s="3" t="s">
        <v>28</v>
      </c>
      <c r="B153" s="4" t="s">
        <v>17</v>
      </c>
      <c r="C153" s="17">
        <v>16920.547524485999</v>
      </c>
      <c r="D153" s="23"/>
    </row>
    <row r="154" spans="1:4" x14ac:dyDescent="0.25">
      <c r="A154" s="3" t="s">
        <v>28</v>
      </c>
      <c r="B154" s="4" t="s">
        <v>18</v>
      </c>
      <c r="C154" s="17">
        <v>56290.413</v>
      </c>
      <c r="D154" s="23">
        <v>40056.190999999999</v>
      </c>
    </row>
    <row r="155" spans="1:4" x14ac:dyDescent="0.25">
      <c r="A155" s="3" t="s">
        <v>28</v>
      </c>
      <c r="B155" s="4" t="s">
        <v>19</v>
      </c>
      <c r="C155" s="17">
        <v>65580.53</v>
      </c>
      <c r="D155" s="23">
        <v>66786.967000000004</v>
      </c>
    </row>
    <row r="156" spans="1:4" ht="15.75" thickBot="1" x14ac:dyDescent="0.3">
      <c r="A156" s="5" t="s">
        <v>28</v>
      </c>
      <c r="B156" s="6" t="s">
        <v>20</v>
      </c>
      <c r="C156" s="18">
        <v>76563.292542185896</v>
      </c>
      <c r="D156" s="24">
        <v>15922.531000000001</v>
      </c>
    </row>
    <row r="157" spans="1:4" x14ac:dyDescent="0.25">
      <c r="A157" s="7" t="s">
        <v>29</v>
      </c>
      <c r="B157" s="8" t="s">
        <v>2</v>
      </c>
      <c r="C157" s="13">
        <v>44665.565999999999</v>
      </c>
      <c r="D157" s="25">
        <v>33099.660000000003</v>
      </c>
    </row>
    <row r="158" spans="1:4" x14ac:dyDescent="0.25">
      <c r="A158" s="9" t="s">
        <v>29</v>
      </c>
      <c r="B158" s="10" t="s">
        <v>3</v>
      </c>
      <c r="C158" s="14">
        <v>44617.968999999997</v>
      </c>
      <c r="D158" s="20">
        <v>44621.453000000001</v>
      </c>
    </row>
    <row r="159" spans="1:4" x14ac:dyDescent="0.25">
      <c r="A159" s="9" t="s">
        <v>29</v>
      </c>
      <c r="B159" s="10" t="s">
        <v>4</v>
      </c>
      <c r="C159" s="14">
        <v>44620.370999999999</v>
      </c>
      <c r="D159" s="20">
        <v>42541.353000000003</v>
      </c>
    </row>
    <row r="160" spans="1:4" x14ac:dyDescent="0.25">
      <c r="A160" s="9" t="s">
        <v>29</v>
      </c>
      <c r="B160" s="10" t="s">
        <v>5</v>
      </c>
      <c r="C160" s="14">
        <v>36530.616000000002</v>
      </c>
      <c r="D160" s="20">
        <v>36163.675000000003</v>
      </c>
    </row>
    <row r="161" spans="1:4" x14ac:dyDescent="0.25">
      <c r="A161" s="9" t="s">
        <v>29</v>
      </c>
      <c r="B161" s="10" t="s">
        <v>6</v>
      </c>
      <c r="C161" s="14">
        <v>37068.088000000003</v>
      </c>
      <c r="D161" s="20">
        <v>34354.480000000003</v>
      </c>
    </row>
    <row r="162" spans="1:4" x14ac:dyDescent="0.25">
      <c r="A162" s="9" t="s">
        <v>29</v>
      </c>
      <c r="B162" s="10" t="s">
        <v>7</v>
      </c>
      <c r="C162" s="14">
        <v>37921.894999999997</v>
      </c>
      <c r="D162" s="20">
        <v>41297.987999999998</v>
      </c>
    </row>
    <row r="163" spans="1:4" x14ac:dyDescent="0.25">
      <c r="A163" s="9" t="s">
        <v>29</v>
      </c>
      <c r="B163" s="10" t="s">
        <v>8</v>
      </c>
      <c r="C163" s="14">
        <v>37992.387999999999</v>
      </c>
      <c r="D163" s="20">
        <v>35083.373</v>
      </c>
    </row>
    <row r="164" spans="1:4" x14ac:dyDescent="0.25">
      <c r="A164" s="9" t="s">
        <v>29</v>
      </c>
      <c r="B164" s="10" t="s">
        <v>9</v>
      </c>
      <c r="C164" s="14">
        <v>38169.199000000001</v>
      </c>
      <c r="D164" s="20">
        <v>29497.919999999998</v>
      </c>
    </row>
    <row r="165" spans="1:4" x14ac:dyDescent="0.25">
      <c r="A165" s="9" t="s">
        <v>29</v>
      </c>
      <c r="B165" s="10" t="s">
        <v>10</v>
      </c>
      <c r="C165" s="14">
        <v>39776.283000000003</v>
      </c>
      <c r="D165" s="20">
        <v>31496.742999999999</v>
      </c>
    </row>
    <row r="166" spans="1:4" x14ac:dyDescent="0.25">
      <c r="A166" s="9" t="s">
        <v>29</v>
      </c>
      <c r="B166" s="10" t="s">
        <v>11</v>
      </c>
      <c r="C166" s="14">
        <v>33182.783000000003</v>
      </c>
      <c r="D166" s="20"/>
    </row>
    <row r="167" spans="1:4" x14ac:dyDescent="0.25">
      <c r="A167" s="9" t="s">
        <v>29</v>
      </c>
      <c r="B167" s="10" t="s">
        <v>12</v>
      </c>
      <c r="C167" s="14">
        <v>34560.513141081399</v>
      </c>
      <c r="D167" s="20"/>
    </row>
    <row r="168" spans="1:4" x14ac:dyDescent="0.25">
      <c r="A168" s="9" t="s">
        <v>29</v>
      </c>
      <c r="B168" s="10" t="s">
        <v>13</v>
      </c>
      <c r="C168" s="14">
        <v>35961.2851842772</v>
      </c>
      <c r="D168" s="20"/>
    </row>
    <row r="169" spans="1:4" x14ac:dyDescent="0.25">
      <c r="A169" s="9" t="s">
        <v>29</v>
      </c>
      <c r="B169" s="10" t="s">
        <v>14</v>
      </c>
      <c r="C169" s="14">
        <v>38965.775762131001</v>
      </c>
      <c r="D169" s="20"/>
    </row>
    <row r="170" spans="1:4" x14ac:dyDescent="0.25">
      <c r="A170" s="9" t="s">
        <v>29</v>
      </c>
      <c r="B170" s="10" t="s">
        <v>15</v>
      </c>
      <c r="C170" s="14">
        <v>38729.717262980303</v>
      </c>
      <c r="D170" s="20"/>
    </row>
    <row r="171" spans="1:4" x14ac:dyDescent="0.25">
      <c r="A171" s="9" t="s">
        <v>29</v>
      </c>
      <c r="B171" s="10" t="s">
        <v>16</v>
      </c>
      <c r="C171" s="14">
        <v>43336.531630933197</v>
      </c>
      <c r="D171" s="20"/>
    </row>
    <row r="172" spans="1:4" x14ac:dyDescent="0.25">
      <c r="A172" s="9" t="s">
        <v>29</v>
      </c>
      <c r="B172" s="10" t="s">
        <v>17</v>
      </c>
      <c r="C172" s="14">
        <v>47939.580952182499</v>
      </c>
      <c r="D172" s="20"/>
    </row>
    <row r="173" spans="1:4" x14ac:dyDescent="0.25">
      <c r="A173" s="9" t="s">
        <v>29</v>
      </c>
      <c r="B173" s="10" t="s">
        <v>18</v>
      </c>
      <c r="C173" s="14">
        <v>133903.90599999999</v>
      </c>
      <c r="D173" s="20">
        <v>120262.466</v>
      </c>
    </row>
    <row r="174" spans="1:4" x14ac:dyDescent="0.25">
      <c r="A174" s="9" t="s">
        <v>29</v>
      </c>
      <c r="B174" s="10" t="s">
        <v>19</v>
      </c>
      <c r="C174" s="14">
        <v>187682.18599999999</v>
      </c>
      <c r="D174" s="20">
        <v>176397.43599999999</v>
      </c>
    </row>
    <row r="175" spans="1:4" ht="15.75" thickBot="1" x14ac:dyDescent="0.3">
      <c r="A175" s="11" t="s">
        <v>29</v>
      </c>
      <c r="B175" s="12" t="s">
        <v>20</v>
      </c>
      <c r="C175" s="15">
        <v>312452.46993358602</v>
      </c>
      <c r="D175" s="21">
        <v>31496.742999999999</v>
      </c>
    </row>
    <row r="176" spans="1:4" x14ac:dyDescent="0.25">
      <c r="A176" s="1" t="s">
        <v>30</v>
      </c>
      <c r="B176" s="2" t="s">
        <v>2</v>
      </c>
      <c r="C176" s="16">
        <v>150412.09</v>
      </c>
      <c r="D176" s="22">
        <v>131263.79399999999</v>
      </c>
    </row>
    <row r="177" spans="1:4" x14ac:dyDescent="0.25">
      <c r="A177" s="3" t="s">
        <v>30</v>
      </c>
      <c r="B177" s="4" t="s">
        <v>3</v>
      </c>
      <c r="C177" s="17">
        <v>149966.891</v>
      </c>
      <c r="D177" s="23">
        <v>126979.057</v>
      </c>
    </row>
    <row r="178" spans="1:4" x14ac:dyDescent="0.25">
      <c r="A178" s="3" t="s">
        <v>30</v>
      </c>
      <c r="B178" s="4" t="s">
        <v>4</v>
      </c>
      <c r="C178" s="17">
        <v>149775.97</v>
      </c>
      <c r="D178" s="23">
        <v>126634.815</v>
      </c>
    </row>
    <row r="179" spans="1:4" x14ac:dyDescent="0.25">
      <c r="A179" s="3" t="s">
        <v>30</v>
      </c>
      <c r="B179" s="4" t="s">
        <v>5</v>
      </c>
      <c r="C179" s="17">
        <v>129568.04399999999</v>
      </c>
      <c r="D179" s="23">
        <v>124129.806</v>
      </c>
    </row>
    <row r="180" spans="1:4" x14ac:dyDescent="0.25">
      <c r="A180" s="3" t="s">
        <v>30</v>
      </c>
      <c r="B180" s="4" t="s">
        <v>6</v>
      </c>
      <c r="C180" s="17">
        <v>128565.76300000001</v>
      </c>
      <c r="D180" s="23">
        <v>111092.554</v>
      </c>
    </row>
    <row r="181" spans="1:4" x14ac:dyDescent="0.25">
      <c r="A181" s="3" t="s">
        <v>30</v>
      </c>
      <c r="B181" s="4" t="s">
        <v>7</v>
      </c>
      <c r="C181" s="17">
        <v>138643.86799999999</v>
      </c>
      <c r="D181" s="23">
        <v>115570.78</v>
      </c>
    </row>
    <row r="182" spans="1:4" x14ac:dyDescent="0.25">
      <c r="A182" s="3" t="s">
        <v>30</v>
      </c>
      <c r="B182" s="4" t="s">
        <v>8</v>
      </c>
      <c r="C182" s="17">
        <v>139484.16800000001</v>
      </c>
      <c r="D182" s="23">
        <v>105582.769</v>
      </c>
    </row>
    <row r="183" spans="1:4" x14ac:dyDescent="0.25">
      <c r="A183" s="3" t="s">
        <v>30</v>
      </c>
      <c r="B183" s="4" t="s">
        <v>9</v>
      </c>
      <c r="C183" s="17">
        <v>139947.60200000001</v>
      </c>
      <c r="D183" s="23">
        <v>103660.84</v>
      </c>
    </row>
    <row r="184" spans="1:4" x14ac:dyDescent="0.25">
      <c r="A184" s="3" t="s">
        <v>30</v>
      </c>
      <c r="B184" s="4" t="s">
        <v>10</v>
      </c>
      <c r="C184" s="17">
        <v>139804.07199999999</v>
      </c>
      <c r="D184" s="23">
        <v>102651.61900000001</v>
      </c>
    </row>
    <row r="185" spans="1:4" x14ac:dyDescent="0.25">
      <c r="A185" s="3" t="s">
        <v>30</v>
      </c>
      <c r="B185" s="4" t="s">
        <v>11</v>
      </c>
      <c r="C185" s="17">
        <v>118213.572</v>
      </c>
      <c r="D185" s="23"/>
    </row>
    <row r="186" spans="1:4" x14ac:dyDescent="0.25">
      <c r="A186" s="3" t="s">
        <v>30</v>
      </c>
      <c r="B186" s="4" t="s">
        <v>12</v>
      </c>
      <c r="C186" s="17">
        <v>122724.96281692</v>
      </c>
      <c r="D186" s="23"/>
    </row>
    <row r="187" spans="1:4" x14ac:dyDescent="0.25">
      <c r="A187" s="3" t="s">
        <v>30</v>
      </c>
      <c r="B187" s="4" t="s">
        <v>13</v>
      </c>
      <c r="C187" s="17">
        <v>127311.696960236</v>
      </c>
      <c r="D187" s="23"/>
    </row>
    <row r="188" spans="1:4" x14ac:dyDescent="0.25">
      <c r="A188" s="3" t="s">
        <v>30</v>
      </c>
      <c r="B188" s="4" t="s">
        <v>14</v>
      </c>
      <c r="C188" s="17">
        <v>137149.699926995</v>
      </c>
      <c r="D188" s="23"/>
    </row>
    <row r="189" spans="1:4" x14ac:dyDescent="0.25">
      <c r="A189" s="3" t="s">
        <v>30</v>
      </c>
      <c r="B189" s="4" t="s">
        <v>15</v>
      </c>
      <c r="C189" s="17">
        <v>136376.742197624</v>
      </c>
      <c r="D189" s="23"/>
    </row>
    <row r="190" spans="1:4" x14ac:dyDescent="0.25">
      <c r="A190" s="3" t="s">
        <v>30</v>
      </c>
      <c r="B190" s="4" t="s">
        <v>16</v>
      </c>
      <c r="C190" s="17">
        <v>151461.446990275</v>
      </c>
      <c r="D190" s="23"/>
    </row>
    <row r="191" spans="1:4" x14ac:dyDescent="0.25">
      <c r="A191" s="3" t="s">
        <v>30</v>
      </c>
      <c r="B191" s="4" t="s">
        <v>17</v>
      </c>
      <c r="C191" s="17">
        <v>166533.82338991601</v>
      </c>
      <c r="D191" s="23"/>
    </row>
    <row r="192" spans="1:4" x14ac:dyDescent="0.25">
      <c r="A192" s="3" t="s">
        <v>30</v>
      </c>
      <c r="B192" s="4" t="s">
        <v>18</v>
      </c>
      <c r="C192" s="17">
        <v>450154.951</v>
      </c>
      <c r="D192" s="23">
        <v>384877.66600000003</v>
      </c>
    </row>
    <row r="193" spans="1:4" x14ac:dyDescent="0.25">
      <c r="A193" s="3" t="s">
        <v>30</v>
      </c>
      <c r="B193" s="4" t="s">
        <v>19</v>
      </c>
      <c r="C193" s="17">
        <v>676209.44499999995</v>
      </c>
      <c r="D193" s="23">
        <v>560036.74899999995</v>
      </c>
    </row>
    <row r="194" spans="1:4" ht="15.75" thickBot="1" x14ac:dyDescent="0.3">
      <c r="A194" s="5" t="s">
        <v>30</v>
      </c>
      <c r="B194" s="6" t="s">
        <v>20</v>
      </c>
      <c r="C194" s="18">
        <v>1099576.0162819701</v>
      </c>
      <c r="D194" s="24">
        <v>102651.61900000001</v>
      </c>
    </row>
    <row r="195" spans="1:4" x14ac:dyDescent="0.25">
      <c r="A195" s="7" t="s">
        <v>31</v>
      </c>
      <c r="B195" s="8" t="s">
        <v>2</v>
      </c>
      <c r="C195" s="13">
        <v>493482.29499999998</v>
      </c>
      <c r="D195" s="25">
        <v>475051.53499999997</v>
      </c>
    </row>
    <row r="196" spans="1:4" x14ac:dyDescent="0.25">
      <c r="A196" s="9" t="s">
        <v>31</v>
      </c>
      <c r="B196" s="10" t="s">
        <v>3</v>
      </c>
      <c r="C196" s="14">
        <v>495488.26299999998</v>
      </c>
      <c r="D196" s="20">
        <v>478074.86800000002</v>
      </c>
    </row>
    <row r="197" spans="1:4" x14ac:dyDescent="0.25">
      <c r="A197" s="9" t="s">
        <v>31</v>
      </c>
      <c r="B197" s="10" t="s">
        <v>4</v>
      </c>
      <c r="C197" s="14">
        <v>497302.47899999999</v>
      </c>
      <c r="D197" s="20">
        <v>487148.43199999997</v>
      </c>
    </row>
    <row r="198" spans="1:4" x14ac:dyDescent="0.25">
      <c r="A198" s="9" t="s">
        <v>31</v>
      </c>
      <c r="B198" s="10" t="s">
        <v>5</v>
      </c>
      <c r="C198" s="14">
        <v>437889.38099999999</v>
      </c>
      <c r="D198" s="20">
        <v>472853.53399999999</v>
      </c>
    </row>
    <row r="199" spans="1:4" x14ac:dyDescent="0.25">
      <c r="A199" s="9" t="s">
        <v>31</v>
      </c>
      <c r="B199" s="10" t="s">
        <v>6</v>
      </c>
      <c r="C199" s="14">
        <v>432839.62400000001</v>
      </c>
      <c r="D199" s="20">
        <v>428294.50199999998</v>
      </c>
    </row>
    <row r="200" spans="1:4" x14ac:dyDescent="0.25">
      <c r="A200" s="9" t="s">
        <v>31</v>
      </c>
      <c r="B200" s="10" t="s">
        <v>7</v>
      </c>
      <c r="C200" s="14">
        <v>441635.88199999998</v>
      </c>
      <c r="D200" s="20">
        <v>454864.59899999999</v>
      </c>
    </row>
    <row r="201" spans="1:4" x14ac:dyDescent="0.25">
      <c r="A201" s="9" t="s">
        <v>31</v>
      </c>
      <c r="B201" s="10" t="s">
        <v>8</v>
      </c>
      <c r="C201" s="14">
        <v>441448.658</v>
      </c>
      <c r="D201" s="20">
        <v>450333.239</v>
      </c>
    </row>
    <row r="202" spans="1:4" x14ac:dyDescent="0.25">
      <c r="A202" s="9" t="s">
        <v>31</v>
      </c>
      <c r="B202" s="10" t="s">
        <v>9</v>
      </c>
      <c r="C202" s="14">
        <v>472606.87199999997</v>
      </c>
      <c r="D202" s="20">
        <v>452585.88</v>
      </c>
    </row>
    <row r="203" spans="1:4" x14ac:dyDescent="0.25">
      <c r="A203" s="9" t="s">
        <v>31</v>
      </c>
      <c r="B203" s="10" t="s">
        <v>10</v>
      </c>
      <c r="C203" s="14">
        <v>374675.87099999998</v>
      </c>
      <c r="D203" s="20">
        <v>480936.56</v>
      </c>
    </row>
    <row r="204" spans="1:4" x14ac:dyDescent="0.25">
      <c r="A204" s="9" t="s">
        <v>31</v>
      </c>
      <c r="B204" s="10" t="s">
        <v>11</v>
      </c>
      <c r="C204" s="14">
        <v>295711.87099999998</v>
      </c>
      <c r="D204" s="20"/>
    </row>
    <row r="205" spans="1:4" x14ac:dyDescent="0.25">
      <c r="A205" s="9" t="s">
        <v>31</v>
      </c>
      <c r="B205" s="10" t="s">
        <v>12</v>
      </c>
      <c r="C205" s="14">
        <v>312210.28946866997</v>
      </c>
      <c r="D205" s="20"/>
    </row>
    <row r="206" spans="1:4" x14ac:dyDescent="0.25">
      <c r="A206" s="9" t="s">
        <v>31</v>
      </c>
      <c r="B206" s="10" t="s">
        <v>13</v>
      </c>
      <c r="C206" s="14">
        <v>328986.05019224802</v>
      </c>
      <c r="D206" s="20"/>
    </row>
    <row r="207" spans="1:4" x14ac:dyDescent="0.25">
      <c r="A207" s="9" t="s">
        <v>31</v>
      </c>
      <c r="B207" s="10" t="s">
        <v>14</v>
      </c>
      <c r="C207" s="14">
        <v>364968.075444074</v>
      </c>
      <c r="D207" s="20"/>
    </row>
    <row r="208" spans="1:4" x14ac:dyDescent="0.25">
      <c r="A208" s="9" t="s">
        <v>31</v>
      </c>
      <c r="B208" s="10" t="s">
        <v>15</v>
      </c>
      <c r="C208" s="14">
        <v>362141.01952319301</v>
      </c>
      <c r="D208" s="20"/>
    </row>
    <row r="209" spans="1:4" x14ac:dyDescent="0.25">
      <c r="A209" s="9" t="s">
        <v>31</v>
      </c>
      <c r="B209" s="10" t="s">
        <v>16</v>
      </c>
      <c r="C209" s="14">
        <v>417312.60572818702</v>
      </c>
      <c r="D209" s="20"/>
    </row>
    <row r="210" spans="1:4" x14ac:dyDescent="0.25">
      <c r="A210" s="9" t="s">
        <v>31</v>
      </c>
      <c r="B210" s="10" t="s">
        <v>17</v>
      </c>
      <c r="C210" s="14">
        <v>472439.10142547201</v>
      </c>
      <c r="D210" s="20"/>
    </row>
    <row r="211" spans="1:4" x14ac:dyDescent="0.25">
      <c r="A211" s="9" t="s">
        <v>31</v>
      </c>
      <c r="B211" s="10" t="s">
        <v>18</v>
      </c>
      <c r="C211" s="14">
        <v>1486273.037</v>
      </c>
      <c r="D211" s="20">
        <v>1440274.835</v>
      </c>
    </row>
    <row r="212" spans="1:4" x14ac:dyDescent="0.25">
      <c r="A212" s="9" t="s">
        <v>31</v>
      </c>
      <c r="B212" s="10" t="s">
        <v>19</v>
      </c>
      <c r="C212" s="14">
        <v>2226420.4169999999</v>
      </c>
      <c r="D212" s="20">
        <v>2258931.7540000002</v>
      </c>
    </row>
    <row r="213" spans="1:4" ht="15.75" thickBot="1" x14ac:dyDescent="0.3">
      <c r="A213" s="11" t="s">
        <v>31</v>
      </c>
      <c r="B213" s="12" t="s">
        <v>20</v>
      </c>
      <c r="C213" s="15">
        <v>2928444.8837818401</v>
      </c>
      <c r="D213" s="21">
        <v>480936.56</v>
      </c>
    </row>
    <row r="214" spans="1:4" x14ac:dyDescent="0.25">
      <c r="A214" s="1" t="s">
        <v>32</v>
      </c>
      <c r="B214" s="2" t="s">
        <v>2</v>
      </c>
      <c r="C214" s="16">
        <v>71162.432000000001</v>
      </c>
      <c r="D214" s="22">
        <v>71267.751999999993</v>
      </c>
    </row>
    <row r="215" spans="1:4" x14ac:dyDescent="0.25">
      <c r="A215" s="3" t="s">
        <v>32</v>
      </c>
      <c r="B215" s="4" t="s">
        <v>3</v>
      </c>
      <c r="C215" s="17">
        <v>71162.432000000001</v>
      </c>
      <c r="D215" s="23">
        <v>69965.150999999998</v>
      </c>
    </row>
    <row r="216" spans="1:4" x14ac:dyDescent="0.25">
      <c r="A216" s="3" t="s">
        <v>32</v>
      </c>
      <c r="B216" s="4" t="s">
        <v>4</v>
      </c>
      <c r="C216" s="17">
        <v>71162.432000000001</v>
      </c>
      <c r="D216" s="23">
        <v>72717.010999999999</v>
      </c>
    </row>
    <row r="217" spans="1:4" x14ac:dyDescent="0.25">
      <c r="A217" s="3" t="s">
        <v>32</v>
      </c>
      <c r="B217" s="4" t="s">
        <v>5</v>
      </c>
      <c r="C217" s="17">
        <v>63685.091999999997</v>
      </c>
      <c r="D217" s="23">
        <v>69853.892999999996</v>
      </c>
    </row>
    <row r="218" spans="1:4" x14ac:dyDescent="0.25">
      <c r="A218" s="3" t="s">
        <v>32</v>
      </c>
      <c r="B218" s="4" t="s">
        <v>6</v>
      </c>
      <c r="C218" s="17">
        <v>63246.705000000002</v>
      </c>
      <c r="D218" s="23">
        <v>63661.572</v>
      </c>
    </row>
    <row r="219" spans="1:4" x14ac:dyDescent="0.25">
      <c r="A219" s="3" t="s">
        <v>32</v>
      </c>
      <c r="B219" s="4" t="s">
        <v>7</v>
      </c>
      <c r="C219" s="17">
        <v>64649.046000000002</v>
      </c>
      <c r="D219" s="23">
        <v>59939.995999999999</v>
      </c>
    </row>
    <row r="220" spans="1:4" x14ac:dyDescent="0.25">
      <c r="A220" s="3" t="s">
        <v>32</v>
      </c>
      <c r="B220" s="4" t="s">
        <v>8</v>
      </c>
      <c r="C220" s="17">
        <v>76015.013999999996</v>
      </c>
      <c r="D220" s="23">
        <v>58838.180999999997</v>
      </c>
    </row>
    <row r="221" spans="1:4" x14ac:dyDescent="0.25">
      <c r="A221" s="3" t="s">
        <v>32</v>
      </c>
      <c r="B221" s="4" t="s">
        <v>9</v>
      </c>
      <c r="C221" s="17">
        <v>73950.732999999993</v>
      </c>
      <c r="D221" s="23">
        <v>61440.385000000002</v>
      </c>
    </row>
    <row r="222" spans="1:4" x14ac:dyDescent="0.25">
      <c r="A222" s="3" t="s">
        <v>32</v>
      </c>
      <c r="B222" s="4" t="s">
        <v>10</v>
      </c>
      <c r="C222" s="17">
        <v>51420.398000000001</v>
      </c>
      <c r="D222" s="23">
        <v>58632.976000000002</v>
      </c>
    </row>
    <row r="223" spans="1:4" x14ac:dyDescent="0.25">
      <c r="A223" s="3" t="s">
        <v>32</v>
      </c>
      <c r="B223" s="4" t="s">
        <v>11</v>
      </c>
      <c r="C223" s="17">
        <v>35922.398000000001</v>
      </c>
      <c r="D223" s="23"/>
    </row>
    <row r="224" spans="1:4" x14ac:dyDescent="0.25">
      <c r="A224" s="3" t="s">
        <v>32</v>
      </c>
      <c r="B224" s="4" t="s">
        <v>12</v>
      </c>
      <c r="C224" s="17">
        <v>38806.658401058601</v>
      </c>
      <c r="D224" s="23"/>
    </row>
    <row r="225" spans="1:4" x14ac:dyDescent="0.25">
      <c r="A225" s="3" t="s">
        <v>32</v>
      </c>
      <c r="B225" s="4" t="s">
        <v>13</v>
      </c>
      <c r="C225" s="17">
        <v>41714.877552972903</v>
      </c>
      <c r="D225" s="23"/>
    </row>
    <row r="226" spans="1:4" x14ac:dyDescent="0.25">
      <c r="A226" s="3" t="s">
        <v>32</v>
      </c>
      <c r="B226" s="4" t="s">
        <v>14</v>
      </c>
      <c r="C226" s="17">
        <v>47952.664124102703</v>
      </c>
      <c r="D226" s="23"/>
    </row>
    <row r="227" spans="1:4" x14ac:dyDescent="0.25">
      <c r="A227" s="3" t="s">
        <v>32</v>
      </c>
      <c r="B227" s="4" t="s">
        <v>15</v>
      </c>
      <c r="C227" s="17">
        <v>47462.570213721498</v>
      </c>
      <c r="D227" s="23"/>
    </row>
    <row r="228" spans="1:4" x14ac:dyDescent="0.25">
      <c r="A228" s="3" t="s">
        <v>32</v>
      </c>
      <c r="B228" s="4" t="s">
        <v>16</v>
      </c>
      <c r="C228" s="17">
        <v>57027.028498903099</v>
      </c>
      <c r="D228" s="23"/>
    </row>
    <row r="229" spans="1:4" x14ac:dyDescent="0.25">
      <c r="A229" s="3" t="s">
        <v>32</v>
      </c>
      <c r="B229" s="4" t="s">
        <v>17</v>
      </c>
      <c r="C229" s="17">
        <v>66583.669965506502</v>
      </c>
      <c r="D229" s="23"/>
    </row>
    <row r="230" spans="1:4" x14ac:dyDescent="0.25">
      <c r="A230" s="3" t="s">
        <v>32</v>
      </c>
      <c r="B230" s="4" t="s">
        <v>18</v>
      </c>
      <c r="C230" s="17">
        <v>213487.296</v>
      </c>
      <c r="D230" s="23">
        <v>213949.91399999999</v>
      </c>
    </row>
    <row r="231" spans="1:4" x14ac:dyDescent="0.25">
      <c r="A231" s="3" t="s">
        <v>32</v>
      </c>
      <c r="B231" s="4" t="s">
        <v>19</v>
      </c>
      <c r="C231" s="17">
        <v>341546.59</v>
      </c>
      <c r="D231" s="23">
        <v>313734.027</v>
      </c>
    </row>
    <row r="232" spans="1:4" ht="15.75" thickBot="1" x14ac:dyDescent="0.3">
      <c r="A232" s="5" t="s">
        <v>32</v>
      </c>
      <c r="B232" s="6" t="s">
        <v>20</v>
      </c>
      <c r="C232" s="18">
        <v>386890.26475626498</v>
      </c>
      <c r="D232" s="24">
        <v>58632.976000000002</v>
      </c>
    </row>
    <row r="233" spans="1:4" x14ac:dyDescent="0.25">
      <c r="A233" s="7" t="s">
        <v>33</v>
      </c>
      <c r="B233" s="8" t="s">
        <v>2</v>
      </c>
      <c r="C233" s="13">
        <v>30236.166000000001</v>
      </c>
      <c r="D233" s="25">
        <v>26161.642</v>
      </c>
    </row>
    <row r="234" spans="1:4" x14ac:dyDescent="0.25">
      <c r="A234" s="9" t="s">
        <v>33</v>
      </c>
      <c r="B234" s="10" t="s">
        <v>3</v>
      </c>
      <c r="C234" s="14">
        <v>31433.166000000001</v>
      </c>
      <c r="D234" s="20">
        <v>25845.907999999999</v>
      </c>
    </row>
    <row r="235" spans="1:4" x14ac:dyDescent="0.25">
      <c r="A235" s="9" t="s">
        <v>33</v>
      </c>
      <c r="B235" s="10" t="s">
        <v>4</v>
      </c>
      <c r="C235" s="14">
        <v>31413.666000000001</v>
      </c>
      <c r="D235" s="20">
        <v>26836.758000000002</v>
      </c>
    </row>
    <row r="236" spans="1:4" x14ac:dyDescent="0.25">
      <c r="A236" s="9" t="s">
        <v>33</v>
      </c>
      <c r="B236" s="10" t="s">
        <v>5</v>
      </c>
      <c r="C236" s="14">
        <v>25119.629000000001</v>
      </c>
      <c r="D236" s="20">
        <v>27236.61</v>
      </c>
    </row>
    <row r="237" spans="1:4" x14ac:dyDescent="0.25">
      <c r="A237" s="9" t="s">
        <v>33</v>
      </c>
      <c r="B237" s="10" t="s">
        <v>6</v>
      </c>
      <c r="C237" s="14">
        <v>23600.016</v>
      </c>
      <c r="D237" s="20">
        <v>22401.258999999998</v>
      </c>
    </row>
    <row r="238" spans="1:4" x14ac:dyDescent="0.25">
      <c r="A238" s="9" t="s">
        <v>33</v>
      </c>
      <c r="B238" s="10" t="s">
        <v>7</v>
      </c>
      <c r="C238" s="14">
        <v>25701.370999999999</v>
      </c>
      <c r="D238" s="20">
        <v>22991.710999999999</v>
      </c>
    </row>
    <row r="239" spans="1:4" x14ac:dyDescent="0.25">
      <c r="A239" s="9" t="s">
        <v>33</v>
      </c>
      <c r="B239" s="10" t="s">
        <v>8</v>
      </c>
      <c r="C239" s="14">
        <v>24958.258000000002</v>
      </c>
      <c r="D239" s="20">
        <v>22469.974999999999</v>
      </c>
    </row>
    <row r="240" spans="1:4" x14ac:dyDescent="0.25">
      <c r="A240" s="9" t="s">
        <v>33</v>
      </c>
      <c r="B240" s="10" t="s">
        <v>9</v>
      </c>
      <c r="C240" s="14">
        <v>32760.719000000001</v>
      </c>
      <c r="D240" s="20">
        <v>21262.963</v>
      </c>
    </row>
    <row r="241" spans="1:4" x14ac:dyDescent="0.25">
      <c r="A241" s="9" t="s">
        <v>33</v>
      </c>
      <c r="B241" s="10" t="s">
        <v>10</v>
      </c>
      <c r="C241" s="14">
        <v>21252.875</v>
      </c>
      <c r="D241" s="20">
        <v>19124.911</v>
      </c>
    </row>
    <row r="242" spans="1:4" x14ac:dyDescent="0.25">
      <c r="A242" s="9" t="s">
        <v>33</v>
      </c>
      <c r="B242" s="10" t="s">
        <v>11</v>
      </c>
      <c r="C242" s="14">
        <v>21201.375</v>
      </c>
      <c r="D242" s="20"/>
    </row>
    <row r="243" spans="1:4" x14ac:dyDescent="0.25">
      <c r="A243" s="9" t="s">
        <v>33</v>
      </c>
      <c r="B243" s="10" t="s">
        <v>12</v>
      </c>
      <c r="C243" s="14">
        <v>22447.8908337229</v>
      </c>
      <c r="D243" s="20"/>
    </row>
    <row r="244" spans="1:4" x14ac:dyDescent="0.25">
      <c r="A244" s="9" t="s">
        <v>33</v>
      </c>
      <c r="B244" s="10" t="s">
        <v>13</v>
      </c>
      <c r="C244" s="14">
        <v>23705.555683770701</v>
      </c>
      <c r="D244" s="20"/>
    </row>
    <row r="245" spans="1:4" x14ac:dyDescent="0.25">
      <c r="A245" s="9" t="s">
        <v>33</v>
      </c>
      <c r="B245" s="10" t="s">
        <v>14</v>
      </c>
      <c r="C245" s="14">
        <v>26403.098235695001</v>
      </c>
      <c r="D245" s="20"/>
    </row>
    <row r="246" spans="1:4" x14ac:dyDescent="0.25">
      <c r="A246" s="9" t="s">
        <v>33</v>
      </c>
      <c r="B246" s="10" t="s">
        <v>15</v>
      </c>
      <c r="C246" s="14">
        <v>26191.156201029899</v>
      </c>
      <c r="D246" s="20"/>
    </row>
    <row r="247" spans="1:4" x14ac:dyDescent="0.25">
      <c r="A247" s="9" t="s">
        <v>33</v>
      </c>
      <c r="B247" s="10" t="s">
        <v>16</v>
      </c>
      <c r="C247" s="14">
        <v>30327.324201678501</v>
      </c>
      <c r="D247" s="20"/>
    </row>
    <row r="248" spans="1:4" x14ac:dyDescent="0.25">
      <c r="A248" s="9" t="s">
        <v>33</v>
      </c>
      <c r="B248" s="10" t="s">
        <v>17</v>
      </c>
      <c r="C248" s="14">
        <v>34460.111804409498</v>
      </c>
      <c r="D248" s="20"/>
    </row>
    <row r="249" spans="1:4" x14ac:dyDescent="0.25">
      <c r="A249" s="9" t="s">
        <v>33</v>
      </c>
      <c r="B249" s="10" t="s">
        <v>18</v>
      </c>
      <c r="C249" s="14">
        <v>93082.998000000007</v>
      </c>
      <c r="D249" s="20">
        <v>78844.308000000005</v>
      </c>
    </row>
    <row r="250" spans="1:4" x14ac:dyDescent="0.25">
      <c r="A250" s="9" t="s">
        <v>33</v>
      </c>
      <c r="B250" s="10" t="s">
        <v>19</v>
      </c>
      <c r="C250" s="14">
        <v>132139.99299999999</v>
      </c>
      <c r="D250" s="20">
        <v>116362.518</v>
      </c>
    </row>
    <row r="251" spans="1:4" ht="15.75" thickBot="1" x14ac:dyDescent="0.3">
      <c r="A251" s="11" t="s">
        <v>33</v>
      </c>
      <c r="B251" s="12" t="s">
        <v>20</v>
      </c>
      <c r="C251" s="15">
        <v>205989.38696030699</v>
      </c>
      <c r="D251" s="21">
        <v>19124.911</v>
      </c>
    </row>
    <row r="252" spans="1:4" x14ac:dyDescent="0.25">
      <c r="A252" s="1" t="s">
        <v>34</v>
      </c>
      <c r="B252" s="2" t="s">
        <v>2</v>
      </c>
      <c r="C252" s="16">
        <v>0</v>
      </c>
      <c r="D252" s="22"/>
    </row>
    <row r="253" spans="1:4" x14ac:dyDescent="0.25">
      <c r="A253" s="3" t="s">
        <v>34</v>
      </c>
      <c r="B253" s="4" t="s">
        <v>3</v>
      </c>
      <c r="C253" s="17">
        <v>0</v>
      </c>
      <c r="D253" s="23"/>
    </row>
    <row r="254" spans="1:4" x14ac:dyDescent="0.25">
      <c r="A254" s="3" t="s">
        <v>34</v>
      </c>
      <c r="B254" s="4" t="s">
        <v>4</v>
      </c>
      <c r="C254" s="17">
        <v>0</v>
      </c>
      <c r="D254" s="23"/>
    </row>
    <row r="255" spans="1:4" x14ac:dyDescent="0.25">
      <c r="A255" s="3" t="s">
        <v>34</v>
      </c>
      <c r="B255" s="4" t="s">
        <v>5</v>
      </c>
      <c r="C255" s="17">
        <v>0</v>
      </c>
      <c r="D255" s="23"/>
    </row>
    <row r="256" spans="1:4" x14ac:dyDescent="0.25">
      <c r="A256" s="3" t="s">
        <v>34</v>
      </c>
      <c r="B256" s="4" t="s">
        <v>6</v>
      </c>
      <c r="C256" s="17">
        <v>0</v>
      </c>
      <c r="D256" s="23"/>
    </row>
    <row r="257" spans="1:4" x14ac:dyDescent="0.25">
      <c r="A257" s="3" t="s">
        <v>34</v>
      </c>
      <c r="B257" s="4" t="s">
        <v>7</v>
      </c>
      <c r="C257" s="17">
        <v>0</v>
      </c>
      <c r="D257" s="23"/>
    </row>
    <row r="258" spans="1:4" x14ac:dyDescent="0.25">
      <c r="A258" s="3" t="s">
        <v>34</v>
      </c>
      <c r="B258" s="4" t="s">
        <v>8</v>
      </c>
      <c r="C258" s="17">
        <v>0</v>
      </c>
      <c r="D258" s="23"/>
    </row>
    <row r="259" spans="1:4" x14ac:dyDescent="0.25">
      <c r="A259" s="3" t="s">
        <v>34</v>
      </c>
      <c r="B259" s="4" t="s">
        <v>9</v>
      </c>
      <c r="C259" s="17">
        <v>0</v>
      </c>
      <c r="D259" s="23"/>
    </row>
    <row r="260" spans="1:4" x14ac:dyDescent="0.25">
      <c r="A260" s="3" t="s">
        <v>34</v>
      </c>
      <c r="B260" s="4" t="s">
        <v>10</v>
      </c>
      <c r="C260" s="17">
        <v>1463.2225000000001</v>
      </c>
      <c r="D260" s="23">
        <v>1779.8810000000001</v>
      </c>
    </row>
    <row r="261" spans="1:4" x14ac:dyDescent="0.25">
      <c r="A261" s="3" t="s">
        <v>34</v>
      </c>
      <c r="B261" s="4" t="s">
        <v>11</v>
      </c>
      <c r="C261" s="17">
        <v>1462.8440000000001</v>
      </c>
      <c r="D261" s="23"/>
    </row>
    <row r="262" spans="1:4" x14ac:dyDescent="0.25">
      <c r="A262" s="3" t="s">
        <v>34</v>
      </c>
      <c r="B262" s="4" t="s">
        <v>12</v>
      </c>
      <c r="C262" s="17">
        <v>1742.81386139898</v>
      </c>
      <c r="D262" s="23"/>
    </row>
    <row r="263" spans="1:4" x14ac:dyDescent="0.25">
      <c r="A263" s="3" t="s">
        <v>34</v>
      </c>
      <c r="B263" s="4" t="s">
        <v>13</v>
      </c>
      <c r="C263" s="17">
        <v>1775.5148352532699</v>
      </c>
      <c r="D263" s="23"/>
    </row>
    <row r="264" spans="1:4" x14ac:dyDescent="0.25">
      <c r="A264" s="3" t="s">
        <v>34</v>
      </c>
      <c r="B264" s="4" t="s">
        <v>14</v>
      </c>
      <c r="C264" s="17">
        <v>1845.6545616342401</v>
      </c>
      <c r="D264" s="23"/>
    </row>
    <row r="265" spans="1:4" x14ac:dyDescent="0.25">
      <c r="A265" s="3" t="s">
        <v>34</v>
      </c>
      <c r="B265" s="4" t="s">
        <v>15</v>
      </c>
      <c r="C265" s="17">
        <v>1840.1437843123299</v>
      </c>
      <c r="D265" s="23"/>
    </row>
    <row r="266" spans="1:4" x14ac:dyDescent="0.25">
      <c r="A266" s="3" t="s">
        <v>34</v>
      </c>
      <c r="B266" s="4" t="s">
        <v>16</v>
      </c>
      <c r="C266" s="17">
        <v>1947.68970295753</v>
      </c>
      <c r="D266" s="23"/>
    </row>
    <row r="267" spans="1:4" x14ac:dyDescent="0.25">
      <c r="A267" s="3" t="s">
        <v>34</v>
      </c>
      <c r="B267" s="4" t="s">
        <v>17</v>
      </c>
      <c r="C267" s="17">
        <v>2055.14772672047</v>
      </c>
      <c r="D267" s="23"/>
    </row>
    <row r="268" spans="1:4" x14ac:dyDescent="0.25">
      <c r="A268" s="3" t="s">
        <v>34</v>
      </c>
      <c r="B268" s="4" t="s">
        <v>18</v>
      </c>
      <c r="C268" s="17">
        <v>0</v>
      </c>
      <c r="D268" s="23"/>
    </row>
    <row r="269" spans="1:4" x14ac:dyDescent="0.25">
      <c r="A269" s="3" t="s">
        <v>34</v>
      </c>
      <c r="B269" s="4" t="s">
        <v>19</v>
      </c>
      <c r="C269" s="17">
        <v>0</v>
      </c>
      <c r="D269" s="23"/>
    </row>
    <row r="270" spans="1:4" ht="15.75" thickBot="1" x14ac:dyDescent="0.3">
      <c r="A270" s="5" t="s">
        <v>34</v>
      </c>
      <c r="B270" s="6" t="s">
        <v>20</v>
      </c>
      <c r="C270" s="18">
        <v>14133.0309722768</v>
      </c>
      <c r="D270" s="24">
        <v>1779.8810000000001</v>
      </c>
    </row>
    <row r="271" spans="1:4" x14ac:dyDescent="0.25">
      <c r="A271" s="7" t="s">
        <v>35</v>
      </c>
      <c r="B271" s="8" t="s">
        <v>2</v>
      </c>
      <c r="C271" s="13">
        <v>19236.746999999999</v>
      </c>
      <c r="D271" s="25">
        <v>22441.006000000001</v>
      </c>
    </row>
    <row r="272" spans="1:4" x14ac:dyDescent="0.25">
      <c r="A272" s="9" t="s">
        <v>35</v>
      </c>
      <c r="B272" s="10" t="s">
        <v>3</v>
      </c>
      <c r="C272" s="14">
        <v>20450.593000000001</v>
      </c>
      <c r="D272" s="20">
        <v>21705.330999999998</v>
      </c>
    </row>
    <row r="273" spans="1:4" x14ac:dyDescent="0.25">
      <c r="A273" s="9" t="s">
        <v>35</v>
      </c>
      <c r="B273" s="10" t="s">
        <v>4</v>
      </c>
      <c r="C273" s="14">
        <v>19240.228999999999</v>
      </c>
      <c r="D273" s="20">
        <v>21246.12</v>
      </c>
    </row>
    <row r="274" spans="1:4" x14ac:dyDescent="0.25">
      <c r="A274" s="9" t="s">
        <v>35</v>
      </c>
      <c r="B274" s="10" t="s">
        <v>5</v>
      </c>
      <c r="C274" s="14">
        <v>19971.010999999999</v>
      </c>
      <c r="D274" s="20">
        <v>20381.722000000002</v>
      </c>
    </row>
    <row r="275" spans="1:4" x14ac:dyDescent="0.25">
      <c r="A275" s="9" t="s">
        <v>35</v>
      </c>
      <c r="B275" s="10" t="s">
        <v>6</v>
      </c>
      <c r="C275" s="14">
        <v>20137.251</v>
      </c>
      <c r="D275" s="20">
        <v>17215.223000000002</v>
      </c>
    </row>
    <row r="276" spans="1:4" x14ac:dyDescent="0.25">
      <c r="A276" s="9" t="s">
        <v>35</v>
      </c>
      <c r="B276" s="10" t="s">
        <v>7</v>
      </c>
      <c r="C276" s="14">
        <v>21226.823</v>
      </c>
      <c r="D276" s="20">
        <v>17373.012999999999</v>
      </c>
    </row>
    <row r="277" spans="1:4" x14ac:dyDescent="0.25">
      <c r="A277" s="9" t="s">
        <v>35</v>
      </c>
      <c r="B277" s="10" t="s">
        <v>8</v>
      </c>
      <c r="C277" s="14">
        <v>21763.017</v>
      </c>
      <c r="D277" s="20">
        <v>15769.62</v>
      </c>
    </row>
    <row r="278" spans="1:4" x14ac:dyDescent="0.25">
      <c r="A278" s="9" t="s">
        <v>35</v>
      </c>
      <c r="B278" s="10" t="s">
        <v>9</v>
      </c>
      <c r="C278" s="14">
        <v>21751.579000000002</v>
      </c>
      <c r="D278" s="20">
        <v>16895.989000000001</v>
      </c>
    </row>
    <row r="279" spans="1:4" x14ac:dyDescent="0.25">
      <c r="A279" s="9" t="s">
        <v>35</v>
      </c>
      <c r="B279" s="10" t="s">
        <v>10</v>
      </c>
      <c r="C279" s="14">
        <v>15955.236999999999</v>
      </c>
      <c r="D279" s="20">
        <v>15685.380999999999</v>
      </c>
    </row>
    <row r="280" spans="1:4" x14ac:dyDescent="0.25">
      <c r="A280" s="9" t="s">
        <v>35</v>
      </c>
      <c r="B280" s="10" t="s">
        <v>11</v>
      </c>
      <c r="C280" s="14">
        <v>11164.736999999999</v>
      </c>
      <c r="D280" s="20"/>
    </row>
    <row r="281" spans="1:4" x14ac:dyDescent="0.25">
      <c r="A281" s="9" t="s">
        <v>35</v>
      </c>
      <c r="B281" s="10" t="s">
        <v>12</v>
      </c>
      <c r="C281" s="14">
        <v>11935.7762227642</v>
      </c>
      <c r="D281" s="20"/>
    </row>
    <row r="282" spans="1:4" x14ac:dyDescent="0.25">
      <c r="A282" s="9" t="s">
        <v>35</v>
      </c>
      <c r="B282" s="10" t="s">
        <v>13</v>
      </c>
      <c r="C282" s="14">
        <v>12719.929450887999</v>
      </c>
      <c r="D282" s="20"/>
    </row>
    <row r="283" spans="1:4" x14ac:dyDescent="0.25">
      <c r="A283" s="9" t="s">
        <v>35</v>
      </c>
      <c r="B283" s="10" t="s">
        <v>14</v>
      </c>
      <c r="C283" s="14">
        <v>14401.845503493299</v>
      </c>
      <c r="D283" s="20"/>
    </row>
    <row r="284" spans="1:4" x14ac:dyDescent="0.25">
      <c r="A284" s="9" t="s">
        <v>35</v>
      </c>
      <c r="B284" s="10" t="s">
        <v>15</v>
      </c>
      <c r="C284" s="14">
        <v>14269.6997806868</v>
      </c>
      <c r="D284" s="20"/>
    </row>
    <row r="285" spans="1:4" x14ac:dyDescent="0.25">
      <c r="A285" s="9" t="s">
        <v>35</v>
      </c>
      <c r="B285" s="10" t="s">
        <v>16</v>
      </c>
      <c r="C285" s="14">
        <v>16848.597878735502</v>
      </c>
      <c r="D285" s="20"/>
    </row>
    <row r="286" spans="1:4" x14ac:dyDescent="0.25">
      <c r="A286" s="9" t="s">
        <v>35</v>
      </c>
      <c r="B286" s="10" t="s">
        <v>17</v>
      </c>
      <c r="C286" s="14">
        <v>19425.388300848601</v>
      </c>
      <c r="D286" s="20"/>
    </row>
    <row r="287" spans="1:4" x14ac:dyDescent="0.25">
      <c r="A287" s="9" t="s">
        <v>35</v>
      </c>
      <c r="B287" s="10" t="s">
        <v>18</v>
      </c>
      <c r="C287" s="14">
        <v>58927.569000000003</v>
      </c>
      <c r="D287" s="20">
        <v>65392.457000000002</v>
      </c>
    </row>
    <row r="288" spans="1:4" x14ac:dyDescent="0.25">
      <c r="A288" s="9" t="s">
        <v>35</v>
      </c>
      <c r="B288" s="10" t="s">
        <v>19</v>
      </c>
      <c r="C288" s="14">
        <v>104849.681</v>
      </c>
      <c r="D288" s="20">
        <v>87635.566999999995</v>
      </c>
    </row>
    <row r="289" spans="1:4" ht="15.75" thickBot="1" x14ac:dyDescent="0.3">
      <c r="A289" s="11" t="s">
        <v>35</v>
      </c>
      <c r="B289" s="12" t="s">
        <v>20</v>
      </c>
      <c r="C289" s="15">
        <v>116721.211137416</v>
      </c>
      <c r="D289" s="21">
        <v>15685.380999999999</v>
      </c>
    </row>
    <row r="290" spans="1:4" x14ac:dyDescent="0.25">
      <c r="A290" s="1" t="s">
        <v>36</v>
      </c>
      <c r="B290" s="2" t="s">
        <v>2</v>
      </c>
      <c r="C290" s="16">
        <v>216150.24100000001</v>
      </c>
      <c r="D290" s="22">
        <v>225989.45499999999</v>
      </c>
    </row>
    <row r="291" spans="1:4" x14ac:dyDescent="0.25">
      <c r="A291" s="3" t="s">
        <v>36</v>
      </c>
      <c r="B291" s="4" t="s">
        <v>3</v>
      </c>
      <c r="C291" s="17">
        <v>205050.245</v>
      </c>
      <c r="D291" s="23">
        <v>227439.46900000001</v>
      </c>
    </row>
    <row r="292" spans="1:4" x14ac:dyDescent="0.25">
      <c r="A292" s="3" t="s">
        <v>36</v>
      </c>
      <c r="B292" s="4" t="s">
        <v>4</v>
      </c>
      <c r="C292" s="17">
        <v>203255.07699999999</v>
      </c>
      <c r="D292" s="23">
        <v>226405.99</v>
      </c>
    </row>
    <row r="293" spans="1:4" x14ac:dyDescent="0.25">
      <c r="A293" s="3" t="s">
        <v>36</v>
      </c>
      <c r="B293" s="4" t="s">
        <v>5</v>
      </c>
      <c r="C293" s="17">
        <v>212199.89</v>
      </c>
      <c r="D293" s="23">
        <v>220676.32500000001</v>
      </c>
    </row>
    <row r="294" spans="1:4" x14ac:dyDescent="0.25">
      <c r="A294" s="3" t="s">
        <v>36</v>
      </c>
      <c r="B294" s="4" t="s">
        <v>6</v>
      </c>
      <c r="C294" s="17">
        <v>209006.95600000001</v>
      </c>
      <c r="D294" s="23">
        <v>184881.60200000001</v>
      </c>
    </row>
    <row r="295" spans="1:4" x14ac:dyDescent="0.25">
      <c r="A295" s="3" t="s">
        <v>36</v>
      </c>
      <c r="B295" s="4" t="s">
        <v>7</v>
      </c>
      <c r="C295" s="17">
        <v>199971.427</v>
      </c>
      <c r="D295" s="23">
        <v>191489.53899999999</v>
      </c>
    </row>
    <row r="296" spans="1:4" x14ac:dyDescent="0.25">
      <c r="A296" s="3" t="s">
        <v>36</v>
      </c>
      <c r="B296" s="4" t="s">
        <v>8</v>
      </c>
      <c r="C296" s="17">
        <v>195328.06299999999</v>
      </c>
      <c r="D296" s="23">
        <v>189961.95600000001</v>
      </c>
    </row>
    <row r="297" spans="1:4" x14ac:dyDescent="0.25">
      <c r="A297" s="3" t="s">
        <v>36</v>
      </c>
      <c r="B297" s="4" t="s">
        <v>9</v>
      </c>
      <c r="C297" s="17">
        <v>192717.00700000001</v>
      </c>
      <c r="D297" s="23">
        <v>179075.109</v>
      </c>
    </row>
    <row r="298" spans="1:4" x14ac:dyDescent="0.25">
      <c r="A298" s="3" t="s">
        <v>36</v>
      </c>
      <c r="B298" s="4" t="s">
        <v>10</v>
      </c>
      <c r="C298" s="17">
        <v>185895.00899999999</v>
      </c>
      <c r="D298" s="23">
        <v>164399.18400000001</v>
      </c>
    </row>
    <row r="299" spans="1:4" x14ac:dyDescent="0.25">
      <c r="A299" s="3" t="s">
        <v>36</v>
      </c>
      <c r="B299" s="4" t="s">
        <v>11</v>
      </c>
      <c r="C299" s="17">
        <v>147873.50899999999</v>
      </c>
      <c r="D299" s="23"/>
    </row>
    <row r="300" spans="1:4" x14ac:dyDescent="0.25">
      <c r="A300" s="3" t="s">
        <v>36</v>
      </c>
      <c r="B300" s="4" t="s">
        <v>12</v>
      </c>
      <c r="C300" s="17">
        <v>155822.79069427101</v>
      </c>
      <c r="D300" s="23"/>
    </row>
    <row r="301" spans="1:4" x14ac:dyDescent="0.25">
      <c r="A301" s="3" t="s">
        <v>36</v>
      </c>
      <c r="B301" s="4" t="s">
        <v>13</v>
      </c>
      <c r="C301" s="17">
        <v>163896.687175745</v>
      </c>
      <c r="D301" s="23"/>
    </row>
    <row r="302" spans="1:4" x14ac:dyDescent="0.25">
      <c r="A302" s="3" t="s">
        <v>36</v>
      </c>
      <c r="B302" s="4" t="s">
        <v>14</v>
      </c>
      <c r="C302" s="17">
        <v>181214.24146517401</v>
      </c>
      <c r="D302" s="23"/>
    </row>
    <row r="303" spans="1:4" x14ac:dyDescent="0.25">
      <c r="A303" s="3" t="s">
        <v>36</v>
      </c>
      <c r="B303" s="4" t="s">
        <v>15</v>
      </c>
      <c r="C303" s="17">
        <v>179853.62615665601</v>
      </c>
      <c r="D303" s="23"/>
    </row>
    <row r="304" spans="1:4" x14ac:dyDescent="0.25">
      <c r="A304" s="3" t="s">
        <v>36</v>
      </c>
      <c r="B304" s="4" t="s">
        <v>16</v>
      </c>
      <c r="C304" s="17">
        <v>206406.79909931499</v>
      </c>
      <c r="D304" s="23"/>
    </row>
    <row r="305" spans="1:4" x14ac:dyDescent="0.25">
      <c r="A305" s="3" t="s">
        <v>36</v>
      </c>
      <c r="B305" s="4" t="s">
        <v>17</v>
      </c>
      <c r="C305" s="17">
        <v>232938.27072556099</v>
      </c>
      <c r="D305" s="23"/>
    </row>
    <row r="306" spans="1:4" x14ac:dyDescent="0.25">
      <c r="A306" s="3" t="s">
        <v>36</v>
      </c>
      <c r="B306" s="4" t="s">
        <v>18</v>
      </c>
      <c r="C306" s="17">
        <v>624455.56299999997</v>
      </c>
      <c r="D306" s="23">
        <v>679834.91399999999</v>
      </c>
    </row>
    <row r="307" spans="1:4" x14ac:dyDescent="0.25">
      <c r="A307" s="3" t="s">
        <v>36</v>
      </c>
      <c r="B307" s="4" t="s">
        <v>19</v>
      </c>
      <c r="C307" s="17">
        <v>1009223.343</v>
      </c>
      <c r="D307" s="23">
        <v>966084.53099999996</v>
      </c>
    </row>
    <row r="308" spans="1:4" ht="15.75" thickBot="1" x14ac:dyDescent="0.3">
      <c r="A308" s="5" t="s">
        <v>36</v>
      </c>
      <c r="B308" s="6" t="s">
        <v>20</v>
      </c>
      <c r="C308" s="18">
        <v>1453900.93331672</v>
      </c>
      <c r="D308" s="24">
        <v>164399.18400000001</v>
      </c>
    </row>
    <row r="309" spans="1:4" x14ac:dyDescent="0.25">
      <c r="A309" s="7" t="s">
        <v>37</v>
      </c>
      <c r="B309" s="8" t="s">
        <v>2</v>
      </c>
      <c r="C309" s="13">
        <v>4070.078</v>
      </c>
      <c r="D309" s="25">
        <v>2854.4920000000002</v>
      </c>
    </row>
    <row r="310" spans="1:4" x14ac:dyDescent="0.25">
      <c r="A310" s="9" t="s">
        <v>37</v>
      </c>
      <c r="B310" s="10" t="s">
        <v>3</v>
      </c>
      <c r="C310" s="14">
        <v>4058.1970000000001</v>
      </c>
      <c r="D310" s="20">
        <v>2940.6849999999999</v>
      </c>
    </row>
    <row r="311" spans="1:4" x14ac:dyDescent="0.25">
      <c r="A311" s="9" t="s">
        <v>37</v>
      </c>
      <c r="B311" s="10" t="s">
        <v>4</v>
      </c>
      <c r="C311" s="14">
        <v>4035.018</v>
      </c>
      <c r="D311" s="20">
        <v>2849.21</v>
      </c>
    </row>
    <row r="312" spans="1:4" x14ac:dyDescent="0.25">
      <c r="A312" s="9" t="s">
        <v>37</v>
      </c>
      <c r="B312" s="10" t="s">
        <v>5</v>
      </c>
      <c r="C312" s="14">
        <v>3727.5349999999999</v>
      </c>
      <c r="D312" s="20">
        <v>2742.9180000000001</v>
      </c>
    </row>
    <row r="313" spans="1:4" x14ac:dyDescent="0.25">
      <c r="A313" s="9" t="s">
        <v>37</v>
      </c>
      <c r="B313" s="10" t="s">
        <v>6</v>
      </c>
      <c r="C313" s="14">
        <v>4859.1210000000001</v>
      </c>
      <c r="D313" s="20">
        <v>2489.8049999999998</v>
      </c>
    </row>
    <row r="314" spans="1:4" x14ac:dyDescent="0.25">
      <c r="A314" s="9" t="s">
        <v>37</v>
      </c>
      <c r="B314" s="10" t="s">
        <v>7</v>
      </c>
      <c r="C314" s="14">
        <v>4761.6909999999998</v>
      </c>
      <c r="D314" s="20">
        <v>3240.172</v>
      </c>
    </row>
    <row r="315" spans="1:4" x14ac:dyDescent="0.25">
      <c r="A315" s="9" t="s">
        <v>37</v>
      </c>
      <c r="B315" s="10" t="s">
        <v>8</v>
      </c>
      <c r="C315" s="14">
        <v>4621.6149999999998</v>
      </c>
      <c r="D315" s="20">
        <v>2923.4549999999999</v>
      </c>
    </row>
    <row r="316" spans="1:4" x14ac:dyDescent="0.25">
      <c r="A316" s="9" t="s">
        <v>37</v>
      </c>
      <c r="B316" s="10" t="s">
        <v>9</v>
      </c>
      <c r="C316" s="14">
        <v>4991.6459999999997</v>
      </c>
      <c r="D316" s="20">
        <v>2740.0129999999999</v>
      </c>
    </row>
    <row r="317" spans="1:4" x14ac:dyDescent="0.25">
      <c r="A317" s="9" t="s">
        <v>37</v>
      </c>
      <c r="B317" s="10" t="s">
        <v>10</v>
      </c>
      <c r="C317" s="14">
        <v>5338.076</v>
      </c>
      <c r="D317" s="20">
        <v>2649.8139999999999</v>
      </c>
    </row>
    <row r="318" spans="1:4" x14ac:dyDescent="0.25">
      <c r="A318" s="9" t="s">
        <v>37</v>
      </c>
      <c r="B318" s="10" t="s">
        <v>11</v>
      </c>
      <c r="C318" s="14">
        <v>4278.576</v>
      </c>
      <c r="D318" s="20"/>
    </row>
    <row r="319" spans="1:4" x14ac:dyDescent="0.25">
      <c r="A319" s="9" t="s">
        <v>37</v>
      </c>
      <c r="B319" s="10" t="s">
        <v>12</v>
      </c>
      <c r="C319" s="14">
        <v>4499.6220194752104</v>
      </c>
      <c r="D319" s="20"/>
    </row>
    <row r="320" spans="1:4" x14ac:dyDescent="0.25">
      <c r="A320" s="9" t="s">
        <v>37</v>
      </c>
      <c r="B320" s="10" t="s">
        <v>13</v>
      </c>
      <c r="C320" s="14">
        <v>4725.05480036479</v>
      </c>
      <c r="D320" s="20"/>
    </row>
    <row r="321" spans="1:4" x14ac:dyDescent="0.25">
      <c r="A321" s="9" t="s">
        <v>37</v>
      </c>
      <c r="B321" s="10" t="s">
        <v>14</v>
      </c>
      <c r="C321" s="14">
        <v>5208.5814879597701</v>
      </c>
      <c r="D321" s="20"/>
    </row>
    <row r="322" spans="1:4" x14ac:dyDescent="0.25">
      <c r="A322" s="9" t="s">
        <v>37</v>
      </c>
      <c r="B322" s="10" t="s">
        <v>15</v>
      </c>
      <c r="C322" s="14">
        <v>5170.5914922465699</v>
      </c>
      <c r="D322" s="20"/>
    </row>
    <row r="323" spans="1:4" x14ac:dyDescent="0.25">
      <c r="A323" s="9" t="s">
        <v>37</v>
      </c>
      <c r="B323" s="10" t="s">
        <v>16</v>
      </c>
      <c r="C323" s="14">
        <v>5911.9876237972303</v>
      </c>
      <c r="D323" s="20"/>
    </row>
    <row r="324" spans="1:4" x14ac:dyDescent="0.25">
      <c r="A324" s="9" t="s">
        <v>37</v>
      </c>
      <c r="B324" s="10" t="s">
        <v>17</v>
      </c>
      <c r="C324" s="14">
        <v>6652.7778288142399</v>
      </c>
      <c r="D324" s="20"/>
    </row>
    <row r="325" spans="1:4" x14ac:dyDescent="0.25">
      <c r="A325" s="9" t="s">
        <v>37</v>
      </c>
      <c r="B325" s="10" t="s">
        <v>18</v>
      </c>
      <c r="C325" s="14">
        <v>12163.293</v>
      </c>
      <c r="D325" s="20">
        <v>8644.3870000000006</v>
      </c>
    </row>
    <row r="326" spans="1:4" x14ac:dyDescent="0.25">
      <c r="A326" s="9" t="s">
        <v>37</v>
      </c>
      <c r="B326" s="10" t="s">
        <v>19</v>
      </c>
      <c r="C326" s="14">
        <v>22961.608</v>
      </c>
      <c r="D326" s="20">
        <v>14136.362999999999</v>
      </c>
    </row>
    <row r="327" spans="1:4" ht="15.75" thickBot="1" x14ac:dyDescent="0.3">
      <c r="A327" s="11" t="s">
        <v>37</v>
      </c>
      <c r="B327" s="12" t="s">
        <v>20</v>
      </c>
      <c r="C327" s="15">
        <v>41785.267252657803</v>
      </c>
      <c r="D327" s="21">
        <v>2649.8139999999999</v>
      </c>
    </row>
    <row r="328" spans="1:4" x14ac:dyDescent="0.25">
      <c r="A328" s="1" t="s">
        <v>38</v>
      </c>
      <c r="B328" s="2" t="s">
        <v>2</v>
      </c>
      <c r="C328" s="16">
        <v>0</v>
      </c>
      <c r="D328" s="22"/>
    </row>
    <row r="329" spans="1:4" x14ac:dyDescent="0.25">
      <c r="A329" s="3" t="s">
        <v>38</v>
      </c>
      <c r="B329" s="4" t="s">
        <v>3</v>
      </c>
      <c r="C329" s="17">
        <v>0</v>
      </c>
      <c r="D329" s="23"/>
    </row>
    <row r="330" spans="1:4" x14ac:dyDescent="0.25">
      <c r="A330" s="3" t="s">
        <v>38</v>
      </c>
      <c r="B330" s="4" t="s">
        <v>4</v>
      </c>
      <c r="C330" s="17">
        <v>0</v>
      </c>
      <c r="D330" s="23"/>
    </row>
    <row r="331" spans="1:4" x14ac:dyDescent="0.25">
      <c r="A331" s="3" t="s">
        <v>38</v>
      </c>
      <c r="B331" s="4" t="s">
        <v>5</v>
      </c>
      <c r="C331" s="17">
        <v>21.102</v>
      </c>
      <c r="D331" s="23">
        <v>19.882999999999999</v>
      </c>
    </row>
    <row r="332" spans="1:4" x14ac:dyDescent="0.25">
      <c r="A332" s="3" t="s">
        <v>38</v>
      </c>
      <c r="B332" s="4" t="s">
        <v>6</v>
      </c>
      <c r="C332" s="17">
        <v>19.497</v>
      </c>
      <c r="D332" s="23">
        <v>13.379</v>
      </c>
    </row>
    <row r="333" spans="1:4" x14ac:dyDescent="0.25">
      <c r="A333" s="3" t="s">
        <v>38</v>
      </c>
      <c r="B333" s="4" t="s">
        <v>7</v>
      </c>
      <c r="C333" s="17">
        <v>17.622</v>
      </c>
      <c r="D333" s="23">
        <v>1.796</v>
      </c>
    </row>
    <row r="334" spans="1:4" x14ac:dyDescent="0.25">
      <c r="A334" s="3" t="s">
        <v>38</v>
      </c>
      <c r="B334" s="4" t="s">
        <v>8</v>
      </c>
      <c r="C334" s="17">
        <v>15.747</v>
      </c>
      <c r="D334" s="23">
        <v>1.546</v>
      </c>
    </row>
    <row r="335" spans="1:4" x14ac:dyDescent="0.25">
      <c r="A335" s="3" t="s">
        <v>38</v>
      </c>
      <c r="B335" s="4" t="s">
        <v>9</v>
      </c>
      <c r="C335" s="17">
        <v>15.747</v>
      </c>
      <c r="D335" s="23">
        <v>1.0960000000000001</v>
      </c>
    </row>
    <row r="336" spans="1:4" x14ac:dyDescent="0.25">
      <c r="A336" s="3" t="s">
        <v>38</v>
      </c>
      <c r="B336" s="4" t="s">
        <v>10</v>
      </c>
      <c r="C336" s="17">
        <v>2.085</v>
      </c>
      <c r="D336" s="23">
        <v>0.94299999999999995</v>
      </c>
    </row>
    <row r="337" spans="1:4" x14ac:dyDescent="0.25">
      <c r="A337" s="3" t="s">
        <v>38</v>
      </c>
      <c r="B337" s="4" t="s">
        <v>11</v>
      </c>
      <c r="C337" s="17">
        <v>2.077</v>
      </c>
      <c r="D337" s="23"/>
    </row>
    <row r="338" spans="1:4" x14ac:dyDescent="0.25">
      <c r="A338" s="3" t="s">
        <v>38</v>
      </c>
      <c r="B338" s="4" t="s">
        <v>12</v>
      </c>
      <c r="C338" s="17">
        <v>2.077</v>
      </c>
      <c r="D338" s="23"/>
    </row>
    <row r="339" spans="1:4" x14ac:dyDescent="0.25">
      <c r="A339" s="3" t="s">
        <v>38</v>
      </c>
      <c r="B339" s="4" t="s">
        <v>13</v>
      </c>
      <c r="C339" s="17">
        <v>9.0741718619576996</v>
      </c>
      <c r="D339" s="23"/>
    </row>
    <row r="340" spans="1:4" x14ac:dyDescent="0.25">
      <c r="A340" s="3" t="s">
        <v>38</v>
      </c>
      <c r="B340" s="4" t="s">
        <v>14</v>
      </c>
      <c r="C340" s="17">
        <v>10.643808887556199</v>
      </c>
      <c r="D340" s="23"/>
    </row>
    <row r="341" spans="1:4" x14ac:dyDescent="0.25">
      <c r="A341" s="3" t="s">
        <v>38</v>
      </c>
      <c r="B341" s="4" t="s">
        <v>15</v>
      </c>
      <c r="C341" s="17">
        <v>10.5204847662541</v>
      </c>
      <c r="D341" s="23"/>
    </row>
    <row r="342" spans="1:4" x14ac:dyDescent="0.25">
      <c r="A342" s="3" t="s">
        <v>38</v>
      </c>
      <c r="B342" s="4" t="s">
        <v>16</v>
      </c>
      <c r="C342" s="17">
        <v>12.9272243497622</v>
      </c>
      <c r="D342" s="23"/>
    </row>
    <row r="343" spans="1:4" x14ac:dyDescent="0.25">
      <c r="A343" s="3" t="s">
        <v>38</v>
      </c>
      <c r="B343" s="4" t="s">
        <v>17</v>
      </c>
      <c r="C343" s="17">
        <v>15.331996958651599</v>
      </c>
      <c r="D343" s="23"/>
    </row>
    <row r="344" spans="1:4" x14ac:dyDescent="0.25">
      <c r="A344" s="3" t="s">
        <v>38</v>
      </c>
      <c r="B344" s="4" t="s">
        <v>18</v>
      </c>
      <c r="C344" s="17">
        <v>0</v>
      </c>
      <c r="D344" s="23"/>
    </row>
    <row r="345" spans="1:4" x14ac:dyDescent="0.25">
      <c r="A345" s="3" t="s">
        <v>38</v>
      </c>
      <c r="B345" s="4" t="s">
        <v>19</v>
      </c>
      <c r="C345" s="17">
        <v>89.715000000000003</v>
      </c>
      <c r="D345" s="23">
        <v>37.700000000000003</v>
      </c>
    </row>
    <row r="346" spans="1:4" ht="15.75" thickBot="1" x14ac:dyDescent="0.3">
      <c r="A346" s="5" t="s">
        <v>38</v>
      </c>
      <c r="B346" s="6" t="s">
        <v>20</v>
      </c>
      <c r="C346" s="18">
        <v>64.736686824181803</v>
      </c>
      <c r="D346" s="24">
        <v>0.94299999999999995</v>
      </c>
    </row>
    <row r="347" spans="1:4" x14ac:dyDescent="0.25">
      <c r="A347" s="7" t="s">
        <v>39</v>
      </c>
      <c r="B347" s="8" t="s">
        <v>2</v>
      </c>
      <c r="C347" s="13">
        <v>13499.397999999999</v>
      </c>
      <c r="D347" s="25">
        <v>6603.8689999999997</v>
      </c>
    </row>
    <row r="348" spans="1:4" x14ac:dyDescent="0.25">
      <c r="A348" s="9" t="s">
        <v>39</v>
      </c>
      <c r="B348" s="10" t="s">
        <v>3</v>
      </c>
      <c r="C348" s="14">
        <v>10576.697</v>
      </c>
      <c r="D348" s="20">
        <v>6516.9110000000001</v>
      </c>
    </row>
    <row r="349" spans="1:4" x14ac:dyDescent="0.25">
      <c r="A349" s="9" t="s">
        <v>39</v>
      </c>
      <c r="B349" s="10" t="s">
        <v>4</v>
      </c>
      <c r="C349" s="14">
        <v>10870.307000000001</v>
      </c>
      <c r="D349" s="20">
        <v>5998.7439999999997</v>
      </c>
    </row>
    <row r="350" spans="1:4" x14ac:dyDescent="0.25">
      <c r="A350" s="9" t="s">
        <v>39</v>
      </c>
      <c r="B350" s="10" t="s">
        <v>5</v>
      </c>
      <c r="C350" s="14">
        <v>7509.6360000000004</v>
      </c>
      <c r="D350" s="20">
        <v>6103.72</v>
      </c>
    </row>
    <row r="351" spans="1:4" x14ac:dyDescent="0.25">
      <c r="A351" s="9" t="s">
        <v>39</v>
      </c>
      <c r="B351" s="10" t="s">
        <v>6</v>
      </c>
      <c r="C351" s="14">
        <v>7568.3159999999998</v>
      </c>
      <c r="D351" s="20">
        <v>5786.7420000000002</v>
      </c>
    </row>
    <row r="352" spans="1:4" x14ac:dyDescent="0.25">
      <c r="A352" s="9" t="s">
        <v>39</v>
      </c>
      <c r="B352" s="10" t="s">
        <v>7</v>
      </c>
      <c r="C352" s="14">
        <v>8155.47</v>
      </c>
      <c r="D352" s="20">
        <v>6393.9520000000002</v>
      </c>
    </row>
    <row r="353" spans="1:4" x14ac:dyDescent="0.25">
      <c r="A353" s="9" t="s">
        <v>39</v>
      </c>
      <c r="B353" s="10" t="s">
        <v>8</v>
      </c>
      <c r="C353" s="14">
        <v>8887.268</v>
      </c>
      <c r="D353" s="20">
        <v>5606.4250000000002</v>
      </c>
    </row>
    <row r="354" spans="1:4" x14ac:dyDescent="0.25">
      <c r="A354" s="9" t="s">
        <v>39</v>
      </c>
      <c r="B354" s="10" t="s">
        <v>9</v>
      </c>
      <c r="C354" s="14">
        <v>10852.273999999999</v>
      </c>
      <c r="D354" s="20">
        <v>5718.0370000000003</v>
      </c>
    </row>
    <row r="355" spans="1:4" x14ac:dyDescent="0.25">
      <c r="A355" s="9" t="s">
        <v>39</v>
      </c>
      <c r="B355" s="10" t="s">
        <v>10</v>
      </c>
      <c r="C355" s="14">
        <v>11686.876</v>
      </c>
      <c r="D355" s="20">
        <v>7464.1549999999997</v>
      </c>
    </row>
    <row r="356" spans="1:4" x14ac:dyDescent="0.25">
      <c r="A356" s="9" t="s">
        <v>39</v>
      </c>
      <c r="B356" s="10" t="s">
        <v>11</v>
      </c>
      <c r="C356" s="14">
        <v>9455.8760000000002</v>
      </c>
      <c r="D356" s="20"/>
    </row>
    <row r="357" spans="1:4" x14ac:dyDescent="0.25">
      <c r="A357" s="9" t="s">
        <v>39</v>
      </c>
      <c r="B357" s="10" t="s">
        <v>12</v>
      </c>
      <c r="C357" s="14">
        <v>9953.7286764440505</v>
      </c>
      <c r="D357" s="20"/>
    </row>
    <row r="358" spans="1:4" x14ac:dyDescent="0.25">
      <c r="A358" s="9" t="s">
        <v>39</v>
      </c>
      <c r="B358" s="10" t="s">
        <v>13</v>
      </c>
      <c r="C358" s="14">
        <v>10468.375490829299</v>
      </c>
      <c r="D358" s="20"/>
    </row>
    <row r="359" spans="1:4" x14ac:dyDescent="0.25">
      <c r="A359" s="9" t="s">
        <v>39</v>
      </c>
      <c r="B359" s="10" t="s">
        <v>14</v>
      </c>
      <c r="C359" s="14">
        <v>11513.8754881078</v>
      </c>
      <c r="D359" s="20"/>
    </row>
    <row r="360" spans="1:4" x14ac:dyDescent="0.25">
      <c r="A360" s="9" t="s">
        <v>39</v>
      </c>
      <c r="B360" s="10" t="s">
        <v>15</v>
      </c>
      <c r="C360" s="14">
        <v>11511.8373461914</v>
      </c>
      <c r="D360" s="20"/>
    </row>
    <row r="361" spans="1:4" x14ac:dyDescent="0.25">
      <c r="A361" s="9" t="s">
        <v>39</v>
      </c>
      <c r="B361" s="10" t="s">
        <v>16</v>
      </c>
      <c r="C361" s="14">
        <v>13129.3350814635</v>
      </c>
      <c r="D361" s="20"/>
    </row>
    <row r="362" spans="1:4" x14ac:dyDescent="0.25">
      <c r="A362" s="9" t="s">
        <v>39</v>
      </c>
      <c r="B362" s="10" t="s">
        <v>17</v>
      </c>
      <c r="C362" s="14">
        <v>14799.6830643098</v>
      </c>
      <c r="D362" s="20"/>
    </row>
    <row r="363" spans="1:4" x14ac:dyDescent="0.25">
      <c r="A363" s="9" t="s">
        <v>39</v>
      </c>
      <c r="B363" s="10" t="s">
        <v>18</v>
      </c>
      <c r="C363" s="14">
        <v>34946.402000000002</v>
      </c>
      <c r="D363" s="20">
        <v>19119.524000000001</v>
      </c>
    </row>
    <row r="364" spans="1:4" x14ac:dyDescent="0.25">
      <c r="A364" s="9" t="s">
        <v>39</v>
      </c>
      <c r="B364" s="10" t="s">
        <v>19</v>
      </c>
      <c r="C364" s="14">
        <v>42972.964</v>
      </c>
      <c r="D364" s="20">
        <v>29608.876</v>
      </c>
    </row>
    <row r="365" spans="1:4" ht="15.75" thickBot="1" x14ac:dyDescent="0.3">
      <c r="A365" s="11" t="s">
        <v>39</v>
      </c>
      <c r="B365" s="12" t="s">
        <v>20</v>
      </c>
      <c r="C365" s="15">
        <v>92519.587147345897</v>
      </c>
      <c r="D365" s="21">
        <v>7464.1549999999997</v>
      </c>
    </row>
    <row r="366" spans="1:4" x14ac:dyDescent="0.25">
      <c r="A366" s="1" t="s">
        <v>40</v>
      </c>
      <c r="B366" s="2" t="s">
        <v>2</v>
      </c>
      <c r="C366" s="16">
        <v>3229.3209999999999</v>
      </c>
      <c r="D366" s="22">
        <v>2603.3490000000002</v>
      </c>
    </row>
    <row r="367" spans="1:4" x14ac:dyDescent="0.25">
      <c r="A367" s="3" t="s">
        <v>40</v>
      </c>
      <c r="B367" s="4" t="s">
        <v>3</v>
      </c>
      <c r="C367" s="17">
        <v>3229.3209999999999</v>
      </c>
      <c r="D367" s="23">
        <v>2712.9720000000002</v>
      </c>
    </row>
    <row r="368" spans="1:4" x14ac:dyDescent="0.25">
      <c r="A368" s="3" t="s">
        <v>40</v>
      </c>
      <c r="B368" s="4" t="s">
        <v>4</v>
      </c>
      <c r="C368" s="17">
        <v>3229.3209999999999</v>
      </c>
      <c r="D368" s="23">
        <v>2567.2310000000002</v>
      </c>
    </row>
    <row r="369" spans="1:4" x14ac:dyDescent="0.25">
      <c r="A369" s="3" t="s">
        <v>40</v>
      </c>
      <c r="B369" s="4" t="s">
        <v>5</v>
      </c>
      <c r="C369" s="17">
        <v>2488.2289999999998</v>
      </c>
      <c r="D369" s="23">
        <v>2098.895</v>
      </c>
    </row>
    <row r="370" spans="1:4" x14ac:dyDescent="0.25">
      <c r="A370" s="3" t="s">
        <v>40</v>
      </c>
      <c r="B370" s="4" t="s">
        <v>6</v>
      </c>
      <c r="C370" s="17">
        <v>2488.2289999999998</v>
      </c>
      <c r="D370" s="23">
        <v>2181.694</v>
      </c>
    </row>
    <row r="371" spans="1:4" x14ac:dyDescent="0.25">
      <c r="A371" s="3" t="s">
        <v>40</v>
      </c>
      <c r="B371" s="4" t="s">
        <v>7</v>
      </c>
      <c r="C371" s="17">
        <v>2488.433</v>
      </c>
      <c r="D371" s="23">
        <v>2252.6619999999998</v>
      </c>
    </row>
    <row r="372" spans="1:4" x14ac:dyDescent="0.25">
      <c r="A372" s="3" t="s">
        <v>40</v>
      </c>
      <c r="B372" s="4" t="s">
        <v>8</v>
      </c>
      <c r="C372" s="17">
        <v>2488.2289999999998</v>
      </c>
      <c r="D372" s="23">
        <v>2052.2109999999998</v>
      </c>
    </row>
    <row r="373" spans="1:4" x14ac:dyDescent="0.25">
      <c r="A373" s="3" t="s">
        <v>40</v>
      </c>
      <c r="B373" s="4" t="s">
        <v>9</v>
      </c>
      <c r="C373" s="17">
        <v>2488.346</v>
      </c>
      <c r="D373" s="23">
        <v>1989.537</v>
      </c>
    </row>
    <row r="374" spans="1:4" x14ac:dyDescent="0.25">
      <c r="A374" s="3" t="s">
        <v>40</v>
      </c>
      <c r="B374" s="4" t="s">
        <v>10</v>
      </c>
      <c r="C374" s="17">
        <v>2618.5749999999998</v>
      </c>
      <c r="D374" s="23">
        <v>1847.117</v>
      </c>
    </row>
    <row r="375" spans="1:4" x14ac:dyDescent="0.25">
      <c r="A375" s="3" t="s">
        <v>40</v>
      </c>
      <c r="B375" s="4" t="s">
        <v>11</v>
      </c>
      <c r="C375" s="17">
        <v>2116.0749999999998</v>
      </c>
      <c r="D375" s="23"/>
    </row>
    <row r="376" spans="1:4" x14ac:dyDescent="0.25">
      <c r="A376" s="3" t="s">
        <v>40</v>
      </c>
      <c r="B376" s="4" t="s">
        <v>12</v>
      </c>
      <c r="C376" s="17">
        <v>2215.4700213919</v>
      </c>
      <c r="D376" s="23"/>
    </row>
    <row r="377" spans="1:4" x14ac:dyDescent="0.25">
      <c r="A377" s="3" t="s">
        <v>40</v>
      </c>
      <c r="B377" s="4" t="s">
        <v>13</v>
      </c>
      <c r="C377" s="17">
        <v>2316.3160834622299</v>
      </c>
      <c r="D377" s="23"/>
    </row>
    <row r="378" spans="1:4" x14ac:dyDescent="0.25">
      <c r="A378" s="3" t="s">
        <v>40</v>
      </c>
      <c r="B378" s="4" t="s">
        <v>14</v>
      </c>
      <c r="C378" s="17">
        <v>2532.6189749824698</v>
      </c>
      <c r="D378" s="23"/>
    </row>
    <row r="379" spans="1:4" x14ac:dyDescent="0.25">
      <c r="A379" s="3" t="s">
        <v>40</v>
      </c>
      <c r="B379" s="4" t="s">
        <v>15</v>
      </c>
      <c r="C379" s="17">
        <v>2515.6243682059999</v>
      </c>
      <c r="D379" s="23"/>
    </row>
    <row r="380" spans="1:4" x14ac:dyDescent="0.25">
      <c r="A380" s="3" t="s">
        <v>40</v>
      </c>
      <c r="B380" s="4" t="s">
        <v>16</v>
      </c>
      <c r="C380" s="17">
        <v>2847.2836770519598</v>
      </c>
      <c r="D380" s="23"/>
    </row>
    <row r="381" spans="1:4" x14ac:dyDescent="0.25">
      <c r="A381" s="3" t="s">
        <v>40</v>
      </c>
      <c r="B381" s="4" t="s">
        <v>17</v>
      </c>
      <c r="C381" s="17">
        <v>3178.6719281370101</v>
      </c>
      <c r="D381" s="23"/>
    </row>
    <row r="382" spans="1:4" x14ac:dyDescent="0.25">
      <c r="A382" s="3" t="s">
        <v>40</v>
      </c>
      <c r="B382" s="4" t="s">
        <v>18</v>
      </c>
      <c r="C382" s="17">
        <v>9687.9629999999997</v>
      </c>
      <c r="D382" s="23">
        <v>7883.5519999999997</v>
      </c>
    </row>
    <row r="383" spans="1:4" x14ac:dyDescent="0.25">
      <c r="A383" s="3" t="s">
        <v>40</v>
      </c>
      <c r="B383" s="4" t="s">
        <v>19</v>
      </c>
      <c r="C383" s="17">
        <v>12441.466</v>
      </c>
      <c r="D383" s="23">
        <v>10574.999</v>
      </c>
    </row>
    <row r="384" spans="1:4" ht="15.75" thickBot="1" x14ac:dyDescent="0.3">
      <c r="A384" s="5" t="s">
        <v>40</v>
      </c>
      <c r="B384" s="6" t="s">
        <v>20</v>
      </c>
      <c r="C384" s="18">
        <v>20340.635053231599</v>
      </c>
      <c r="D384" s="24">
        <v>1847.117</v>
      </c>
    </row>
    <row r="385" spans="1:4" x14ac:dyDescent="0.25">
      <c r="A385" s="7" t="s">
        <v>41</v>
      </c>
      <c r="B385" s="8" t="s">
        <v>2</v>
      </c>
      <c r="C385" s="13">
        <v>2085.6019999999999</v>
      </c>
      <c r="D385" s="25">
        <v>1971.258</v>
      </c>
    </row>
    <row r="386" spans="1:4" x14ac:dyDescent="0.25">
      <c r="A386" s="9" t="s">
        <v>41</v>
      </c>
      <c r="B386" s="10" t="s">
        <v>3</v>
      </c>
      <c r="C386" s="14">
        <v>2167.3009999999999</v>
      </c>
      <c r="D386" s="20">
        <v>1985.7650000000001</v>
      </c>
    </row>
    <row r="387" spans="1:4" x14ac:dyDescent="0.25">
      <c r="A387" s="9" t="s">
        <v>41</v>
      </c>
      <c r="B387" s="10" t="s">
        <v>4</v>
      </c>
      <c r="C387" s="14">
        <v>2285.5720000000001</v>
      </c>
      <c r="D387" s="20">
        <v>2027.364</v>
      </c>
    </row>
    <row r="388" spans="1:4" x14ac:dyDescent="0.25">
      <c r="A388" s="9" t="s">
        <v>41</v>
      </c>
      <c r="B388" s="10" t="s">
        <v>5</v>
      </c>
      <c r="C388" s="14">
        <v>2107.837</v>
      </c>
      <c r="D388" s="20">
        <v>2018.585</v>
      </c>
    </row>
    <row r="389" spans="1:4" x14ac:dyDescent="0.25">
      <c r="A389" s="9" t="s">
        <v>41</v>
      </c>
      <c r="B389" s="10" t="s">
        <v>6</v>
      </c>
      <c r="C389" s="14">
        <v>2121.453</v>
      </c>
      <c r="D389" s="20">
        <v>1897.1130000000001</v>
      </c>
    </row>
    <row r="390" spans="1:4" x14ac:dyDescent="0.25">
      <c r="A390" s="9" t="s">
        <v>41</v>
      </c>
      <c r="B390" s="10" t="s">
        <v>7</v>
      </c>
      <c r="C390" s="14">
        <v>2159.36</v>
      </c>
      <c r="D390" s="20">
        <v>1878.307</v>
      </c>
    </row>
    <row r="391" spans="1:4" x14ac:dyDescent="0.25">
      <c r="A391" s="9" t="s">
        <v>41</v>
      </c>
      <c r="B391" s="10" t="s">
        <v>8</v>
      </c>
      <c r="C391" s="14">
        <v>2168.0050000000001</v>
      </c>
      <c r="D391" s="20">
        <v>1931.566</v>
      </c>
    </row>
    <row r="392" spans="1:4" x14ac:dyDescent="0.25">
      <c r="A392" s="9" t="s">
        <v>41</v>
      </c>
      <c r="B392" s="10" t="s">
        <v>9</v>
      </c>
      <c r="C392" s="14">
        <v>2158.65</v>
      </c>
      <c r="D392" s="20">
        <v>2052.4299999999998</v>
      </c>
    </row>
    <row r="393" spans="1:4" x14ac:dyDescent="0.25">
      <c r="A393" s="9" t="s">
        <v>41</v>
      </c>
      <c r="B393" s="10" t="s">
        <v>10</v>
      </c>
      <c r="C393" s="14">
        <v>1129.5</v>
      </c>
      <c r="D393" s="20">
        <v>1697.3040000000001</v>
      </c>
    </row>
    <row r="394" spans="1:4" x14ac:dyDescent="0.25">
      <c r="A394" s="9" t="s">
        <v>41</v>
      </c>
      <c r="B394" s="10" t="s">
        <v>11</v>
      </c>
      <c r="C394" s="14">
        <v>646.5</v>
      </c>
      <c r="D394" s="20"/>
    </row>
    <row r="395" spans="1:4" x14ac:dyDescent="0.25">
      <c r="A395" s="9" t="s">
        <v>41</v>
      </c>
      <c r="B395" s="10" t="s">
        <v>12</v>
      </c>
      <c r="C395" s="14">
        <v>731.62075723495002</v>
      </c>
      <c r="D395" s="20"/>
    </row>
    <row r="396" spans="1:4" x14ac:dyDescent="0.25">
      <c r="A396" s="9" t="s">
        <v>41</v>
      </c>
      <c r="B396" s="10" t="s">
        <v>13</v>
      </c>
      <c r="C396" s="14">
        <v>817.07535271908205</v>
      </c>
      <c r="D396" s="20"/>
    </row>
    <row r="397" spans="1:4" x14ac:dyDescent="0.25">
      <c r="A397" s="9" t="s">
        <v>41</v>
      </c>
      <c r="B397" s="10" t="s">
        <v>14</v>
      </c>
      <c r="C397" s="14">
        <v>1000.3653664037</v>
      </c>
      <c r="D397" s="20"/>
    </row>
    <row r="398" spans="1:4" x14ac:dyDescent="0.25">
      <c r="A398" s="9" t="s">
        <v>41</v>
      </c>
      <c r="B398" s="10" t="s">
        <v>15</v>
      </c>
      <c r="C398" s="14">
        <v>985.96453391028194</v>
      </c>
      <c r="D398" s="20"/>
    </row>
    <row r="399" spans="1:4" x14ac:dyDescent="0.25">
      <c r="A399" s="9" t="s">
        <v>41</v>
      </c>
      <c r="B399" s="10" t="s">
        <v>16</v>
      </c>
      <c r="C399" s="14">
        <v>1267.00487890871</v>
      </c>
      <c r="D399" s="20"/>
    </row>
    <row r="400" spans="1:4" x14ac:dyDescent="0.25">
      <c r="A400" s="9" t="s">
        <v>41</v>
      </c>
      <c r="B400" s="10" t="s">
        <v>17</v>
      </c>
      <c r="C400" s="14">
        <v>1547.8155358971601</v>
      </c>
      <c r="D400" s="20"/>
    </row>
    <row r="401" spans="1:4" x14ac:dyDescent="0.25">
      <c r="A401" s="9" t="s">
        <v>41</v>
      </c>
      <c r="B401" s="10" t="s">
        <v>18</v>
      </c>
      <c r="C401" s="14">
        <v>6538.4750000000004</v>
      </c>
      <c r="D401" s="20">
        <v>5984.3869999999997</v>
      </c>
    </row>
    <row r="402" spans="1:4" x14ac:dyDescent="0.25">
      <c r="A402" s="9" t="s">
        <v>41</v>
      </c>
      <c r="B402" s="10" t="s">
        <v>19</v>
      </c>
      <c r="C402" s="14">
        <v>10715.305</v>
      </c>
      <c r="D402" s="20">
        <v>9778.0010000000002</v>
      </c>
    </row>
    <row r="403" spans="1:4" ht="15.75" thickBot="1" x14ac:dyDescent="0.3">
      <c r="A403" s="11" t="s">
        <v>41</v>
      </c>
      <c r="B403" s="12" t="s">
        <v>20</v>
      </c>
      <c r="C403" s="15">
        <v>8125.8464250738798</v>
      </c>
      <c r="D403" s="21">
        <v>1697.3040000000001</v>
      </c>
    </row>
    <row r="404" spans="1:4" x14ac:dyDescent="0.25">
      <c r="A404" s="1" t="s">
        <v>42</v>
      </c>
      <c r="B404" s="2" t="s">
        <v>2</v>
      </c>
      <c r="C404" s="16">
        <v>0</v>
      </c>
      <c r="D404" s="22"/>
    </row>
    <row r="405" spans="1:4" x14ac:dyDescent="0.25">
      <c r="A405" s="3" t="s">
        <v>42</v>
      </c>
      <c r="B405" s="4" t="s">
        <v>3</v>
      </c>
      <c r="C405" s="17">
        <v>0</v>
      </c>
      <c r="D405" s="23"/>
    </row>
    <row r="406" spans="1:4" x14ac:dyDescent="0.25">
      <c r="A406" s="3" t="s">
        <v>42</v>
      </c>
      <c r="B406" s="4" t="s">
        <v>4</v>
      </c>
      <c r="C406" s="17">
        <v>0</v>
      </c>
      <c r="D406" s="23"/>
    </row>
    <row r="407" spans="1:4" x14ac:dyDescent="0.25">
      <c r="A407" s="3" t="s">
        <v>42</v>
      </c>
      <c r="B407" s="4" t="s">
        <v>5</v>
      </c>
      <c r="C407" s="17">
        <v>0</v>
      </c>
      <c r="D407" s="23"/>
    </row>
    <row r="408" spans="1:4" x14ac:dyDescent="0.25">
      <c r="A408" s="3" t="s">
        <v>42</v>
      </c>
      <c r="B408" s="4" t="s">
        <v>6</v>
      </c>
      <c r="C408" s="17">
        <v>0</v>
      </c>
      <c r="D408" s="23"/>
    </row>
    <row r="409" spans="1:4" x14ac:dyDescent="0.25">
      <c r="A409" s="3" t="s">
        <v>42</v>
      </c>
      <c r="B409" s="4" t="s">
        <v>7</v>
      </c>
      <c r="C409" s="17">
        <v>0</v>
      </c>
      <c r="D409" s="23"/>
    </row>
    <row r="410" spans="1:4" x14ac:dyDescent="0.25">
      <c r="A410" s="3" t="s">
        <v>42</v>
      </c>
      <c r="B410" s="4" t="s">
        <v>8</v>
      </c>
      <c r="C410" s="17">
        <v>0</v>
      </c>
      <c r="D410" s="23"/>
    </row>
    <row r="411" spans="1:4" x14ac:dyDescent="0.25">
      <c r="A411" s="3" t="s">
        <v>42</v>
      </c>
      <c r="B411" s="4" t="s">
        <v>9</v>
      </c>
      <c r="C411" s="17">
        <v>0</v>
      </c>
      <c r="D411" s="23"/>
    </row>
    <row r="412" spans="1:4" x14ac:dyDescent="0.25">
      <c r="A412" s="3" t="s">
        <v>42</v>
      </c>
      <c r="B412" s="4" t="s">
        <v>10</v>
      </c>
      <c r="C412" s="17">
        <v>200000</v>
      </c>
      <c r="D412" s="23"/>
    </row>
    <row r="413" spans="1:4" x14ac:dyDescent="0.25">
      <c r="A413" s="3" t="s">
        <v>42</v>
      </c>
      <c r="B413" s="4" t="s">
        <v>11</v>
      </c>
      <c r="C413" s="17">
        <v>100000</v>
      </c>
      <c r="D413" s="23"/>
    </row>
    <row r="414" spans="1:4" x14ac:dyDescent="0.25">
      <c r="A414" s="3" t="s">
        <v>42</v>
      </c>
      <c r="B414" s="4" t="s">
        <v>12</v>
      </c>
      <c r="C414" s="17">
        <v>0</v>
      </c>
      <c r="D414" s="23"/>
    </row>
    <row r="415" spans="1:4" x14ac:dyDescent="0.25">
      <c r="A415" s="3" t="s">
        <v>42</v>
      </c>
      <c r="B415" s="4" t="s">
        <v>13</v>
      </c>
      <c r="C415" s="17">
        <v>0</v>
      </c>
      <c r="D415" s="23"/>
    </row>
    <row r="416" spans="1:4" x14ac:dyDescent="0.25">
      <c r="A416" s="3" t="s">
        <v>42</v>
      </c>
      <c r="B416" s="4" t="s">
        <v>14</v>
      </c>
      <c r="C416" s="17">
        <v>0</v>
      </c>
      <c r="D416" s="23"/>
    </row>
    <row r="417" spans="1:4" x14ac:dyDescent="0.25">
      <c r="A417" s="3" t="s">
        <v>42</v>
      </c>
      <c r="B417" s="4" t="s">
        <v>15</v>
      </c>
      <c r="C417" s="17">
        <v>0</v>
      </c>
      <c r="D417" s="23"/>
    </row>
    <row r="418" spans="1:4" x14ac:dyDescent="0.25">
      <c r="A418" s="3" t="s">
        <v>42</v>
      </c>
      <c r="B418" s="4" t="s">
        <v>16</v>
      </c>
      <c r="C418" s="17">
        <v>0</v>
      </c>
      <c r="D418" s="23"/>
    </row>
    <row r="419" spans="1:4" x14ac:dyDescent="0.25">
      <c r="A419" s="3" t="s">
        <v>42</v>
      </c>
      <c r="B419" s="4" t="s">
        <v>17</v>
      </c>
      <c r="C419" s="17">
        <v>0</v>
      </c>
      <c r="D419" s="23"/>
    </row>
    <row r="420" spans="1:4" x14ac:dyDescent="0.25">
      <c r="A420" s="3" t="s">
        <v>42</v>
      </c>
      <c r="B420" s="4" t="s">
        <v>18</v>
      </c>
      <c r="C420" s="17">
        <v>0</v>
      </c>
      <c r="D420" s="23"/>
    </row>
    <row r="421" spans="1:4" x14ac:dyDescent="0.25">
      <c r="A421" s="3" t="s">
        <v>42</v>
      </c>
      <c r="B421" s="4" t="s">
        <v>19</v>
      </c>
      <c r="C421" s="17">
        <v>0</v>
      </c>
      <c r="D421" s="23"/>
    </row>
    <row r="422" spans="1:4" ht="15.75" thickBot="1" x14ac:dyDescent="0.3">
      <c r="A422" s="5" t="s">
        <v>42</v>
      </c>
      <c r="B422" s="6" t="s">
        <v>20</v>
      </c>
      <c r="C422" s="18">
        <v>300000</v>
      </c>
      <c r="D422" s="24"/>
    </row>
    <row r="423" spans="1:4" x14ac:dyDescent="0.25">
      <c r="A423" s="7" t="s">
        <v>43</v>
      </c>
      <c r="B423" s="8" t="s">
        <v>2</v>
      </c>
      <c r="C423" s="13">
        <v>86452.490999999995</v>
      </c>
      <c r="D423" s="25">
        <v>80351.292000000001</v>
      </c>
    </row>
    <row r="424" spans="1:4" x14ac:dyDescent="0.25">
      <c r="A424" s="9" t="s">
        <v>43</v>
      </c>
      <c r="B424" s="10" t="s">
        <v>3</v>
      </c>
      <c r="C424" s="14">
        <v>86387.888999999996</v>
      </c>
      <c r="D424" s="20">
        <v>76702.137000000002</v>
      </c>
    </row>
    <row r="425" spans="1:4" x14ac:dyDescent="0.25">
      <c r="A425" s="9" t="s">
        <v>43</v>
      </c>
      <c r="B425" s="10" t="s">
        <v>4</v>
      </c>
      <c r="C425" s="14">
        <v>86476.714000000007</v>
      </c>
      <c r="D425" s="20">
        <v>79872.395000000004</v>
      </c>
    </row>
    <row r="426" spans="1:4" x14ac:dyDescent="0.25">
      <c r="A426" s="9" t="s">
        <v>43</v>
      </c>
      <c r="B426" s="10" t="s">
        <v>5</v>
      </c>
      <c r="C426" s="14">
        <v>76756.732000000004</v>
      </c>
      <c r="D426" s="20">
        <v>83510.581999999995</v>
      </c>
    </row>
    <row r="427" spans="1:4" x14ac:dyDescent="0.25">
      <c r="A427" s="9" t="s">
        <v>43</v>
      </c>
      <c r="B427" s="10" t="s">
        <v>6</v>
      </c>
      <c r="C427" s="14">
        <v>83834.17</v>
      </c>
      <c r="D427" s="20">
        <v>81030.7</v>
      </c>
    </row>
    <row r="428" spans="1:4" x14ac:dyDescent="0.25">
      <c r="A428" s="9" t="s">
        <v>43</v>
      </c>
      <c r="B428" s="10" t="s">
        <v>7</v>
      </c>
      <c r="C428" s="14">
        <v>92843.281000000003</v>
      </c>
      <c r="D428" s="20">
        <v>84735.599000000002</v>
      </c>
    </row>
    <row r="429" spans="1:4" x14ac:dyDescent="0.25">
      <c r="A429" s="9" t="s">
        <v>43</v>
      </c>
      <c r="B429" s="10" t="s">
        <v>8</v>
      </c>
      <c r="C429" s="14">
        <v>92831.672999999995</v>
      </c>
      <c r="D429" s="20">
        <v>79966.837</v>
      </c>
    </row>
    <row r="430" spans="1:4" x14ac:dyDescent="0.25">
      <c r="A430" s="9" t="s">
        <v>43</v>
      </c>
      <c r="B430" s="10" t="s">
        <v>9</v>
      </c>
      <c r="C430" s="14">
        <v>90997.432000000001</v>
      </c>
      <c r="D430" s="20">
        <v>76425.922000000006</v>
      </c>
    </row>
    <row r="431" spans="1:4" x14ac:dyDescent="0.25">
      <c r="A431" s="9" t="s">
        <v>43</v>
      </c>
      <c r="B431" s="10" t="s">
        <v>10</v>
      </c>
      <c r="C431" s="14">
        <v>83844.763999999996</v>
      </c>
      <c r="D431" s="20">
        <v>86796.33</v>
      </c>
    </row>
    <row r="432" spans="1:4" x14ac:dyDescent="0.25">
      <c r="A432" s="9" t="s">
        <v>43</v>
      </c>
      <c r="B432" s="10" t="s">
        <v>11</v>
      </c>
      <c r="C432" s="14">
        <v>70629.263999999996</v>
      </c>
      <c r="D432" s="20"/>
    </row>
    <row r="433" spans="1:4" x14ac:dyDescent="0.25">
      <c r="A433" s="9" t="s">
        <v>43</v>
      </c>
      <c r="B433" s="10" t="s">
        <v>12</v>
      </c>
      <c r="C433" s="14">
        <v>73390.471275132804</v>
      </c>
      <c r="D433" s="20"/>
    </row>
    <row r="434" spans="1:4" x14ac:dyDescent="0.25">
      <c r="A434" s="9" t="s">
        <v>43</v>
      </c>
      <c r="B434" s="10" t="s">
        <v>13</v>
      </c>
      <c r="C434" s="14">
        <v>76198.176303382206</v>
      </c>
      <c r="D434" s="20"/>
    </row>
    <row r="435" spans="1:4" x14ac:dyDescent="0.25">
      <c r="A435" s="9" t="s">
        <v>43</v>
      </c>
      <c r="B435" s="10" t="s">
        <v>14</v>
      </c>
      <c r="C435" s="14">
        <v>82220.371951663605</v>
      </c>
      <c r="D435" s="20"/>
    </row>
    <row r="436" spans="1:4" x14ac:dyDescent="0.25">
      <c r="A436" s="9" t="s">
        <v>43</v>
      </c>
      <c r="B436" s="10" t="s">
        <v>15</v>
      </c>
      <c r="C436" s="14">
        <v>81747.216709705404</v>
      </c>
      <c r="D436" s="20"/>
    </row>
    <row r="437" spans="1:4" x14ac:dyDescent="0.25">
      <c r="A437" s="9" t="s">
        <v>43</v>
      </c>
      <c r="B437" s="10" t="s">
        <v>16</v>
      </c>
      <c r="C437" s="14">
        <v>90981.107354469495</v>
      </c>
      <c r="D437" s="20"/>
    </row>
    <row r="438" spans="1:4" x14ac:dyDescent="0.25">
      <c r="A438" s="9" t="s">
        <v>43</v>
      </c>
      <c r="B438" s="10" t="s">
        <v>17</v>
      </c>
      <c r="C438" s="14">
        <v>100207.45134622</v>
      </c>
      <c r="D438" s="20"/>
    </row>
    <row r="439" spans="1:4" x14ac:dyDescent="0.25">
      <c r="A439" s="9" t="s">
        <v>43</v>
      </c>
      <c r="B439" s="10" t="s">
        <v>18</v>
      </c>
      <c r="C439" s="14">
        <v>259317.09400000001</v>
      </c>
      <c r="D439" s="20">
        <v>236925.82399999999</v>
      </c>
    </row>
    <row r="440" spans="1:4" x14ac:dyDescent="0.25">
      <c r="A440" s="9" t="s">
        <v>43</v>
      </c>
      <c r="B440" s="10" t="s">
        <v>19</v>
      </c>
      <c r="C440" s="14">
        <v>437263.288</v>
      </c>
      <c r="D440" s="20">
        <v>405669.64</v>
      </c>
    </row>
    <row r="441" spans="1:4" ht="15.75" thickBot="1" x14ac:dyDescent="0.3">
      <c r="A441" s="11" t="s">
        <v>43</v>
      </c>
      <c r="B441" s="12" t="s">
        <v>20</v>
      </c>
      <c r="C441" s="15">
        <v>659218.82294057403</v>
      </c>
      <c r="D441" s="21">
        <v>86796.33</v>
      </c>
    </row>
    <row r="442" spans="1:4" x14ac:dyDescent="0.25">
      <c r="A442" s="1" t="s">
        <v>44</v>
      </c>
      <c r="B442" s="2" t="s">
        <v>2</v>
      </c>
      <c r="C442" s="16">
        <v>0</v>
      </c>
      <c r="D442" s="22"/>
    </row>
    <row r="443" spans="1:4" x14ac:dyDescent="0.25">
      <c r="A443" s="3" t="s">
        <v>44</v>
      </c>
      <c r="B443" s="4" t="s">
        <v>3</v>
      </c>
      <c r="C443" s="17">
        <v>0</v>
      </c>
      <c r="D443" s="23"/>
    </row>
    <row r="444" spans="1:4" x14ac:dyDescent="0.25">
      <c r="A444" s="3" t="s">
        <v>44</v>
      </c>
      <c r="B444" s="4" t="s">
        <v>4</v>
      </c>
      <c r="C444" s="17">
        <v>0</v>
      </c>
      <c r="D444" s="23"/>
    </row>
    <row r="445" spans="1:4" x14ac:dyDescent="0.25">
      <c r="A445" s="3" t="s">
        <v>44</v>
      </c>
      <c r="B445" s="4" t="s">
        <v>5</v>
      </c>
      <c r="C445" s="17">
        <v>7538.1679999999997</v>
      </c>
      <c r="D445" s="23">
        <v>19342.442999999999</v>
      </c>
    </row>
    <row r="446" spans="1:4" x14ac:dyDescent="0.25">
      <c r="A446" s="3" t="s">
        <v>44</v>
      </c>
      <c r="B446" s="4" t="s">
        <v>6</v>
      </c>
      <c r="C446" s="17">
        <v>20565.928</v>
      </c>
      <c r="D446" s="23">
        <v>19215.689999999999</v>
      </c>
    </row>
    <row r="447" spans="1:4" x14ac:dyDescent="0.25">
      <c r="A447" s="3" t="s">
        <v>44</v>
      </c>
      <c r="B447" s="4" t="s">
        <v>7</v>
      </c>
      <c r="C447" s="17">
        <v>14336.071</v>
      </c>
      <c r="D447" s="23">
        <v>19335.303</v>
      </c>
    </row>
    <row r="448" spans="1:4" x14ac:dyDescent="0.25">
      <c r="A448" s="3" t="s">
        <v>44</v>
      </c>
      <c r="B448" s="4" t="s">
        <v>8</v>
      </c>
      <c r="C448" s="17">
        <v>14752.611999999999</v>
      </c>
      <c r="D448" s="23">
        <v>19231.024000000001</v>
      </c>
    </row>
    <row r="449" spans="1:4" x14ac:dyDescent="0.25">
      <c r="A449" s="3" t="s">
        <v>44</v>
      </c>
      <c r="B449" s="4" t="s">
        <v>9</v>
      </c>
      <c r="C449" s="17">
        <v>18177.344000000001</v>
      </c>
      <c r="D449" s="23">
        <v>18588.71</v>
      </c>
    </row>
    <row r="450" spans="1:4" x14ac:dyDescent="0.25">
      <c r="A450" s="3" t="s">
        <v>44</v>
      </c>
      <c r="B450" s="4" t="s">
        <v>10</v>
      </c>
      <c r="C450" s="17">
        <v>25013.929</v>
      </c>
      <c r="D450" s="23">
        <v>24695.755000000001</v>
      </c>
    </row>
    <row r="451" spans="1:4" x14ac:dyDescent="0.25">
      <c r="A451" s="3" t="s">
        <v>44</v>
      </c>
      <c r="B451" s="4" t="s">
        <v>11</v>
      </c>
      <c r="C451" s="17">
        <v>17470.929</v>
      </c>
      <c r="D451" s="23"/>
    </row>
    <row r="452" spans="1:4" x14ac:dyDescent="0.25">
      <c r="A452" s="3" t="s">
        <v>44</v>
      </c>
      <c r="B452" s="4" t="s">
        <v>12</v>
      </c>
      <c r="C452" s="17">
        <v>23046.0487323788</v>
      </c>
      <c r="D452" s="23"/>
    </row>
    <row r="453" spans="1:4" x14ac:dyDescent="0.25">
      <c r="A453" s="3" t="s">
        <v>44</v>
      </c>
      <c r="B453" s="4" t="s">
        <v>13</v>
      </c>
      <c r="C453" s="17">
        <v>23697.232555137802</v>
      </c>
      <c r="D453" s="23"/>
    </row>
    <row r="454" spans="1:4" x14ac:dyDescent="0.25">
      <c r="A454" s="3" t="s">
        <v>44</v>
      </c>
      <c r="B454" s="4" t="s">
        <v>14</v>
      </c>
      <c r="C454" s="17">
        <v>25093.944939164499</v>
      </c>
      <c r="D454" s="23"/>
    </row>
    <row r="455" spans="1:4" x14ac:dyDescent="0.25">
      <c r="A455" s="3" t="s">
        <v>44</v>
      </c>
      <c r="B455" s="4" t="s">
        <v>15</v>
      </c>
      <c r="C455" s="17">
        <v>24984.2072579919</v>
      </c>
      <c r="D455" s="23"/>
    </row>
    <row r="456" spans="1:4" x14ac:dyDescent="0.25">
      <c r="A456" s="3" t="s">
        <v>44</v>
      </c>
      <c r="B456" s="4" t="s">
        <v>16</v>
      </c>
      <c r="C456" s="17">
        <v>27125.799821490102</v>
      </c>
      <c r="D456" s="23"/>
    </row>
    <row r="457" spans="1:4" x14ac:dyDescent="0.25">
      <c r="A457" s="3" t="s">
        <v>44</v>
      </c>
      <c r="B457" s="4" t="s">
        <v>17</v>
      </c>
      <c r="C457" s="17">
        <v>29265.642109119199</v>
      </c>
      <c r="D457" s="23"/>
    </row>
    <row r="458" spans="1:4" x14ac:dyDescent="0.25">
      <c r="A458" s="3" t="s">
        <v>44</v>
      </c>
      <c r="B458" s="4" t="s">
        <v>18</v>
      </c>
      <c r="C458" s="17">
        <v>0</v>
      </c>
      <c r="D458" s="23"/>
    </row>
    <row r="459" spans="1:4" x14ac:dyDescent="0.25">
      <c r="A459" s="3" t="s">
        <v>44</v>
      </c>
      <c r="B459" s="4" t="s">
        <v>19</v>
      </c>
      <c r="C459" s="17">
        <v>75370.123000000007</v>
      </c>
      <c r="D459" s="23">
        <v>95713.17</v>
      </c>
    </row>
    <row r="460" spans="1:4" ht="15.75" thickBot="1" x14ac:dyDescent="0.3">
      <c r="A460" s="5" t="s">
        <v>44</v>
      </c>
      <c r="B460" s="6" t="s">
        <v>20</v>
      </c>
      <c r="C460" s="18">
        <v>195697.73341528201</v>
      </c>
      <c r="D460" s="24">
        <v>24695.755000000001</v>
      </c>
    </row>
    <row r="461" spans="1:4" x14ac:dyDescent="0.25">
      <c r="A461" s="7" t="s">
        <v>45</v>
      </c>
      <c r="B461" s="8" t="s">
        <v>2</v>
      </c>
      <c r="C461" s="13">
        <v>237557.63</v>
      </c>
      <c r="D461" s="25">
        <v>203149.576</v>
      </c>
    </row>
    <row r="462" spans="1:4" x14ac:dyDescent="0.25">
      <c r="A462" s="9" t="s">
        <v>45</v>
      </c>
      <c r="B462" s="10" t="s">
        <v>3</v>
      </c>
      <c r="C462" s="14">
        <v>237557.63</v>
      </c>
      <c r="D462" s="20">
        <v>209616.29</v>
      </c>
    </row>
    <row r="463" spans="1:4" x14ac:dyDescent="0.25">
      <c r="A463" s="9" t="s">
        <v>45</v>
      </c>
      <c r="B463" s="10" t="s">
        <v>4</v>
      </c>
      <c r="C463" s="14">
        <v>237542.72</v>
      </c>
      <c r="D463" s="20">
        <v>209618.35699999999</v>
      </c>
    </row>
    <row r="464" spans="1:4" x14ac:dyDescent="0.25">
      <c r="A464" s="9" t="s">
        <v>45</v>
      </c>
      <c r="B464" s="10" t="s">
        <v>5</v>
      </c>
      <c r="C464" s="14">
        <v>201001.99299999999</v>
      </c>
      <c r="D464" s="20">
        <v>204107.41899999999</v>
      </c>
    </row>
    <row r="465" spans="1:4" x14ac:dyDescent="0.25">
      <c r="A465" s="9" t="s">
        <v>45</v>
      </c>
      <c r="B465" s="10" t="s">
        <v>6</v>
      </c>
      <c r="C465" s="14">
        <v>202015.04</v>
      </c>
      <c r="D465" s="20">
        <v>191174.24900000001</v>
      </c>
    </row>
    <row r="466" spans="1:4" x14ac:dyDescent="0.25">
      <c r="A466" s="9" t="s">
        <v>45</v>
      </c>
      <c r="B466" s="10" t="s">
        <v>7</v>
      </c>
      <c r="C466" s="14">
        <v>205641.285</v>
      </c>
      <c r="D466" s="20">
        <v>199726.90700000001</v>
      </c>
    </row>
    <row r="467" spans="1:4" x14ac:dyDescent="0.25">
      <c r="A467" s="9" t="s">
        <v>45</v>
      </c>
      <c r="B467" s="10" t="s">
        <v>8</v>
      </c>
      <c r="C467" s="14">
        <v>207210.01800000001</v>
      </c>
      <c r="D467" s="20">
        <v>203026.52499999999</v>
      </c>
    </row>
    <row r="468" spans="1:4" x14ac:dyDescent="0.25">
      <c r="A468" s="9" t="s">
        <v>45</v>
      </c>
      <c r="B468" s="10" t="s">
        <v>9</v>
      </c>
      <c r="C468" s="14">
        <v>213035.19500000001</v>
      </c>
      <c r="D468" s="20">
        <v>196636.28</v>
      </c>
    </row>
    <row r="469" spans="1:4" x14ac:dyDescent="0.25">
      <c r="A469" s="9" t="s">
        <v>45</v>
      </c>
      <c r="B469" s="10" t="s">
        <v>10</v>
      </c>
      <c r="C469" s="14">
        <v>129354.58</v>
      </c>
      <c r="D469" s="20">
        <v>205734.342</v>
      </c>
    </row>
    <row r="470" spans="1:4" x14ac:dyDescent="0.25">
      <c r="A470" s="9" t="s">
        <v>45</v>
      </c>
      <c r="B470" s="10" t="s">
        <v>11</v>
      </c>
      <c r="C470" s="14">
        <v>76742.080000000002</v>
      </c>
      <c r="D470" s="20"/>
    </row>
    <row r="471" spans="1:4" x14ac:dyDescent="0.25">
      <c r="A471" s="9" t="s">
        <v>45</v>
      </c>
      <c r="B471" s="10" t="s">
        <v>12</v>
      </c>
      <c r="C471" s="14">
        <v>86560.016291128399</v>
      </c>
      <c r="D471" s="20"/>
    </row>
    <row r="472" spans="1:4" x14ac:dyDescent="0.25">
      <c r="A472" s="9" t="s">
        <v>45</v>
      </c>
      <c r="B472" s="10" t="s">
        <v>13</v>
      </c>
      <c r="C472" s="14">
        <v>103725.129822488</v>
      </c>
      <c r="D472" s="20"/>
    </row>
    <row r="473" spans="1:4" x14ac:dyDescent="0.25">
      <c r="A473" s="9" t="s">
        <v>45</v>
      </c>
      <c r="B473" s="10" t="s">
        <v>14</v>
      </c>
      <c r="C473" s="14">
        <v>134017.51585955999</v>
      </c>
      <c r="D473" s="20"/>
    </row>
    <row r="474" spans="1:4" x14ac:dyDescent="0.25">
      <c r="A474" s="9" t="s">
        <v>45</v>
      </c>
      <c r="B474" s="10" t="s">
        <v>15</v>
      </c>
      <c r="C474" s="14">
        <v>141142.30065176301</v>
      </c>
      <c r="D474" s="20"/>
    </row>
    <row r="475" spans="1:4" x14ac:dyDescent="0.25">
      <c r="A475" s="9" t="s">
        <v>45</v>
      </c>
      <c r="B475" s="10" t="s">
        <v>16</v>
      </c>
      <c r="C475" s="14">
        <v>186774.86230194301</v>
      </c>
      <c r="D475" s="20"/>
    </row>
    <row r="476" spans="1:4" x14ac:dyDescent="0.25">
      <c r="A476" s="9" t="s">
        <v>45</v>
      </c>
      <c r="B476" s="10" t="s">
        <v>17</v>
      </c>
      <c r="C476" s="14">
        <v>253501.073963281</v>
      </c>
      <c r="D476" s="20"/>
    </row>
    <row r="477" spans="1:4" x14ac:dyDescent="0.25">
      <c r="A477" s="9" t="s">
        <v>45</v>
      </c>
      <c r="B477" s="10" t="s">
        <v>18</v>
      </c>
      <c r="C477" s="14">
        <v>712657.98</v>
      </c>
      <c r="D477" s="20">
        <v>622384.223</v>
      </c>
    </row>
    <row r="478" spans="1:4" x14ac:dyDescent="0.25">
      <c r="A478" s="9" t="s">
        <v>45</v>
      </c>
      <c r="B478" s="10" t="s">
        <v>19</v>
      </c>
      <c r="C478" s="14">
        <v>1028903.531</v>
      </c>
      <c r="D478" s="20">
        <v>994671.38</v>
      </c>
    </row>
    <row r="479" spans="1:4" ht="15.75" thickBot="1" x14ac:dyDescent="0.3">
      <c r="A479" s="11" t="s">
        <v>45</v>
      </c>
      <c r="B479" s="12" t="s">
        <v>20</v>
      </c>
      <c r="C479" s="15">
        <v>1111817.5588901599</v>
      </c>
      <c r="D479" s="21">
        <v>205734.342</v>
      </c>
    </row>
    <row r="480" spans="1:4" x14ac:dyDescent="0.25">
      <c r="A480" s="1" t="s">
        <v>46</v>
      </c>
      <c r="B480" s="2" t="s">
        <v>2</v>
      </c>
      <c r="C480" s="16">
        <v>36908.807999999997</v>
      </c>
      <c r="D480" s="22">
        <v>36425.932999999997</v>
      </c>
    </row>
    <row r="481" spans="1:4" x14ac:dyDescent="0.25">
      <c r="A481" s="3" t="s">
        <v>46</v>
      </c>
      <c r="B481" s="4" t="s">
        <v>3</v>
      </c>
      <c r="C481" s="17">
        <v>36908.807999999997</v>
      </c>
      <c r="D481" s="23">
        <v>33061.968999999997</v>
      </c>
    </row>
    <row r="482" spans="1:4" x14ac:dyDescent="0.25">
      <c r="A482" s="3" t="s">
        <v>46</v>
      </c>
      <c r="B482" s="4" t="s">
        <v>4</v>
      </c>
      <c r="C482" s="17">
        <v>36908.807999999997</v>
      </c>
      <c r="D482" s="23">
        <v>31197.277999999998</v>
      </c>
    </row>
    <row r="483" spans="1:4" x14ac:dyDescent="0.25">
      <c r="A483" s="3" t="s">
        <v>46</v>
      </c>
      <c r="B483" s="4" t="s">
        <v>5</v>
      </c>
      <c r="C483" s="17">
        <v>30410.183000000001</v>
      </c>
      <c r="D483" s="23">
        <v>29911.64</v>
      </c>
    </row>
    <row r="484" spans="1:4" x14ac:dyDescent="0.25">
      <c r="A484" s="3" t="s">
        <v>46</v>
      </c>
      <c r="B484" s="4" t="s">
        <v>6</v>
      </c>
      <c r="C484" s="17">
        <v>30771.809000000001</v>
      </c>
      <c r="D484" s="23">
        <v>28261.96</v>
      </c>
    </row>
    <row r="485" spans="1:4" x14ac:dyDescent="0.25">
      <c r="A485" s="3" t="s">
        <v>46</v>
      </c>
      <c r="B485" s="4" t="s">
        <v>7</v>
      </c>
      <c r="C485" s="17">
        <v>32359.065999999999</v>
      </c>
      <c r="D485" s="23">
        <v>24167.19</v>
      </c>
    </row>
    <row r="486" spans="1:4" x14ac:dyDescent="0.25">
      <c r="A486" s="3" t="s">
        <v>46</v>
      </c>
      <c r="B486" s="4" t="s">
        <v>8</v>
      </c>
      <c r="C486" s="17">
        <v>32992.080999999998</v>
      </c>
      <c r="D486" s="23">
        <v>25010.518</v>
      </c>
    </row>
    <row r="487" spans="1:4" x14ac:dyDescent="0.25">
      <c r="A487" s="3" t="s">
        <v>46</v>
      </c>
      <c r="B487" s="4" t="s">
        <v>9</v>
      </c>
      <c r="C487" s="17">
        <v>32941.750999999997</v>
      </c>
      <c r="D487" s="23">
        <v>25249.697</v>
      </c>
    </row>
    <row r="488" spans="1:4" x14ac:dyDescent="0.25">
      <c r="A488" s="3" t="s">
        <v>46</v>
      </c>
      <c r="B488" s="4" t="s">
        <v>10</v>
      </c>
      <c r="C488" s="17">
        <v>30424.777999999998</v>
      </c>
      <c r="D488" s="23">
        <v>24641.817999999999</v>
      </c>
    </row>
    <row r="489" spans="1:4" x14ac:dyDescent="0.25">
      <c r="A489" s="3" t="s">
        <v>46</v>
      </c>
      <c r="B489" s="4" t="s">
        <v>11</v>
      </c>
      <c r="C489" s="17">
        <v>23046.277999999998</v>
      </c>
      <c r="D489" s="23"/>
    </row>
    <row r="490" spans="1:4" x14ac:dyDescent="0.25">
      <c r="A490" s="3" t="s">
        <v>46</v>
      </c>
      <c r="B490" s="4" t="s">
        <v>12</v>
      </c>
      <c r="C490" s="17">
        <v>24506.093194810601</v>
      </c>
      <c r="D490" s="23"/>
    </row>
    <row r="491" spans="1:4" x14ac:dyDescent="0.25">
      <c r="A491" s="3" t="s">
        <v>46</v>
      </c>
      <c r="B491" s="4" t="s">
        <v>13</v>
      </c>
      <c r="C491" s="17">
        <v>25979.000262090402</v>
      </c>
      <c r="D491" s="23"/>
    </row>
    <row r="492" spans="1:4" x14ac:dyDescent="0.25">
      <c r="A492" s="3" t="s">
        <v>46</v>
      </c>
      <c r="B492" s="4" t="s">
        <v>14</v>
      </c>
      <c r="C492" s="17">
        <v>29138.211946241499</v>
      </c>
      <c r="D492" s="23"/>
    </row>
    <row r="493" spans="1:4" x14ac:dyDescent="0.25">
      <c r="A493" s="3" t="s">
        <v>46</v>
      </c>
      <c r="B493" s="4" t="s">
        <v>15</v>
      </c>
      <c r="C493" s="17">
        <v>28889.9972325202</v>
      </c>
      <c r="D493" s="23"/>
    </row>
    <row r="494" spans="1:4" x14ac:dyDescent="0.25">
      <c r="A494" s="3" t="s">
        <v>46</v>
      </c>
      <c r="B494" s="4" t="s">
        <v>16</v>
      </c>
      <c r="C494" s="17">
        <v>33734.046964354602</v>
      </c>
      <c r="D494" s="23"/>
    </row>
    <row r="495" spans="1:4" x14ac:dyDescent="0.25">
      <c r="A495" s="3" t="s">
        <v>46</v>
      </c>
      <c r="B495" s="4" t="s">
        <v>17</v>
      </c>
      <c r="C495" s="17">
        <v>38574.137762310304</v>
      </c>
      <c r="D495" s="23"/>
    </row>
    <row r="496" spans="1:4" x14ac:dyDescent="0.25">
      <c r="A496" s="3" t="s">
        <v>46</v>
      </c>
      <c r="B496" s="4" t="s">
        <v>18</v>
      </c>
      <c r="C496" s="17">
        <v>110726.424</v>
      </c>
      <c r="D496" s="23">
        <v>100685.18</v>
      </c>
    </row>
    <row r="497" spans="1:4" x14ac:dyDescent="0.25">
      <c r="A497" s="3" t="s">
        <v>46</v>
      </c>
      <c r="B497" s="4" t="s">
        <v>19</v>
      </c>
      <c r="C497" s="17">
        <v>159474.89000000001</v>
      </c>
      <c r="D497" s="23">
        <v>132601.005</v>
      </c>
    </row>
    <row r="498" spans="1:4" ht="15.75" thickBot="1" x14ac:dyDescent="0.3">
      <c r="A498" s="5" t="s">
        <v>46</v>
      </c>
      <c r="B498" s="6" t="s">
        <v>20</v>
      </c>
      <c r="C498" s="18">
        <v>234292.543362328</v>
      </c>
      <c r="D498" s="24">
        <v>24641.817999999999</v>
      </c>
    </row>
    <row r="499" spans="1:4" x14ac:dyDescent="0.25">
      <c r="A499" s="7" t="s">
        <v>47</v>
      </c>
      <c r="B499" s="8" t="s">
        <v>2</v>
      </c>
      <c r="C499" s="13">
        <v>0</v>
      </c>
      <c r="D499" s="25"/>
    </row>
    <row r="500" spans="1:4" x14ac:dyDescent="0.25">
      <c r="A500" s="9" t="s">
        <v>47</v>
      </c>
      <c r="B500" s="10" t="s">
        <v>3</v>
      </c>
      <c r="C500" s="14">
        <v>0</v>
      </c>
      <c r="D500" s="20"/>
    </row>
    <row r="501" spans="1:4" x14ac:dyDescent="0.25">
      <c r="A501" s="9" t="s">
        <v>47</v>
      </c>
      <c r="B501" s="10" t="s">
        <v>4</v>
      </c>
      <c r="C501" s="14">
        <v>74343.205000000002</v>
      </c>
      <c r="D501" s="20">
        <v>69611.798999999999</v>
      </c>
    </row>
    <row r="502" spans="1:4" x14ac:dyDescent="0.25">
      <c r="A502" s="9" t="s">
        <v>47</v>
      </c>
      <c r="B502" s="10" t="s">
        <v>5</v>
      </c>
      <c r="C502" s="14">
        <v>71788.81</v>
      </c>
      <c r="D502" s="20">
        <v>63816.826000000001</v>
      </c>
    </row>
    <row r="503" spans="1:4" x14ac:dyDescent="0.25">
      <c r="A503" s="9" t="s">
        <v>47</v>
      </c>
      <c r="B503" s="10" t="s">
        <v>6</v>
      </c>
      <c r="C503" s="14">
        <v>73932.376000000004</v>
      </c>
      <c r="D503" s="20">
        <v>49061.703999999998</v>
      </c>
    </row>
    <row r="504" spans="1:4" x14ac:dyDescent="0.25">
      <c r="A504" s="9" t="s">
        <v>47</v>
      </c>
      <c r="B504" s="10" t="s">
        <v>7</v>
      </c>
      <c r="C504" s="14">
        <v>74990.923999999999</v>
      </c>
      <c r="D504" s="20">
        <v>47344.118999999999</v>
      </c>
    </row>
    <row r="505" spans="1:4" x14ac:dyDescent="0.25">
      <c r="A505" s="9" t="s">
        <v>47</v>
      </c>
      <c r="B505" s="10" t="s">
        <v>8</v>
      </c>
      <c r="C505" s="14">
        <v>74813.866999999998</v>
      </c>
      <c r="D505" s="20">
        <v>51238.934999999998</v>
      </c>
    </row>
    <row r="506" spans="1:4" x14ac:dyDescent="0.25">
      <c r="A506" s="9" t="s">
        <v>47</v>
      </c>
      <c r="B506" s="10" t="s">
        <v>9</v>
      </c>
      <c r="C506" s="14">
        <v>75863.923999999999</v>
      </c>
      <c r="D506" s="20">
        <v>47857.377</v>
      </c>
    </row>
    <row r="507" spans="1:4" x14ac:dyDescent="0.25">
      <c r="A507" s="9" t="s">
        <v>47</v>
      </c>
      <c r="B507" s="10" t="s">
        <v>10</v>
      </c>
      <c r="C507" s="14">
        <v>57564.391000000003</v>
      </c>
      <c r="D507" s="20">
        <v>42414.701000000001</v>
      </c>
    </row>
    <row r="508" spans="1:4" x14ac:dyDescent="0.25">
      <c r="A508" s="9" t="s">
        <v>47</v>
      </c>
      <c r="B508" s="10" t="s">
        <v>11</v>
      </c>
      <c r="C508" s="14">
        <v>40246.391000000003</v>
      </c>
      <c r="D508" s="20"/>
    </row>
    <row r="509" spans="1:4" x14ac:dyDescent="0.25">
      <c r="A509" s="9" t="s">
        <v>47</v>
      </c>
      <c r="B509" s="10" t="s">
        <v>12</v>
      </c>
      <c r="C509" s="14">
        <v>46973.942634702304</v>
      </c>
      <c r="D509" s="20"/>
    </row>
    <row r="510" spans="1:4" x14ac:dyDescent="0.25">
      <c r="A510" s="9" t="s">
        <v>47</v>
      </c>
      <c r="B510" s="10" t="s">
        <v>13</v>
      </c>
      <c r="C510" s="14">
        <v>53726.336202409802</v>
      </c>
      <c r="D510" s="20"/>
    </row>
    <row r="511" spans="1:4" x14ac:dyDescent="0.25">
      <c r="A511" s="9" t="s">
        <v>47</v>
      </c>
      <c r="B511" s="10" t="s">
        <v>14</v>
      </c>
      <c r="C511" s="14">
        <v>65289.568743405398</v>
      </c>
      <c r="D511" s="20"/>
    </row>
    <row r="512" spans="1:4" x14ac:dyDescent="0.25">
      <c r="A512" s="9" t="s">
        <v>47</v>
      </c>
      <c r="B512" s="10" t="s">
        <v>15</v>
      </c>
      <c r="C512" s="14">
        <v>67131.794852239007</v>
      </c>
      <c r="D512" s="20"/>
    </row>
    <row r="513" spans="1:4" x14ac:dyDescent="0.25">
      <c r="A513" s="9" t="s">
        <v>47</v>
      </c>
      <c r="B513" s="10" t="s">
        <v>16</v>
      </c>
      <c r="C513" s="14">
        <v>83501.682408217705</v>
      </c>
      <c r="D513" s="20"/>
    </row>
    <row r="514" spans="1:4" x14ac:dyDescent="0.25">
      <c r="A514" s="9" t="s">
        <v>47</v>
      </c>
      <c r="B514" s="10" t="s">
        <v>17</v>
      </c>
      <c r="C514" s="14">
        <v>99860.275567438905</v>
      </c>
      <c r="D514" s="20"/>
    </row>
    <row r="515" spans="1:4" x14ac:dyDescent="0.25">
      <c r="A515" s="9" t="s">
        <v>47</v>
      </c>
      <c r="B515" s="10" t="s">
        <v>18</v>
      </c>
      <c r="C515" s="14">
        <v>74343.205000000002</v>
      </c>
      <c r="D515" s="20">
        <v>69611.798999999999</v>
      </c>
    </row>
    <row r="516" spans="1:4" x14ac:dyDescent="0.25">
      <c r="A516" s="9" t="s">
        <v>47</v>
      </c>
      <c r="B516" s="10" t="s">
        <v>19</v>
      </c>
      <c r="C516" s="14">
        <v>371389.90100000001</v>
      </c>
      <c r="D516" s="20">
        <v>259318.96100000001</v>
      </c>
    </row>
    <row r="517" spans="1:4" ht="15.75" thickBot="1" x14ac:dyDescent="0.3">
      <c r="A517" s="11" t="s">
        <v>47</v>
      </c>
      <c r="B517" s="12" t="s">
        <v>20</v>
      </c>
      <c r="C517" s="15">
        <v>514294.38240841299</v>
      </c>
      <c r="D517" s="21">
        <v>42414.701000000001</v>
      </c>
    </row>
    <row r="518" spans="1:4" x14ac:dyDescent="0.25">
      <c r="A518" s="1" t="s">
        <v>48</v>
      </c>
      <c r="B518" s="2" t="s">
        <v>2</v>
      </c>
      <c r="C518" s="16">
        <v>30470.677</v>
      </c>
      <c r="D518" s="22">
        <v>25231.769</v>
      </c>
    </row>
    <row r="519" spans="1:4" x14ac:dyDescent="0.25">
      <c r="A519" s="3" t="s">
        <v>48</v>
      </c>
      <c r="B519" s="4" t="s">
        <v>3</v>
      </c>
      <c r="C519" s="17">
        <v>30486.877</v>
      </c>
      <c r="D519" s="23">
        <v>25543.242999999999</v>
      </c>
    </row>
    <row r="520" spans="1:4" x14ac:dyDescent="0.25">
      <c r="A520" s="3" t="s">
        <v>48</v>
      </c>
      <c r="B520" s="4" t="s">
        <v>4</v>
      </c>
      <c r="C520" s="17">
        <v>30486.829000000002</v>
      </c>
      <c r="D520" s="23">
        <v>24516.833999999999</v>
      </c>
    </row>
    <row r="521" spans="1:4" x14ac:dyDescent="0.25">
      <c r="A521" s="3" t="s">
        <v>48</v>
      </c>
      <c r="B521" s="4" t="s">
        <v>5</v>
      </c>
      <c r="C521" s="17">
        <v>32166.094000000001</v>
      </c>
      <c r="D521" s="23">
        <v>25336.705999999998</v>
      </c>
    </row>
    <row r="522" spans="1:4" x14ac:dyDescent="0.25">
      <c r="A522" s="3" t="s">
        <v>48</v>
      </c>
      <c r="B522" s="4" t="s">
        <v>6</v>
      </c>
      <c r="C522" s="17">
        <v>32140.580999999998</v>
      </c>
      <c r="D522" s="23">
        <v>21595.208999999999</v>
      </c>
    </row>
    <row r="523" spans="1:4" x14ac:dyDescent="0.25">
      <c r="A523" s="3" t="s">
        <v>48</v>
      </c>
      <c r="B523" s="4" t="s">
        <v>7</v>
      </c>
      <c r="C523" s="17">
        <v>32356.123</v>
      </c>
      <c r="D523" s="23">
        <v>21698.625</v>
      </c>
    </row>
    <row r="524" spans="1:4" x14ac:dyDescent="0.25">
      <c r="A524" s="3" t="s">
        <v>48</v>
      </c>
      <c r="B524" s="4" t="s">
        <v>8</v>
      </c>
      <c r="C524" s="17">
        <v>32617.164000000001</v>
      </c>
      <c r="D524" s="23">
        <v>22222.534</v>
      </c>
    </row>
    <row r="525" spans="1:4" x14ac:dyDescent="0.25">
      <c r="A525" s="3" t="s">
        <v>48</v>
      </c>
      <c r="B525" s="4" t="s">
        <v>9</v>
      </c>
      <c r="C525" s="17">
        <v>33432.258000000002</v>
      </c>
      <c r="D525" s="23">
        <v>20932.902999999998</v>
      </c>
    </row>
    <row r="526" spans="1:4" x14ac:dyDescent="0.25">
      <c r="A526" s="3" t="s">
        <v>48</v>
      </c>
      <c r="B526" s="4" t="s">
        <v>10</v>
      </c>
      <c r="C526" s="17">
        <v>32236.346000000001</v>
      </c>
      <c r="D526" s="23">
        <v>21829.437999999998</v>
      </c>
    </row>
    <row r="527" spans="1:4" x14ac:dyDescent="0.25">
      <c r="A527" s="3" t="s">
        <v>48</v>
      </c>
      <c r="B527" s="4" t="s">
        <v>11</v>
      </c>
      <c r="C527" s="17">
        <v>26134.346000000001</v>
      </c>
      <c r="D527" s="23"/>
    </row>
    <row r="528" spans="1:4" x14ac:dyDescent="0.25">
      <c r="A528" s="3" t="s">
        <v>48</v>
      </c>
      <c r="B528" s="4" t="s">
        <v>12</v>
      </c>
      <c r="C528" s="17">
        <v>27419.666767079099</v>
      </c>
      <c r="D528" s="23"/>
    </row>
    <row r="529" spans="1:4" x14ac:dyDescent="0.25">
      <c r="A529" s="3" t="s">
        <v>48</v>
      </c>
      <c r="B529" s="4" t="s">
        <v>13</v>
      </c>
      <c r="C529" s="17">
        <v>28708.494904154599</v>
      </c>
      <c r="D529" s="23"/>
    </row>
    <row r="530" spans="1:4" x14ac:dyDescent="0.25">
      <c r="A530" s="3" t="s">
        <v>48</v>
      </c>
      <c r="B530" s="4" t="s">
        <v>14</v>
      </c>
      <c r="C530" s="17">
        <v>31472.8790258435</v>
      </c>
      <c r="D530" s="23"/>
    </row>
    <row r="531" spans="1:4" x14ac:dyDescent="0.25">
      <c r="A531" s="3" t="s">
        <v>48</v>
      </c>
      <c r="B531" s="4" t="s">
        <v>15</v>
      </c>
      <c r="C531" s="17">
        <v>31255.685345273501</v>
      </c>
      <c r="D531" s="23"/>
    </row>
    <row r="532" spans="1:4" x14ac:dyDescent="0.25">
      <c r="A532" s="3" t="s">
        <v>48</v>
      </c>
      <c r="B532" s="4" t="s">
        <v>16</v>
      </c>
      <c r="C532" s="17">
        <v>35494.3421692314</v>
      </c>
      <c r="D532" s="23"/>
    </row>
    <row r="533" spans="1:4" x14ac:dyDescent="0.25">
      <c r="A533" s="3" t="s">
        <v>48</v>
      </c>
      <c r="B533" s="4" t="s">
        <v>17</v>
      </c>
      <c r="C533" s="17">
        <v>39729.534833440797</v>
      </c>
      <c r="D533" s="23"/>
    </row>
    <row r="534" spans="1:4" x14ac:dyDescent="0.25">
      <c r="A534" s="3" t="s">
        <v>48</v>
      </c>
      <c r="B534" s="4" t="s">
        <v>18</v>
      </c>
      <c r="C534" s="17">
        <v>91444.383000000002</v>
      </c>
      <c r="D534" s="23">
        <v>75291.846000000005</v>
      </c>
    </row>
    <row r="535" spans="1:4" x14ac:dyDescent="0.25">
      <c r="A535" s="3" t="s">
        <v>48</v>
      </c>
      <c r="B535" s="4" t="s">
        <v>19</v>
      </c>
      <c r="C535" s="17">
        <v>162712.22</v>
      </c>
      <c r="D535" s="23">
        <v>111785.977</v>
      </c>
    </row>
    <row r="536" spans="1:4" ht="15.75" thickBot="1" x14ac:dyDescent="0.3">
      <c r="A536" s="5" t="s">
        <v>48</v>
      </c>
      <c r="B536" s="6" t="s">
        <v>20</v>
      </c>
      <c r="C536" s="18">
        <v>252451.295045023</v>
      </c>
      <c r="D536" s="24">
        <v>21829.437999999998</v>
      </c>
    </row>
    <row r="537" spans="1:4" x14ac:dyDescent="0.25">
      <c r="A537" s="7" t="s">
        <v>49</v>
      </c>
      <c r="B537" s="8" t="s">
        <v>2</v>
      </c>
      <c r="C537" s="13">
        <v>9138.0640000000003</v>
      </c>
      <c r="D537" s="25">
        <v>8720.5499999999993</v>
      </c>
    </row>
    <row r="538" spans="1:4" x14ac:dyDescent="0.25">
      <c r="A538" s="9" t="s">
        <v>49</v>
      </c>
      <c r="B538" s="10" t="s">
        <v>3</v>
      </c>
      <c r="C538" s="14">
        <v>8691.991</v>
      </c>
      <c r="D538" s="20">
        <v>8842.1820000000007</v>
      </c>
    </row>
    <row r="539" spans="1:4" x14ac:dyDescent="0.25">
      <c r="A539" s="9" t="s">
        <v>49</v>
      </c>
      <c r="B539" s="10" t="s">
        <v>4</v>
      </c>
      <c r="C539" s="14">
        <v>8245.9140000000007</v>
      </c>
      <c r="D539" s="20">
        <v>9048.634</v>
      </c>
    </row>
    <row r="540" spans="1:4" x14ac:dyDescent="0.25">
      <c r="A540" s="9" t="s">
        <v>49</v>
      </c>
      <c r="B540" s="10" t="s">
        <v>5</v>
      </c>
      <c r="C540" s="14">
        <v>8214.36</v>
      </c>
      <c r="D540" s="20">
        <v>8860.1049999999996</v>
      </c>
    </row>
    <row r="541" spans="1:4" x14ac:dyDescent="0.25">
      <c r="A541" s="9" t="s">
        <v>49</v>
      </c>
      <c r="B541" s="10" t="s">
        <v>6</v>
      </c>
      <c r="C541" s="14">
        <v>8216.0509999999995</v>
      </c>
      <c r="D541" s="20">
        <v>8067.0230000000001</v>
      </c>
    </row>
    <row r="542" spans="1:4" x14ac:dyDescent="0.25">
      <c r="A542" s="9" t="s">
        <v>49</v>
      </c>
      <c r="B542" s="10" t="s">
        <v>7</v>
      </c>
      <c r="C542" s="14">
        <v>8226.4599999999991</v>
      </c>
      <c r="D542" s="20">
        <v>8129.8630000000003</v>
      </c>
    </row>
    <row r="543" spans="1:4" x14ac:dyDescent="0.25">
      <c r="A543" s="9" t="s">
        <v>49</v>
      </c>
      <c r="B543" s="10" t="s">
        <v>8</v>
      </c>
      <c r="C543" s="14">
        <v>8224.7160000000003</v>
      </c>
      <c r="D543" s="20">
        <v>7994.5519999999997</v>
      </c>
    </row>
    <row r="544" spans="1:4" x14ac:dyDescent="0.25">
      <c r="A544" s="9" t="s">
        <v>49</v>
      </c>
      <c r="B544" s="10" t="s">
        <v>9</v>
      </c>
      <c r="C544" s="14">
        <v>8226.2070000000003</v>
      </c>
      <c r="D544" s="20">
        <v>7610.5919999999996</v>
      </c>
    </row>
    <row r="545" spans="1:4" x14ac:dyDescent="0.25">
      <c r="A545" s="9" t="s">
        <v>49</v>
      </c>
      <c r="B545" s="10" t="s">
        <v>10</v>
      </c>
      <c r="C545" s="14">
        <v>6838.6279999999997</v>
      </c>
      <c r="D545" s="20">
        <v>7386.3090000000002</v>
      </c>
    </row>
    <row r="546" spans="1:4" x14ac:dyDescent="0.25">
      <c r="A546" s="9" t="s">
        <v>49</v>
      </c>
      <c r="B546" s="10" t="s">
        <v>11</v>
      </c>
      <c r="C546" s="14">
        <v>5086.1279999999997</v>
      </c>
      <c r="D546" s="20"/>
    </row>
    <row r="547" spans="1:4" x14ac:dyDescent="0.25">
      <c r="A547" s="9" t="s">
        <v>49</v>
      </c>
      <c r="B547" s="10" t="s">
        <v>12</v>
      </c>
      <c r="C547" s="14">
        <v>5454.2831536826898</v>
      </c>
      <c r="D547" s="20"/>
    </row>
    <row r="548" spans="1:4" x14ac:dyDescent="0.25">
      <c r="A548" s="9" t="s">
        <v>49</v>
      </c>
      <c r="B548" s="10" t="s">
        <v>13</v>
      </c>
      <c r="C548" s="14">
        <v>5825.1468786032001</v>
      </c>
      <c r="D548" s="20"/>
    </row>
    <row r="549" spans="1:4" x14ac:dyDescent="0.25">
      <c r="A549" s="9" t="s">
        <v>49</v>
      </c>
      <c r="B549" s="10" t="s">
        <v>14</v>
      </c>
      <c r="C549" s="14">
        <v>6620.6057632974398</v>
      </c>
      <c r="D549" s="20"/>
    </row>
    <row r="550" spans="1:4" x14ac:dyDescent="0.25">
      <c r="A550" s="9" t="s">
        <v>49</v>
      </c>
      <c r="B550" s="10" t="s">
        <v>15</v>
      </c>
      <c r="C550" s="14">
        <v>6558.1077039455004</v>
      </c>
      <c r="D550" s="20"/>
    </row>
    <row r="551" spans="1:4" x14ac:dyDescent="0.25">
      <c r="A551" s="9" t="s">
        <v>49</v>
      </c>
      <c r="B551" s="10" t="s">
        <v>16</v>
      </c>
      <c r="C551" s="14">
        <v>7777.7924805051498</v>
      </c>
      <c r="D551" s="20"/>
    </row>
    <row r="552" spans="1:4" x14ac:dyDescent="0.25">
      <c r="A552" s="9" t="s">
        <v>49</v>
      </c>
      <c r="B552" s="10" t="s">
        <v>17</v>
      </c>
      <c r="C552" s="14">
        <v>8996.4804358819692</v>
      </c>
      <c r="D552" s="20"/>
    </row>
    <row r="553" spans="1:4" x14ac:dyDescent="0.25">
      <c r="A553" s="9" t="s">
        <v>49</v>
      </c>
      <c r="B553" s="10" t="s">
        <v>18</v>
      </c>
      <c r="C553" s="14">
        <v>26075.969000000001</v>
      </c>
      <c r="D553" s="20">
        <v>26611.366000000002</v>
      </c>
    </row>
    <row r="554" spans="1:4" x14ac:dyDescent="0.25">
      <c r="A554" s="9" t="s">
        <v>49</v>
      </c>
      <c r="B554" s="10" t="s">
        <v>19</v>
      </c>
      <c r="C554" s="14">
        <v>41107.794000000002</v>
      </c>
      <c r="D554" s="20">
        <v>40662.135000000002</v>
      </c>
    </row>
    <row r="555" spans="1:4" ht="15.75" thickBot="1" x14ac:dyDescent="0.3">
      <c r="A555" s="11" t="s">
        <v>49</v>
      </c>
      <c r="B555" s="12" t="s">
        <v>20</v>
      </c>
      <c r="C555" s="15">
        <v>53157.172415915898</v>
      </c>
      <c r="D555" s="21">
        <v>7386.3090000000002</v>
      </c>
    </row>
    <row r="556" spans="1:4" x14ac:dyDescent="0.25">
      <c r="A556" s="1" t="s">
        <v>50</v>
      </c>
      <c r="B556" s="2" t="s">
        <v>2</v>
      </c>
      <c r="C556" s="16">
        <v>172160.788</v>
      </c>
      <c r="D556" s="22">
        <v>183627.21599999999</v>
      </c>
    </row>
    <row r="557" spans="1:4" x14ac:dyDescent="0.25">
      <c r="A557" s="3" t="s">
        <v>50</v>
      </c>
      <c r="B557" s="4" t="s">
        <v>3</v>
      </c>
      <c r="C557" s="17">
        <v>166209.33499999999</v>
      </c>
      <c r="D557" s="23">
        <v>179724.889</v>
      </c>
    </row>
    <row r="558" spans="1:4" x14ac:dyDescent="0.25">
      <c r="A558" s="3" t="s">
        <v>50</v>
      </c>
      <c r="B558" s="4" t="s">
        <v>4</v>
      </c>
      <c r="C558" s="17">
        <v>159739.872</v>
      </c>
      <c r="D558" s="23">
        <v>186573.44899999999</v>
      </c>
    </row>
    <row r="559" spans="1:4" x14ac:dyDescent="0.25">
      <c r="A559" s="3" t="s">
        <v>50</v>
      </c>
      <c r="B559" s="4" t="s">
        <v>5</v>
      </c>
      <c r="C559" s="17">
        <v>153894.31</v>
      </c>
      <c r="D559" s="23">
        <v>163462.31200000001</v>
      </c>
    </row>
    <row r="560" spans="1:4" x14ac:dyDescent="0.25">
      <c r="A560" s="3" t="s">
        <v>50</v>
      </c>
      <c r="B560" s="4" t="s">
        <v>6</v>
      </c>
      <c r="C560" s="17">
        <v>150760.85999999999</v>
      </c>
      <c r="D560" s="23">
        <v>136935.766</v>
      </c>
    </row>
    <row r="561" spans="1:4" x14ac:dyDescent="0.25">
      <c r="A561" s="3" t="s">
        <v>50</v>
      </c>
      <c r="B561" s="4" t="s">
        <v>7</v>
      </c>
      <c r="C561" s="17">
        <v>150958.92000000001</v>
      </c>
      <c r="D561" s="23">
        <v>121483.473</v>
      </c>
    </row>
    <row r="562" spans="1:4" x14ac:dyDescent="0.25">
      <c r="A562" s="3" t="s">
        <v>50</v>
      </c>
      <c r="B562" s="4" t="s">
        <v>8</v>
      </c>
      <c r="C562" s="17">
        <v>151447.62</v>
      </c>
      <c r="D562" s="23">
        <v>132687.96599999999</v>
      </c>
    </row>
    <row r="563" spans="1:4" x14ac:dyDescent="0.25">
      <c r="A563" s="3" t="s">
        <v>50</v>
      </c>
      <c r="B563" s="4" t="s">
        <v>9</v>
      </c>
      <c r="C563" s="17">
        <v>154146.74400000001</v>
      </c>
      <c r="D563" s="23">
        <v>135634.59099999999</v>
      </c>
    </row>
    <row r="564" spans="1:4" x14ac:dyDescent="0.25">
      <c r="A564" s="3" t="s">
        <v>50</v>
      </c>
      <c r="B564" s="4" t="s">
        <v>10</v>
      </c>
      <c r="C564" s="17">
        <v>154499.16899999999</v>
      </c>
      <c r="D564" s="23">
        <v>122793.357</v>
      </c>
    </row>
    <row r="565" spans="1:4" x14ac:dyDescent="0.25">
      <c r="A565" s="3" t="s">
        <v>50</v>
      </c>
      <c r="B565" s="4" t="s">
        <v>11</v>
      </c>
      <c r="C565" s="17">
        <v>120345.16899999999</v>
      </c>
      <c r="D565" s="23"/>
    </row>
    <row r="566" spans="1:4" x14ac:dyDescent="0.25">
      <c r="A566" s="3" t="s">
        <v>50</v>
      </c>
      <c r="B566" s="4" t="s">
        <v>12</v>
      </c>
      <c r="C566" s="17">
        <v>127508.549937103</v>
      </c>
      <c r="D566" s="23"/>
    </row>
    <row r="567" spans="1:4" x14ac:dyDescent="0.25">
      <c r="A567" s="3" t="s">
        <v>50</v>
      </c>
      <c r="B567" s="4" t="s">
        <v>13</v>
      </c>
      <c r="C567" s="17">
        <v>134744.522150868</v>
      </c>
      <c r="D567" s="23"/>
    </row>
    <row r="568" spans="1:4" x14ac:dyDescent="0.25">
      <c r="A568" s="3" t="s">
        <v>50</v>
      </c>
      <c r="B568" s="4" t="s">
        <v>14</v>
      </c>
      <c r="C568" s="17">
        <v>150264.82785904701</v>
      </c>
      <c r="D568" s="23"/>
    </row>
    <row r="569" spans="1:4" x14ac:dyDescent="0.25">
      <c r="A569" s="3" t="s">
        <v>50</v>
      </c>
      <c r="B569" s="4" t="s">
        <v>15</v>
      </c>
      <c r="C569" s="17">
        <v>149045.41978406801</v>
      </c>
      <c r="D569" s="23"/>
    </row>
    <row r="570" spans="1:4" x14ac:dyDescent="0.25">
      <c r="A570" s="3" t="s">
        <v>50</v>
      </c>
      <c r="B570" s="4" t="s">
        <v>16</v>
      </c>
      <c r="C570" s="17">
        <v>172842.854150639</v>
      </c>
      <c r="D570" s="23"/>
    </row>
    <row r="571" spans="1:4" x14ac:dyDescent="0.25">
      <c r="A571" s="3" t="s">
        <v>50</v>
      </c>
      <c r="B571" s="4" t="s">
        <v>17</v>
      </c>
      <c r="C571" s="17">
        <v>196620.839404514</v>
      </c>
      <c r="D571" s="23"/>
    </row>
    <row r="572" spans="1:4" x14ac:dyDescent="0.25">
      <c r="A572" s="3" t="s">
        <v>50</v>
      </c>
      <c r="B572" s="4" t="s">
        <v>18</v>
      </c>
      <c r="C572" s="17">
        <v>498109.995</v>
      </c>
      <c r="D572" s="23">
        <v>549925.554</v>
      </c>
    </row>
    <row r="573" spans="1:4" x14ac:dyDescent="0.25">
      <c r="A573" s="3" t="s">
        <v>50</v>
      </c>
      <c r="B573" s="4" t="s">
        <v>19</v>
      </c>
      <c r="C573" s="17">
        <v>761208.45400000003</v>
      </c>
      <c r="D573" s="23">
        <v>690204.10800000001</v>
      </c>
    </row>
    <row r="574" spans="1:4" ht="15.75" thickBot="1" x14ac:dyDescent="0.3">
      <c r="A574" s="5" t="s">
        <v>50</v>
      </c>
      <c r="B574" s="6" t="s">
        <v>20</v>
      </c>
      <c r="C574" s="18">
        <v>1205871.3512862399</v>
      </c>
      <c r="D574" s="24">
        <v>122793.357</v>
      </c>
    </row>
    <row r="575" spans="1:4" x14ac:dyDescent="0.25">
      <c r="A575" s="7" t="s">
        <v>51</v>
      </c>
      <c r="B575" s="8" t="s">
        <v>2</v>
      </c>
      <c r="C575" s="13">
        <v>22289.169000000002</v>
      </c>
      <c r="D575" s="25">
        <v>19381.682000000001</v>
      </c>
    </row>
    <row r="576" spans="1:4" x14ac:dyDescent="0.25">
      <c r="A576" s="9" t="s">
        <v>51</v>
      </c>
      <c r="B576" s="10" t="s">
        <v>3</v>
      </c>
      <c r="C576" s="14">
        <v>22483.601999999999</v>
      </c>
      <c r="D576" s="20">
        <v>20002.496999999999</v>
      </c>
    </row>
    <row r="577" spans="1:4" x14ac:dyDescent="0.25">
      <c r="A577" s="9" t="s">
        <v>51</v>
      </c>
      <c r="B577" s="10" t="s">
        <v>4</v>
      </c>
      <c r="C577" s="14">
        <v>22846.48</v>
      </c>
      <c r="D577" s="20">
        <v>19040.731</v>
      </c>
    </row>
    <row r="578" spans="1:4" x14ac:dyDescent="0.25">
      <c r="A578" s="9" t="s">
        <v>51</v>
      </c>
      <c r="B578" s="10" t="s">
        <v>5</v>
      </c>
      <c r="C578" s="14">
        <v>20774.671999999999</v>
      </c>
      <c r="D578" s="20">
        <v>20080.518</v>
      </c>
    </row>
    <row r="579" spans="1:4" x14ac:dyDescent="0.25">
      <c r="A579" s="9" t="s">
        <v>51</v>
      </c>
      <c r="B579" s="10" t="s">
        <v>6</v>
      </c>
      <c r="C579" s="14">
        <v>21089.585999999999</v>
      </c>
      <c r="D579" s="20">
        <v>17491.866999999998</v>
      </c>
    </row>
    <row r="580" spans="1:4" x14ac:dyDescent="0.25">
      <c r="A580" s="9" t="s">
        <v>51</v>
      </c>
      <c r="B580" s="10" t="s">
        <v>7</v>
      </c>
      <c r="C580" s="14">
        <v>23547.49</v>
      </c>
      <c r="D580" s="20">
        <v>22661.192999999999</v>
      </c>
    </row>
    <row r="581" spans="1:4" x14ac:dyDescent="0.25">
      <c r="A581" s="9" t="s">
        <v>51</v>
      </c>
      <c r="B581" s="10" t="s">
        <v>8</v>
      </c>
      <c r="C581" s="14">
        <v>22724.133000000002</v>
      </c>
      <c r="D581" s="20">
        <v>19853.884999999998</v>
      </c>
    </row>
    <row r="582" spans="1:4" x14ac:dyDescent="0.25">
      <c r="A582" s="9" t="s">
        <v>51</v>
      </c>
      <c r="B582" s="10" t="s">
        <v>9</v>
      </c>
      <c r="C582" s="14">
        <v>22746.394</v>
      </c>
      <c r="D582" s="20">
        <v>18172.023000000001</v>
      </c>
    </row>
    <row r="583" spans="1:4" x14ac:dyDescent="0.25">
      <c r="A583" s="9" t="s">
        <v>51</v>
      </c>
      <c r="B583" s="10" t="s">
        <v>10</v>
      </c>
      <c r="C583" s="14">
        <v>37836.964</v>
      </c>
      <c r="D583" s="20">
        <v>20114.064999999999</v>
      </c>
    </row>
    <row r="584" spans="1:4" x14ac:dyDescent="0.25">
      <c r="A584" s="9" t="s">
        <v>51</v>
      </c>
      <c r="B584" s="10" t="s">
        <v>11</v>
      </c>
      <c r="C584" s="14">
        <v>34317.964</v>
      </c>
      <c r="D584" s="20"/>
    </row>
    <row r="585" spans="1:4" x14ac:dyDescent="0.25">
      <c r="A585" s="9" t="s">
        <v>51</v>
      </c>
      <c r="B585" s="10" t="s">
        <v>12</v>
      </c>
      <c r="C585" s="14">
        <v>35055.617473650702</v>
      </c>
      <c r="D585" s="20"/>
    </row>
    <row r="586" spans="1:4" x14ac:dyDescent="0.25">
      <c r="A586" s="9" t="s">
        <v>51</v>
      </c>
      <c r="B586" s="10" t="s">
        <v>13</v>
      </c>
      <c r="C586" s="14">
        <v>35801.531468563699</v>
      </c>
      <c r="D586" s="20"/>
    </row>
    <row r="587" spans="1:4" x14ac:dyDescent="0.25">
      <c r="A587" s="9" t="s">
        <v>51</v>
      </c>
      <c r="B587" s="10" t="s">
        <v>14</v>
      </c>
      <c r="C587" s="14">
        <v>37401.428882630003</v>
      </c>
      <c r="D587" s="20"/>
    </row>
    <row r="588" spans="1:4" x14ac:dyDescent="0.25">
      <c r="A588" s="9" t="s">
        <v>51</v>
      </c>
      <c r="B588" s="10" t="s">
        <v>15</v>
      </c>
      <c r="C588" s="14">
        <v>37275.7272461717</v>
      </c>
      <c r="D588" s="20"/>
    </row>
    <row r="589" spans="1:4" x14ac:dyDescent="0.25">
      <c r="A589" s="9" t="s">
        <v>51</v>
      </c>
      <c r="B589" s="10" t="s">
        <v>16</v>
      </c>
      <c r="C589" s="14">
        <v>39728.865375044297</v>
      </c>
      <c r="D589" s="20"/>
    </row>
    <row r="590" spans="1:4" x14ac:dyDescent="0.25">
      <c r="A590" s="9" t="s">
        <v>51</v>
      </c>
      <c r="B590" s="10" t="s">
        <v>17</v>
      </c>
      <c r="C590" s="14">
        <v>42179.998608801099</v>
      </c>
      <c r="D590" s="20"/>
    </row>
    <row r="591" spans="1:4" x14ac:dyDescent="0.25">
      <c r="A591" s="9" t="s">
        <v>51</v>
      </c>
      <c r="B591" s="10" t="s">
        <v>18</v>
      </c>
      <c r="C591" s="14">
        <v>67619.251000000004</v>
      </c>
      <c r="D591" s="20">
        <v>58424.91</v>
      </c>
    </row>
    <row r="592" spans="1:4" x14ac:dyDescent="0.25">
      <c r="A592" s="9" t="s">
        <v>51</v>
      </c>
      <c r="B592" s="10" t="s">
        <v>19</v>
      </c>
      <c r="C592" s="14">
        <v>110882.27499999999</v>
      </c>
      <c r="D592" s="20">
        <v>98259.486000000004</v>
      </c>
    </row>
    <row r="593" spans="1:4" ht="15.75" thickBot="1" x14ac:dyDescent="0.3">
      <c r="A593" s="11" t="s">
        <v>51</v>
      </c>
      <c r="B593" s="12" t="s">
        <v>20</v>
      </c>
      <c r="C593" s="15">
        <v>299598.09705486201</v>
      </c>
      <c r="D593" s="21">
        <v>20114.064999999999</v>
      </c>
    </row>
    <row r="594" spans="1:4" x14ac:dyDescent="0.25">
      <c r="A594" s="1" t="s">
        <v>52</v>
      </c>
      <c r="B594" s="2" t="s">
        <v>2</v>
      </c>
      <c r="C594" s="16">
        <v>206071.973</v>
      </c>
      <c r="D594" s="22">
        <v>242513.42600000001</v>
      </c>
    </row>
    <row r="595" spans="1:4" x14ac:dyDescent="0.25">
      <c r="A595" s="3" t="s">
        <v>52</v>
      </c>
      <c r="B595" s="4" t="s">
        <v>3</v>
      </c>
      <c r="C595" s="17">
        <v>206005.29399999999</v>
      </c>
      <c r="D595" s="23">
        <v>251160.16099999999</v>
      </c>
    </row>
    <row r="596" spans="1:4" x14ac:dyDescent="0.25">
      <c r="A596" s="3" t="s">
        <v>52</v>
      </c>
      <c r="B596" s="4" t="s">
        <v>4</v>
      </c>
      <c r="C596" s="17">
        <v>215875.18400000001</v>
      </c>
      <c r="D596" s="23">
        <v>256583.09599999999</v>
      </c>
    </row>
    <row r="597" spans="1:4" x14ac:dyDescent="0.25">
      <c r="A597" s="3" t="s">
        <v>52</v>
      </c>
      <c r="B597" s="4" t="s">
        <v>5</v>
      </c>
      <c r="C597" s="17">
        <v>217841.622</v>
      </c>
      <c r="D597" s="23">
        <v>265059.08299999998</v>
      </c>
    </row>
    <row r="598" spans="1:4" x14ac:dyDescent="0.25">
      <c r="A598" s="3" t="s">
        <v>52</v>
      </c>
      <c r="B598" s="4" t="s">
        <v>6</v>
      </c>
      <c r="C598" s="17">
        <v>240061.283</v>
      </c>
      <c r="D598" s="23">
        <v>231939.60200000001</v>
      </c>
    </row>
    <row r="599" spans="1:4" x14ac:dyDescent="0.25">
      <c r="A599" s="3" t="s">
        <v>52</v>
      </c>
      <c r="B599" s="4" t="s">
        <v>7</v>
      </c>
      <c r="C599" s="17">
        <v>256135.03400000001</v>
      </c>
      <c r="D599" s="23">
        <v>237337.29699999999</v>
      </c>
    </row>
    <row r="600" spans="1:4" x14ac:dyDescent="0.25">
      <c r="A600" s="3" t="s">
        <v>52</v>
      </c>
      <c r="B600" s="4" t="s">
        <v>8</v>
      </c>
      <c r="C600" s="17">
        <v>253843.20000000001</v>
      </c>
      <c r="D600" s="23">
        <v>220868.772</v>
      </c>
    </row>
    <row r="601" spans="1:4" x14ac:dyDescent="0.25">
      <c r="A601" s="3" t="s">
        <v>52</v>
      </c>
      <c r="B601" s="4" t="s">
        <v>9</v>
      </c>
      <c r="C601" s="17">
        <v>255870.63</v>
      </c>
      <c r="D601" s="23">
        <v>231256.573</v>
      </c>
    </row>
    <row r="602" spans="1:4" x14ac:dyDescent="0.25">
      <c r="A602" s="3" t="s">
        <v>52</v>
      </c>
      <c r="B602" s="4" t="s">
        <v>10</v>
      </c>
      <c r="C602" s="17">
        <v>173521.33</v>
      </c>
      <c r="D602" s="23">
        <v>225519.07399999999</v>
      </c>
    </row>
    <row r="603" spans="1:4" x14ac:dyDescent="0.25">
      <c r="A603" s="3" t="s">
        <v>52</v>
      </c>
      <c r="B603" s="4" t="s">
        <v>11</v>
      </c>
      <c r="C603" s="17">
        <v>132385.32999999999</v>
      </c>
      <c r="D603" s="23"/>
    </row>
    <row r="604" spans="1:4" x14ac:dyDescent="0.25">
      <c r="A604" s="3" t="s">
        <v>52</v>
      </c>
      <c r="B604" s="4" t="s">
        <v>12</v>
      </c>
      <c r="C604" s="17">
        <v>140981.90603839001</v>
      </c>
      <c r="D604" s="23"/>
    </row>
    <row r="605" spans="1:4" x14ac:dyDescent="0.25">
      <c r="A605" s="3" t="s">
        <v>52</v>
      </c>
      <c r="B605" s="4" t="s">
        <v>13</v>
      </c>
      <c r="C605" s="17">
        <v>149720.61414316201</v>
      </c>
      <c r="D605" s="23"/>
    </row>
    <row r="606" spans="1:4" x14ac:dyDescent="0.25">
      <c r="A606" s="3" t="s">
        <v>52</v>
      </c>
      <c r="B606" s="4" t="s">
        <v>14</v>
      </c>
      <c r="C606" s="17">
        <v>168464.11083909901</v>
      </c>
      <c r="D606" s="23"/>
    </row>
    <row r="607" spans="1:4" x14ac:dyDescent="0.25">
      <c r="A607" s="3" t="s">
        <v>52</v>
      </c>
      <c r="B607" s="4" t="s">
        <v>15</v>
      </c>
      <c r="C607" s="17">
        <v>166991.461288625</v>
      </c>
      <c r="D607" s="23"/>
    </row>
    <row r="608" spans="1:4" x14ac:dyDescent="0.25">
      <c r="A608" s="3" t="s">
        <v>52</v>
      </c>
      <c r="B608" s="4" t="s">
        <v>16</v>
      </c>
      <c r="C608" s="17">
        <v>195731.045470048</v>
      </c>
      <c r="D608" s="23"/>
    </row>
    <row r="609" spans="1:4" x14ac:dyDescent="0.25">
      <c r="A609" s="3" t="s">
        <v>52</v>
      </c>
      <c r="B609" s="4" t="s">
        <v>17</v>
      </c>
      <c r="C609" s="17">
        <v>224447.14142988299</v>
      </c>
      <c r="D609" s="23"/>
    </row>
    <row r="610" spans="1:4" x14ac:dyDescent="0.25">
      <c r="A610" s="3" t="s">
        <v>52</v>
      </c>
      <c r="B610" s="4" t="s">
        <v>18</v>
      </c>
      <c r="C610" s="17">
        <v>627952.451</v>
      </c>
      <c r="D610" s="23">
        <v>750256.68299999996</v>
      </c>
    </row>
    <row r="611" spans="1:4" x14ac:dyDescent="0.25">
      <c r="A611" s="3" t="s">
        <v>52</v>
      </c>
      <c r="B611" s="4" t="s">
        <v>19</v>
      </c>
      <c r="C611" s="17">
        <v>1223751.7690000001</v>
      </c>
      <c r="D611" s="23">
        <v>1186461.327</v>
      </c>
    </row>
    <row r="612" spans="1:4" ht="15.75" thickBot="1" x14ac:dyDescent="0.3">
      <c r="A612" s="5" t="s">
        <v>52</v>
      </c>
      <c r="B612" s="6" t="s">
        <v>20</v>
      </c>
      <c r="C612" s="18">
        <v>1352242.93920921</v>
      </c>
      <c r="D612" s="24">
        <v>225519.07399999999</v>
      </c>
    </row>
    <row r="613" spans="1:4" x14ac:dyDescent="0.25">
      <c r="A613" s="7" t="s">
        <v>53</v>
      </c>
      <c r="B613" s="8" t="s">
        <v>2</v>
      </c>
      <c r="C613" s="13">
        <v>1650248.203</v>
      </c>
      <c r="D613" s="25">
        <v>1639228.2050000001</v>
      </c>
    </row>
    <row r="614" spans="1:4" x14ac:dyDescent="0.25">
      <c r="A614" s="9" t="s">
        <v>53</v>
      </c>
      <c r="B614" s="10" t="s">
        <v>3</v>
      </c>
      <c r="C614" s="14">
        <v>1632841.504</v>
      </c>
      <c r="D614" s="20">
        <v>1653509.24</v>
      </c>
    </row>
    <row r="615" spans="1:4" x14ac:dyDescent="0.25">
      <c r="A615" s="9" t="s">
        <v>53</v>
      </c>
      <c r="B615" s="10" t="s">
        <v>4</v>
      </c>
      <c r="C615" s="14">
        <v>1631493.942</v>
      </c>
      <c r="D615" s="20">
        <v>1666481.895</v>
      </c>
    </row>
    <row r="616" spans="1:4" x14ac:dyDescent="0.25">
      <c r="A616" s="9" t="s">
        <v>53</v>
      </c>
      <c r="B616" s="10" t="s">
        <v>5</v>
      </c>
      <c r="C616" s="14">
        <v>1511519.08</v>
      </c>
      <c r="D616" s="20">
        <v>1622271.5490000001</v>
      </c>
    </row>
    <row r="617" spans="1:4" x14ac:dyDescent="0.25">
      <c r="A617" s="9" t="s">
        <v>53</v>
      </c>
      <c r="B617" s="10" t="s">
        <v>6</v>
      </c>
      <c r="C617" s="14">
        <v>1532861.25</v>
      </c>
      <c r="D617" s="20">
        <v>1436369.4169999999</v>
      </c>
    </row>
    <row r="618" spans="1:4" x14ac:dyDescent="0.25">
      <c r="A618" s="9" t="s">
        <v>53</v>
      </c>
      <c r="B618" s="10" t="s">
        <v>7</v>
      </c>
      <c r="C618" s="14">
        <v>1574839.5830000001</v>
      </c>
      <c r="D618" s="20">
        <v>1479463.3810000001</v>
      </c>
    </row>
    <row r="619" spans="1:4" x14ac:dyDescent="0.25">
      <c r="A619" s="9" t="s">
        <v>53</v>
      </c>
      <c r="B619" s="10" t="s">
        <v>8</v>
      </c>
      <c r="C619" s="14">
        <v>1581653.145</v>
      </c>
      <c r="D619" s="20">
        <v>1434277.4580000001</v>
      </c>
    </row>
    <row r="620" spans="1:4" x14ac:dyDescent="0.25">
      <c r="A620" s="9" t="s">
        <v>53</v>
      </c>
      <c r="B620" s="10" t="s">
        <v>9</v>
      </c>
      <c r="C620" s="14">
        <v>1627821.0319999999</v>
      </c>
      <c r="D620" s="20">
        <v>1421464.0560000001</v>
      </c>
    </row>
    <row r="621" spans="1:4" x14ac:dyDescent="0.25">
      <c r="A621" s="9" t="s">
        <v>53</v>
      </c>
      <c r="B621" s="10" t="s">
        <v>10</v>
      </c>
      <c r="C621" s="14">
        <v>1419435.9979999999</v>
      </c>
      <c r="D621" s="20">
        <v>1432198.077</v>
      </c>
    </row>
    <row r="622" spans="1:4" x14ac:dyDescent="0.25">
      <c r="A622" s="9" t="s">
        <v>53</v>
      </c>
      <c r="B622" s="10" t="s">
        <v>11</v>
      </c>
      <c r="C622" s="14">
        <v>1129335.9979999999</v>
      </c>
      <c r="D622" s="20"/>
    </row>
    <row r="623" spans="1:4" x14ac:dyDescent="0.25">
      <c r="A623" s="9" t="s">
        <v>53</v>
      </c>
      <c r="B623" s="10" t="s">
        <v>12</v>
      </c>
      <c r="C623" s="14">
        <v>1188426.1578119099</v>
      </c>
      <c r="D623" s="20"/>
    </row>
    <row r="624" spans="1:4" x14ac:dyDescent="0.25">
      <c r="A624" s="9" t="s">
        <v>53</v>
      </c>
      <c r="B624" s="10" t="s">
        <v>13</v>
      </c>
      <c r="C624" s="14">
        <v>1248397.7505224899</v>
      </c>
      <c r="D624" s="20"/>
    </row>
    <row r="625" spans="1:4" x14ac:dyDescent="0.25">
      <c r="A625" s="9" t="s">
        <v>53</v>
      </c>
      <c r="B625" s="10" t="s">
        <v>14</v>
      </c>
      <c r="C625" s="14">
        <v>1377029.7332302099</v>
      </c>
      <c r="D625" s="20"/>
    </row>
    <row r="626" spans="1:4" x14ac:dyDescent="0.25">
      <c r="A626" s="9" t="s">
        <v>53</v>
      </c>
      <c r="B626" s="10" t="s">
        <v>15</v>
      </c>
      <c r="C626" s="14">
        <v>1366923.3035397399</v>
      </c>
      <c r="D626" s="20"/>
    </row>
    <row r="627" spans="1:4" x14ac:dyDescent="0.25">
      <c r="A627" s="9" t="s">
        <v>53</v>
      </c>
      <c r="B627" s="10" t="s">
        <v>16</v>
      </c>
      <c r="C627" s="14">
        <v>1564155.9627080399</v>
      </c>
      <c r="D627" s="20"/>
    </row>
    <row r="628" spans="1:4" x14ac:dyDescent="0.25">
      <c r="A628" s="9" t="s">
        <v>53</v>
      </c>
      <c r="B628" s="10" t="s">
        <v>17</v>
      </c>
      <c r="C628" s="14">
        <v>1761227.42802004</v>
      </c>
      <c r="D628" s="20"/>
    </row>
    <row r="629" spans="1:4" x14ac:dyDescent="0.25">
      <c r="A629" s="9" t="s">
        <v>53</v>
      </c>
      <c r="B629" s="10" t="s">
        <v>18</v>
      </c>
      <c r="C629" s="14">
        <v>4914583.6490000002</v>
      </c>
      <c r="D629" s="20">
        <v>4959219.34</v>
      </c>
    </row>
    <row r="630" spans="1:4" x14ac:dyDescent="0.25">
      <c r="A630" s="9" t="s">
        <v>53</v>
      </c>
      <c r="B630" s="10" t="s">
        <v>19</v>
      </c>
      <c r="C630" s="14">
        <v>7828694.0899999999</v>
      </c>
      <c r="D630" s="20">
        <v>7393845.8609999996</v>
      </c>
    </row>
    <row r="631" spans="1:4" ht="15.75" thickBot="1" x14ac:dyDescent="0.3">
      <c r="A631" s="11" t="s">
        <v>53</v>
      </c>
      <c r="B631" s="12" t="s">
        <v>20</v>
      </c>
      <c r="C631" s="15">
        <v>11054932.3318324</v>
      </c>
      <c r="D631" s="21">
        <v>1432198.077</v>
      </c>
    </row>
    <row r="632" spans="1:4" x14ac:dyDescent="0.25">
      <c r="A632" s="1" t="s">
        <v>54</v>
      </c>
      <c r="B632" s="2" t="s">
        <v>2</v>
      </c>
      <c r="C632" s="16">
        <v>446195.99300000002</v>
      </c>
      <c r="D632" s="22">
        <v>374848.49300000002</v>
      </c>
    </row>
    <row r="633" spans="1:4" x14ac:dyDescent="0.25">
      <c r="A633" s="3" t="s">
        <v>54</v>
      </c>
      <c r="B633" s="4" t="s">
        <v>3</v>
      </c>
      <c r="C633" s="17">
        <v>445704.04300000001</v>
      </c>
      <c r="D633" s="23">
        <v>382279.65</v>
      </c>
    </row>
    <row r="634" spans="1:4" x14ac:dyDescent="0.25">
      <c r="A634" s="3" t="s">
        <v>54</v>
      </c>
      <c r="B634" s="4" t="s">
        <v>4</v>
      </c>
      <c r="C634" s="17">
        <v>523386.22</v>
      </c>
      <c r="D634" s="23">
        <v>498250.54599999997</v>
      </c>
    </row>
    <row r="635" spans="1:4" x14ac:dyDescent="0.25">
      <c r="A635" s="3" t="s">
        <v>54</v>
      </c>
      <c r="B635" s="4" t="s">
        <v>5</v>
      </c>
      <c r="C635" s="17">
        <v>491991.42800000001</v>
      </c>
      <c r="D635" s="23">
        <v>478042.57699999999</v>
      </c>
    </row>
    <row r="636" spans="1:4" x14ac:dyDescent="0.25">
      <c r="A636" s="3" t="s">
        <v>54</v>
      </c>
      <c r="B636" s="4" t="s">
        <v>6</v>
      </c>
      <c r="C636" s="17">
        <v>497905.22200000001</v>
      </c>
      <c r="D636" s="23">
        <v>424012.45799999998</v>
      </c>
    </row>
    <row r="637" spans="1:4" x14ac:dyDescent="0.25">
      <c r="A637" s="3" t="s">
        <v>54</v>
      </c>
      <c r="B637" s="4" t="s">
        <v>7</v>
      </c>
      <c r="C637" s="17">
        <v>500569.67</v>
      </c>
      <c r="D637" s="23">
        <v>440083.71399999998</v>
      </c>
    </row>
    <row r="638" spans="1:4" x14ac:dyDescent="0.25">
      <c r="A638" s="3" t="s">
        <v>54</v>
      </c>
      <c r="B638" s="4" t="s">
        <v>8</v>
      </c>
      <c r="C638" s="17">
        <v>513250.34700000001</v>
      </c>
      <c r="D638" s="23">
        <v>451007.38299999997</v>
      </c>
    </row>
    <row r="639" spans="1:4" x14ac:dyDescent="0.25">
      <c r="A639" s="3" t="s">
        <v>54</v>
      </c>
      <c r="B639" s="4" t="s">
        <v>9</v>
      </c>
      <c r="C639" s="17">
        <v>533722.60100000002</v>
      </c>
      <c r="D639" s="23">
        <v>427104.826</v>
      </c>
    </row>
    <row r="640" spans="1:4" x14ac:dyDescent="0.25">
      <c r="A640" s="3" t="s">
        <v>54</v>
      </c>
      <c r="B640" s="4" t="s">
        <v>10</v>
      </c>
      <c r="C640" s="17">
        <v>355287.65</v>
      </c>
      <c r="D640" s="23">
        <v>437169.54499999998</v>
      </c>
    </row>
    <row r="641" spans="1:4" x14ac:dyDescent="0.25">
      <c r="A641" s="3" t="s">
        <v>54</v>
      </c>
      <c r="B641" s="4" t="s">
        <v>11</v>
      </c>
      <c r="C641" s="17">
        <v>245703.587</v>
      </c>
      <c r="D641" s="23"/>
    </row>
    <row r="642" spans="1:4" x14ac:dyDescent="0.25">
      <c r="A642" s="3" t="s">
        <v>54</v>
      </c>
      <c r="B642" s="4" t="s">
        <v>12</v>
      </c>
      <c r="C642" s="17">
        <v>280013.076874113</v>
      </c>
      <c r="D642" s="23"/>
    </row>
    <row r="643" spans="1:4" x14ac:dyDescent="0.25">
      <c r="A643" s="3" t="s">
        <v>54</v>
      </c>
      <c r="B643" s="4" t="s">
        <v>13</v>
      </c>
      <c r="C643" s="17">
        <v>322183.11815364298</v>
      </c>
      <c r="D643" s="23"/>
    </row>
    <row r="644" spans="1:4" x14ac:dyDescent="0.25">
      <c r="A644" s="3" t="s">
        <v>54</v>
      </c>
      <c r="B644" s="4" t="s">
        <v>14</v>
      </c>
      <c r="C644" s="17">
        <v>395276.89895703999</v>
      </c>
      <c r="D644" s="23"/>
    </row>
    <row r="645" spans="1:4" x14ac:dyDescent="0.25">
      <c r="A645" s="3" t="s">
        <v>54</v>
      </c>
      <c r="B645" s="4" t="s">
        <v>15</v>
      </c>
      <c r="C645" s="17">
        <v>409267.83532472298</v>
      </c>
      <c r="D645" s="23"/>
    </row>
    <row r="646" spans="1:4" x14ac:dyDescent="0.25">
      <c r="A646" s="3" t="s">
        <v>54</v>
      </c>
      <c r="B646" s="4" t="s">
        <v>16</v>
      </c>
      <c r="C646" s="17">
        <v>515560.36751535401</v>
      </c>
      <c r="D646" s="23"/>
    </row>
    <row r="647" spans="1:4" x14ac:dyDescent="0.25">
      <c r="A647" s="3" t="s">
        <v>54</v>
      </c>
      <c r="B647" s="4" t="s">
        <v>17</v>
      </c>
      <c r="C647" s="17">
        <v>643174.78652803798</v>
      </c>
      <c r="D647" s="23"/>
    </row>
    <row r="648" spans="1:4" x14ac:dyDescent="0.25">
      <c r="A648" s="3" t="s">
        <v>54</v>
      </c>
      <c r="B648" s="4" t="s">
        <v>18</v>
      </c>
      <c r="C648" s="17">
        <v>1415286.2560000001</v>
      </c>
      <c r="D648" s="23">
        <v>1255378.689</v>
      </c>
    </row>
    <row r="649" spans="1:4" x14ac:dyDescent="0.25">
      <c r="A649" s="3" t="s">
        <v>54</v>
      </c>
      <c r="B649" s="4" t="s">
        <v>19</v>
      </c>
      <c r="C649" s="17">
        <v>2537439.2680000002</v>
      </c>
      <c r="D649" s="23">
        <v>2220250.9580000001</v>
      </c>
    </row>
    <row r="650" spans="1:4" ht="15.75" thickBot="1" x14ac:dyDescent="0.3">
      <c r="A650" s="5" t="s">
        <v>54</v>
      </c>
      <c r="B650" s="6" t="s">
        <v>20</v>
      </c>
      <c r="C650" s="18">
        <v>3166467.3203529101</v>
      </c>
      <c r="D650" s="24">
        <v>437169.54499999998</v>
      </c>
    </row>
    <row r="651" spans="1:4" x14ac:dyDescent="0.25">
      <c r="A651" s="7" t="s">
        <v>55</v>
      </c>
      <c r="B651" s="8" t="s">
        <v>2</v>
      </c>
      <c r="C651" s="13">
        <v>2096444.196</v>
      </c>
      <c r="D651" s="25">
        <v>2014076.6980000001</v>
      </c>
    </row>
    <row r="652" spans="1:4" x14ac:dyDescent="0.25">
      <c r="A652" s="9" t="s">
        <v>55</v>
      </c>
      <c r="B652" s="10" t="s">
        <v>3</v>
      </c>
      <c r="C652" s="14">
        <v>2078545.547</v>
      </c>
      <c r="D652" s="20">
        <v>2035788.89</v>
      </c>
    </row>
    <row r="653" spans="1:4" x14ac:dyDescent="0.25">
      <c r="A653" s="9" t="s">
        <v>55</v>
      </c>
      <c r="B653" s="10" t="s">
        <v>4</v>
      </c>
      <c r="C653" s="14">
        <v>2154880.162</v>
      </c>
      <c r="D653" s="20">
        <v>2164732.4410000001</v>
      </c>
    </row>
    <row r="654" spans="1:4" x14ac:dyDescent="0.25">
      <c r="A654" s="9" t="s">
        <v>55</v>
      </c>
      <c r="B654" s="10" t="s">
        <v>5</v>
      </c>
      <c r="C654" s="14">
        <v>2003510.5079999999</v>
      </c>
      <c r="D654" s="20">
        <v>2100314.1260000002</v>
      </c>
    </row>
    <row r="655" spans="1:4" x14ac:dyDescent="0.25">
      <c r="A655" s="9" t="s">
        <v>55</v>
      </c>
      <c r="B655" s="10" t="s">
        <v>6</v>
      </c>
      <c r="C655" s="14">
        <v>2030766.4720000001</v>
      </c>
      <c r="D655" s="20">
        <v>1860381.875</v>
      </c>
    </row>
    <row r="656" spans="1:4" x14ac:dyDescent="0.25">
      <c r="A656" s="9" t="s">
        <v>55</v>
      </c>
      <c r="B656" s="10" t="s">
        <v>7</v>
      </c>
      <c r="C656" s="14">
        <v>2075409.253</v>
      </c>
      <c r="D656" s="20">
        <v>1919547.095</v>
      </c>
    </row>
    <row r="657" spans="1:4" x14ac:dyDescent="0.25">
      <c r="A657" s="9" t="s">
        <v>55</v>
      </c>
      <c r="B657" s="10" t="s">
        <v>8</v>
      </c>
      <c r="C657" s="14">
        <v>2094903.4920000001</v>
      </c>
      <c r="D657" s="20">
        <v>1885284.841</v>
      </c>
    </row>
    <row r="658" spans="1:4" x14ac:dyDescent="0.25">
      <c r="A658" s="9" t="s">
        <v>55</v>
      </c>
      <c r="B658" s="10" t="s">
        <v>9</v>
      </c>
      <c r="C658" s="14">
        <v>2161543.6329999999</v>
      </c>
      <c r="D658" s="20">
        <v>1848568.882</v>
      </c>
    </row>
    <row r="659" spans="1:4" x14ac:dyDescent="0.25">
      <c r="A659" s="9" t="s">
        <v>55</v>
      </c>
      <c r="B659" s="10" t="s">
        <v>10</v>
      </c>
      <c r="C659" s="14">
        <v>1974723.648</v>
      </c>
      <c r="D659" s="20">
        <v>1869367.622</v>
      </c>
    </row>
    <row r="660" spans="1:4" x14ac:dyDescent="0.25">
      <c r="A660" s="9" t="s">
        <v>55</v>
      </c>
      <c r="B660" s="10" t="s">
        <v>11</v>
      </c>
      <c r="C660" s="14">
        <v>1475039.585</v>
      </c>
      <c r="D660" s="20"/>
    </row>
    <row r="661" spans="1:4" x14ac:dyDescent="0.25">
      <c r="A661" s="9" t="s">
        <v>55</v>
      </c>
      <c r="B661" s="10" t="s">
        <v>12</v>
      </c>
      <c r="C661" s="14">
        <v>1468439.2346860201</v>
      </c>
      <c r="D661" s="20"/>
    </row>
    <row r="662" spans="1:4" x14ac:dyDescent="0.25">
      <c r="A662" s="9" t="s">
        <v>55</v>
      </c>
      <c r="B662" s="10" t="s">
        <v>13</v>
      </c>
      <c r="C662" s="14">
        <v>1570580.86867613</v>
      </c>
      <c r="D662" s="20"/>
    </row>
    <row r="663" spans="1:4" x14ac:dyDescent="0.25">
      <c r="A663" s="9" t="s">
        <v>55</v>
      </c>
      <c r="B663" s="10" t="s">
        <v>14</v>
      </c>
      <c r="C663" s="14">
        <v>1772306.6321872501</v>
      </c>
      <c r="D663" s="20"/>
    </row>
    <row r="664" spans="1:4" x14ac:dyDescent="0.25">
      <c r="A664" s="9" t="s">
        <v>55</v>
      </c>
      <c r="B664" s="10" t="s">
        <v>15</v>
      </c>
      <c r="C664" s="14">
        <v>1776191.1388644599</v>
      </c>
      <c r="D664" s="20"/>
    </row>
    <row r="665" spans="1:4" x14ac:dyDescent="0.25">
      <c r="A665" s="9" t="s">
        <v>55</v>
      </c>
      <c r="B665" s="10" t="s">
        <v>16</v>
      </c>
      <c r="C665" s="14">
        <v>2079716.3302233899</v>
      </c>
      <c r="D665" s="20"/>
    </row>
    <row r="666" spans="1:4" x14ac:dyDescent="0.25">
      <c r="A666" s="9" t="s">
        <v>55</v>
      </c>
      <c r="B666" s="10" t="s">
        <v>17</v>
      </c>
      <c r="C666" s="14">
        <v>2404402.21454807</v>
      </c>
      <c r="D666" s="20"/>
    </row>
    <row r="667" spans="1:4" x14ac:dyDescent="0.25">
      <c r="A667" s="9" t="s">
        <v>55</v>
      </c>
      <c r="B667" s="10" t="s">
        <v>18</v>
      </c>
      <c r="C667" s="14">
        <v>6329869.9050000003</v>
      </c>
      <c r="D667" s="20">
        <v>6214598.0290000001</v>
      </c>
    </row>
    <row r="668" spans="1:4" x14ac:dyDescent="0.25">
      <c r="A668" s="9" t="s">
        <v>55</v>
      </c>
      <c r="B668" s="10" t="s">
        <v>19</v>
      </c>
      <c r="C668" s="14">
        <v>10366133.357999999</v>
      </c>
      <c r="D668" s="20">
        <v>9614096.8190000001</v>
      </c>
    </row>
    <row r="669" spans="1:4" ht="15.75" thickBot="1" x14ac:dyDescent="0.3">
      <c r="A669" s="11" t="s">
        <v>55</v>
      </c>
      <c r="B669" s="12" t="s">
        <v>20</v>
      </c>
      <c r="C669" s="15">
        <v>14521399.6521853</v>
      </c>
      <c r="D669" s="21">
        <v>1869367.622</v>
      </c>
    </row>
    <row r="670" spans="1:4" x14ac:dyDescent="0.25">
      <c r="A670" s="1" t="s">
        <v>56</v>
      </c>
      <c r="B670" s="2" t="s">
        <v>2</v>
      </c>
      <c r="C670" s="16">
        <v>2096444.196</v>
      </c>
      <c r="D670" s="22">
        <v>2014076.6980000001</v>
      </c>
    </row>
    <row r="671" spans="1:4" x14ac:dyDescent="0.25">
      <c r="A671" s="3" t="s">
        <v>56</v>
      </c>
      <c r="B671" s="4" t="s">
        <v>3</v>
      </c>
      <c r="C671" s="17">
        <v>2078545.547</v>
      </c>
      <c r="D671" s="23">
        <v>2035788.89</v>
      </c>
    </row>
    <row r="672" spans="1:4" x14ac:dyDescent="0.25">
      <c r="A672" s="3" t="s">
        <v>56</v>
      </c>
      <c r="B672" s="4" t="s">
        <v>4</v>
      </c>
      <c r="C672" s="17">
        <v>2154880.162</v>
      </c>
      <c r="D672" s="23">
        <v>2164732.4410000001</v>
      </c>
    </row>
    <row r="673" spans="1:4" x14ac:dyDescent="0.25">
      <c r="A673" s="3" t="s">
        <v>56</v>
      </c>
      <c r="B673" s="4" t="s">
        <v>5</v>
      </c>
      <c r="C673" s="17">
        <v>2011069.7779999999</v>
      </c>
      <c r="D673" s="23">
        <v>2119676.452</v>
      </c>
    </row>
    <row r="674" spans="1:4" x14ac:dyDescent="0.25">
      <c r="A674" s="3" t="s">
        <v>56</v>
      </c>
      <c r="B674" s="4" t="s">
        <v>6</v>
      </c>
      <c r="C674" s="17">
        <v>2051351.8970000001</v>
      </c>
      <c r="D674" s="23">
        <v>1879610.9439999999</v>
      </c>
    </row>
    <row r="675" spans="1:4" x14ac:dyDescent="0.25">
      <c r="A675" s="3" t="s">
        <v>56</v>
      </c>
      <c r="B675" s="4" t="s">
        <v>7</v>
      </c>
      <c r="C675" s="17">
        <v>2089762.946</v>
      </c>
      <c r="D675" s="23">
        <v>1938884.1939999999</v>
      </c>
    </row>
    <row r="676" spans="1:4" x14ac:dyDescent="0.25">
      <c r="A676" s="3" t="s">
        <v>56</v>
      </c>
      <c r="B676" s="4" t="s">
        <v>8</v>
      </c>
      <c r="C676" s="17">
        <v>2109671.8509999998</v>
      </c>
      <c r="D676" s="23">
        <v>1904517.4110000001</v>
      </c>
    </row>
    <row r="677" spans="1:4" x14ac:dyDescent="0.25">
      <c r="A677" s="3" t="s">
        <v>56</v>
      </c>
      <c r="B677" s="4" t="s">
        <v>9</v>
      </c>
      <c r="C677" s="17">
        <v>2179736.7239999999</v>
      </c>
      <c r="D677" s="23">
        <v>1867158.6880000001</v>
      </c>
    </row>
    <row r="678" spans="1:4" x14ac:dyDescent="0.25">
      <c r="A678" s="3" t="s">
        <v>56</v>
      </c>
      <c r="B678" s="4" t="s">
        <v>10</v>
      </c>
      <c r="C678" s="17">
        <v>2001202.8844999999</v>
      </c>
      <c r="D678" s="23">
        <v>1895844.2009999999</v>
      </c>
    </row>
    <row r="679" spans="1:4" x14ac:dyDescent="0.25">
      <c r="A679" s="3" t="s">
        <v>56</v>
      </c>
      <c r="B679" s="4" t="s">
        <v>11</v>
      </c>
      <c r="C679" s="17">
        <v>1493975.4350000001</v>
      </c>
      <c r="D679" s="23"/>
    </row>
    <row r="680" spans="1:4" x14ac:dyDescent="0.25">
      <c r="A680" s="3" t="s">
        <v>56</v>
      </c>
      <c r="B680" s="4" t="s">
        <v>12</v>
      </c>
      <c r="C680" s="17">
        <v>1493230.1742797999</v>
      </c>
      <c r="D680" s="23"/>
    </row>
    <row r="681" spans="1:4" x14ac:dyDescent="0.25">
      <c r="A681" s="3" t="s">
        <v>56</v>
      </c>
      <c r="B681" s="4" t="s">
        <v>13</v>
      </c>
      <c r="C681" s="17">
        <v>1596062.6902383899</v>
      </c>
      <c r="D681" s="23"/>
    </row>
    <row r="682" spans="1:4" x14ac:dyDescent="0.25">
      <c r="A682" s="3" t="s">
        <v>56</v>
      </c>
      <c r="B682" s="4" t="s">
        <v>14</v>
      </c>
      <c r="C682" s="17">
        <v>1799256.87549694</v>
      </c>
      <c r="D682" s="23"/>
    </row>
    <row r="683" spans="1:4" x14ac:dyDescent="0.25">
      <c r="A683" s="3" t="s">
        <v>56</v>
      </c>
      <c r="B683" s="4" t="s">
        <v>15</v>
      </c>
      <c r="C683" s="17">
        <v>1803026.0103915301</v>
      </c>
      <c r="D683" s="23"/>
    </row>
    <row r="684" spans="1:4" x14ac:dyDescent="0.25">
      <c r="A684" s="3" t="s">
        <v>56</v>
      </c>
      <c r="B684" s="4" t="s">
        <v>16</v>
      </c>
      <c r="C684" s="17">
        <v>2108802.7469721902</v>
      </c>
      <c r="D684" s="23"/>
    </row>
    <row r="685" spans="1:4" x14ac:dyDescent="0.25">
      <c r="A685" s="3" t="s">
        <v>56</v>
      </c>
      <c r="B685" s="4" t="s">
        <v>17</v>
      </c>
      <c r="C685" s="17">
        <v>2435738.3363808701</v>
      </c>
      <c r="D685" s="23"/>
    </row>
    <row r="686" spans="1:4" x14ac:dyDescent="0.25">
      <c r="A686" s="3" t="s">
        <v>56</v>
      </c>
      <c r="B686" s="4" t="s">
        <v>18</v>
      </c>
      <c r="C686" s="17">
        <v>6329869.9050000003</v>
      </c>
      <c r="D686" s="23">
        <v>6214598.0290000001</v>
      </c>
    </row>
    <row r="687" spans="1:4" x14ac:dyDescent="0.25">
      <c r="A687" s="3" t="s">
        <v>56</v>
      </c>
      <c r="B687" s="4" t="s">
        <v>19</v>
      </c>
      <c r="C687" s="17">
        <v>10441593.196</v>
      </c>
      <c r="D687" s="23">
        <v>9709847.6889999993</v>
      </c>
    </row>
    <row r="688" spans="1:4" ht="15.75" thickBot="1" x14ac:dyDescent="0.3">
      <c r="A688" s="5" t="s">
        <v>56</v>
      </c>
      <c r="B688" s="6" t="s">
        <v>20</v>
      </c>
      <c r="C688" s="18">
        <v>14731295.1532597</v>
      </c>
      <c r="D688" s="24">
        <v>1895844.2009999999</v>
      </c>
    </row>
  </sheetData>
  <mergeCells count="2">
    <mergeCell ref="C3:D3"/>
    <mergeCell ref="A2:B2"/>
  </mergeCells>
  <hyperlinks>
    <hyperlink ref="B3" r:id="rId1"/>
  </hyperlinks>
  <pageMargins left="0.7" right="0.7" top="0.78740157499999996" bottom="0.78740157499999996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B3:M36"/>
  <sheetViews>
    <sheetView workbookViewId="0">
      <selection activeCell="S29" sqref="S29"/>
    </sheetView>
  </sheetViews>
  <sheetFormatPr defaultColWidth="11.42578125" defaultRowHeight="15" x14ac:dyDescent="0.25"/>
  <cols>
    <col min="2" max="2" width="11.42578125" style="35"/>
    <col min="13" max="13" width="14.140625" bestFit="1" customWidth="1"/>
  </cols>
  <sheetData>
    <row r="3" spans="2:13" x14ac:dyDescent="0.25">
      <c r="B3" s="35" t="s">
        <v>125</v>
      </c>
    </row>
    <row r="4" spans="2:13" x14ac:dyDescent="0.25">
      <c r="B4" s="140"/>
      <c r="C4" s="140"/>
      <c r="D4" s="140" t="str">
        <f>co2pfad_ets!C20</f>
        <v>(A) Sinkender Differenzbetrag (% vom Vorjahr, konstante Belastung)</v>
      </c>
      <c r="E4" s="140"/>
      <c r="F4" s="140"/>
      <c r="G4" s="140"/>
      <c r="H4" s="140"/>
      <c r="I4" s="140"/>
      <c r="J4" s="140"/>
      <c r="K4" s="140"/>
      <c r="L4" s="140"/>
    </row>
    <row r="5" spans="2:13" x14ac:dyDescent="0.25">
      <c r="B5" s="164"/>
      <c r="C5" s="154">
        <f>co2pfad_ets!B21</f>
        <v>2007</v>
      </c>
      <c r="D5" s="154">
        <f>co2pfad_ets!C21</f>
        <v>2010</v>
      </c>
      <c r="E5" s="154">
        <f>co2pfad_ets!D21</f>
        <v>2015</v>
      </c>
      <c r="F5" s="154">
        <f>co2pfad_ets!E21</f>
        <v>2020</v>
      </c>
      <c r="G5" s="154">
        <f>co2pfad_ets!F21</f>
        <v>2025</v>
      </c>
      <c r="H5" s="154">
        <f>co2pfad_ets!G21</f>
        <v>2030</v>
      </c>
      <c r="I5" s="154">
        <f>co2pfad_ets!H21</f>
        <v>2035</v>
      </c>
      <c r="J5" s="154">
        <f>co2pfad_ets!I21</f>
        <v>2040</v>
      </c>
      <c r="K5" s="154">
        <f>co2pfad_ets!J21</f>
        <v>2045</v>
      </c>
      <c r="L5" s="165">
        <f>co2pfad_ets!K21</f>
        <v>2050</v>
      </c>
      <c r="M5" s="40" t="s">
        <v>127</v>
      </c>
    </row>
    <row r="6" spans="2:13" x14ac:dyDescent="0.25">
      <c r="B6" s="166" t="str">
        <f>co2pfad_ets!A22</f>
        <v>EUN</v>
      </c>
      <c r="C6" s="167">
        <f>co2pfad_ets!B22</f>
        <v>1</v>
      </c>
      <c r="D6" s="168">
        <f>co2pfad_ets!C22</f>
        <v>0.95635447922924888</v>
      </c>
      <c r="E6" s="168">
        <f>co2pfad_ets!D22</f>
        <v>0.82586943254643552</v>
      </c>
      <c r="F6" s="168">
        <f>co2pfad_ets!E22</f>
        <v>0.66996641036647309</v>
      </c>
      <c r="G6" s="168">
        <f>co2pfad_ets!F22</f>
        <v>0.54349389059644115</v>
      </c>
      <c r="H6" s="168">
        <f>co2pfad_ets!G22</f>
        <v>0.44089614724726239</v>
      </c>
      <c r="I6" s="168">
        <f>co2pfad_ets!H22</f>
        <v>0.35766623327477126</v>
      </c>
      <c r="J6" s="168">
        <f>co2pfad_ets!I22</f>
        <v>0.29014799794387952</v>
      </c>
      <c r="K6" s="168">
        <f>co2pfad_ets!J22</f>
        <v>0.2353754782497656</v>
      </c>
      <c r="L6" s="169">
        <f>co2pfad_ets!K22</f>
        <v>0.19094260913019176</v>
      </c>
      <c r="M6" s="97">
        <f>SUM(C6:L6)</f>
        <v>5.5107126785844684</v>
      </c>
    </row>
    <row r="7" spans="2:13" x14ac:dyDescent="0.25">
      <c r="B7" s="166" t="str">
        <f>co2pfad_ets!A23</f>
        <v>DEU</v>
      </c>
      <c r="C7" s="167">
        <f>co2pfad_ets!B23</f>
        <v>1</v>
      </c>
      <c r="D7" s="168">
        <f>co2pfad_ets!C23</f>
        <v>0.93372896045778508</v>
      </c>
      <c r="E7" s="168">
        <f>co2pfad_ets!D23</f>
        <v>0.90438903998437969</v>
      </c>
      <c r="F7" s="168">
        <f>co2pfad_ets!E23</f>
        <v>0.72640246291201427</v>
      </c>
      <c r="G7" s="168">
        <f>co2pfad_ets!F23</f>
        <v>0.58344419801212277</v>
      </c>
      <c r="H7" s="168">
        <f>co2pfad_ets!G23</f>
        <v>0.46862056445868772</v>
      </c>
      <c r="I7" s="168">
        <f>co2pfad_ets!H23</f>
        <v>0.37639457926191644</v>
      </c>
      <c r="J7" s="168">
        <f>co2pfad_ets!I23</f>
        <v>0.30231895491271071</v>
      </c>
      <c r="K7" s="168">
        <f>co2pfad_ets!J23</f>
        <v>0.24282164392148334</v>
      </c>
      <c r="L7" s="169">
        <f>co2pfad_ets!K23</f>
        <v>0.19503358885901151</v>
      </c>
      <c r="M7" s="97">
        <f t="shared" ref="M7:M12" si="0">SUM(C7:L7)</f>
        <v>5.7331539927801112</v>
      </c>
    </row>
    <row r="8" spans="2:13" x14ac:dyDescent="0.25">
      <c r="B8" s="166" t="str">
        <f>co2pfad_ets!A24</f>
        <v>EUS</v>
      </c>
      <c r="C8" s="167">
        <f>co2pfad_ets!B24</f>
        <v>1</v>
      </c>
      <c r="D8" s="168">
        <f>co2pfad_ets!C24</f>
        <v>0.77272393253344329</v>
      </c>
      <c r="E8" s="168">
        <f>co2pfad_ets!D24</f>
        <v>0.68515256131224467</v>
      </c>
      <c r="F8" s="168">
        <f>co2pfad_ets!E24</f>
        <v>0.57459288510458972</v>
      </c>
      <c r="G8" s="168">
        <f>co2pfad_ets!F24</f>
        <v>0.48187367639767709</v>
      </c>
      <c r="H8" s="168">
        <f>co2pfad_ets!G24</f>
        <v>0.40411610729002834</v>
      </c>
      <c r="I8" s="168">
        <f>co2pfad_ets!H24</f>
        <v>0.3389058920837803</v>
      </c>
      <c r="J8" s="168">
        <f>co2pfad_ets!I24</f>
        <v>0.28421832640952271</v>
      </c>
      <c r="K8" s="168">
        <f>co2pfad_ets!J24</f>
        <v>0.2383554224163813</v>
      </c>
      <c r="L8" s="169">
        <f>co2pfad_ets!K24</f>
        <v>0.19989318814519641</v>
      </c>
      <c r="M8" s="97">
        <f t="shared" si="0"/>
        <v>4.9798319916928646</v>
      </c>
    </row>
    <row r="9" spans="2:13" x14ac:dyDescent="0.25">
      <c r="B9" s="166" t="str">
        <f>co2pfad_ets!A25</f>
        <v>EUE</v>
      </c>
      <c r="C9" s="167">
        <f>co2pfad_ets!B25</f>
        <v>1</v>
      </c>
      <c r="D9" s="168">
        <f>co2pfad_ets!C25</f>
        <v>0.87602791846624217</v>
      </c>
      <c r="E9" s="168">
        <f>co2pfad_ets!D25</f>
        <v>0.77419991306726321</v>
      </c>
      <c r="F9" s="168">
        <f>co2pfad_ets!E25</f>
        <v>0.61079916767289943</v>
      </c>
      <c r="G9" s="168">
        <f>co2pfad_ets!F25</f>
        <v>0.48188538507042383</v>
      </c>
      <c r="H9" s="168">
        <f>co2pfad_ets!G25</f>
        <v>0.38017983100597097</v>
      </c>
      <c r="I9" s="168">
        <f>co2pfad_ets!H25</f>
        <v>0.29994000312461389</v>
      </c>
      <c r="J9" s="168">
        <f>co2pfad_ets!I25</f>
        <v>0.23663539761261154</v>
      </c>
      <c r="K9" s="168">
        <f>co2pfad_ets!J25</f>
        <v>0.18669170774134575</v>
      </c>
      <c r="L9" s="169">
        <f>co2pfad_ets!K25</f>
        <v>0.14728901124268026</v>
      </c>
      <c r="M9" s="97">
        <f t="shared" si="0"/>
        <v>4.9936483350040515</v>
      </c>
    </row>
    <row r="10" spans="2:13" x14ac:dyDescent="0.25">
      <c r="B10" s="166" t="str">
        <f>co2pfad_ets!A26</f>
        <v>FRA</v>
      </c>
      <c r="C10" s="167">
        <f>co2pfad_ets!B26</f>
        <v>1</v>
      </c>
      <c r="D10" s="168">
        <f>co2pfad_ets!C26</f>
        <v>0.91263038525384976</v>
      </c>
      <c r="E10" s="168">
        <f>co2pfad_ets!D26</f>
        <v>0.75301281399030284</v>
      </c>
      <c r="F10" s="168">
        <f>co2pfad_ets!E26</f>
        <v>0.62629158351999725</v>
      </c>
      <c r="G10" s="168">
        <f>co2pfad_ets!F26</f>
        <v>0.52089571425677861</v>
      </c>
      <c r="H10" s="168">
        <f>co2pfad_ets!G26</f>
        <v>0.43323645450588427</v>
      </c>
      <c r="I10" s="168">
        <f>co2pfad_ets!H26</f>
        <v>0.36032898788701578</v>
      </c>
      <c r="J10" s="168">
        <f>co2pfad_ets!I26</f>
        <v>0.29969079970373941</v>
      </c>
      <c r="K10" s="168">
        <f>co2pfad_ets!J26</f>
        <v>0.24925714679172281</v>
      </c>
      <c r="L10" s="169">
        <f>co2pfad_ets!K26</f>
        <v>0.20731075257621684</v>
      </c>
      <c r="M10" s="97">
        <f t="shared" si="0"/>
        <v>5.3626546384855081</v>
      </c>
    </row>
    <row r="11" spans="2:13" x14ac:dyDescent="0.25">
      <c r="B11" s="170" t="str">
        <f>co2pfad_ets!A27</f>
        <v>AUT</v>
      </c>
      <c r="C11" s="171">
        <f>co2pfad_ets!B27</f>
        <v>1</v>
      </c>
      <c r="D11" s="172">
        <f>co2pfad_ets!C27</f>
        <v>0.97381051964551968</v>
      </c>
      <c r="E11" s="172">
        <f>co2pfad_ets!D27</f>
        <v>0.86702226497718515</v>
      </c>
      <c r="F11" s="172">
        <f>co2pfad_ets!E27</f>
        <v>0.70814324056043465</v>
      </c>
      <c r="G11" s="172">
        <f>co2pfad_ets!F27</f>
        <v>0.57837828324354434</v>
      </c>
      <c r="H11" s="172">
        <f>co2pfad_ets!G27</f>
        <v>0.47239233444211726</v>
      </c>
      <c r="I11" s="172">
        <f>co2pfad_ets!H27</f>
        <v>0.38582796779336709</v>
      </c>
      <c r="J11" s="172">
        <f>co2pfad_ets!I27</f>
        <v>0.31512624121507604</v>
      </c>
      <c r="K11" s="172">
        <f>co2pfad_ets!J27</f>
        <v>0.25738037724503565</v>
      </c>
      <c r="L11" s="173">
        <f>co2pfad_ets!K27</f>
        <v>0.21021625598480187</v>
      </c>
      <c r="M11" s="97">
        <f t="shared" si="0"/>
        <v>5.7682974851070821</v>
      </c>
    </row>
    <row r="12" spans="2:13" x14ac:dyDescent="0.25">
      <c r="B12" s="154" t="str">
        <f>co2pfad_ets!A28</f>
        <v>TOTAL</v>
      </c>
      <c r="C12" s="155">
        <f>co2pfad_ets!B28</f>
        <v>0.99999999999999989</v>
      </c>
      <c r="D12" s="156">
        <f>co2pfad_ets!C28</f>
        <v>0.89243942903166995</v>
      </c>
      <c r="E12" s="156">
        <f>co2pfad_ets!D28</f>
        <v>0.80205363776766692</v>
      </c>
      <c r="F12" s="156">
        <f>co2pfad_ets!E28</f>
        <v>0.64961496992728629</v>
      </c>
      <c r="G12" s="156">
        <f>co2pfad_ets!F28</f>
        <v>0.52679922307274429</v>
      </c>
      <c r="H12" s="156">
        <f>co2pfad_ets!G28</f>
        <v>0.42774198841121314</v>
      </c>
      <c r="I12" s="156">
        <f>co2pfad_ets!H28</f>
        <v>0.34775733524514246</v>
      </c>
      <c r="J12" s="156">
        <f>co2pfad_ets!I28</f>
        <v>0.28309817614853872</v>
      </c>
      <c r="K12" s="156">
        <f>co2pfad_ets!J28</f>
        <v>0.23076581460322371</v>
      </c>
      <c r="L12" s="156">
        <f>co2pfad_ets!K28</f>
        <v>0.18835850618287073</v>
      </c>
      <c r="M12" s="163">
        <f t="shared" si="0"/>
        <v>5.3486290803903564</v>
      </c>
    </row>
    <row r="14" spans="2:13" x14ac:dyDescent="0.25">
      <c r="D14" s="130" t="s">
        <v>130</v>
      </c>
      <c r="F14" s="150" t="s">
        <v>133</v>
      </c>
      <c r="G14" s="150"/>
    </row>
    <row r="15" spans="2:13" x14ac:dyDescent="0.25">
      <c r="C15" s="135">
        <f>C5</f>
        <v>2007</v>
      </c>
      <c r="D15" s="135">
        <f t="shared" ref="D15:L15" si="1">D5</f>
        <v>2010</v>
      </c>
      <c r="E15" s="136">
        <f t="shared" si="1"/>
        <v>2015</v>
      </c>
      <c r="F15" s="136">
        <f t="shared" si="1"/>
        <v>2020</v>
      </c>
      <c r="G15" s="136">
        <f t="shared" si="1"/>
        <v>2025</v>
      </c>
      <c r="H15" s="135">
        <f t="shared" si="1"/>
        <v>2030</v>
      </c>
      <c r="I15" s="135">
        <f t="shared" si="1"/>
        <v>2035</v>
      </c>
      <c r="J15" s="135">
        <f t="shared" si="1"/>
        <v>2040</v>
      </c>
      <c r="K15" s="135">
        <f t="shared" si="1"/>
        <v>2045</v>
      </c>
      <c r="L15" s="135">
        <f t="shared" si="1"/>
        <v>2050</v>
      </c>
    </row>
    <row r="16" spans="2:13" x14ac:dyDescent="0.25">
      <c r="B16" s="35" t="s">
        <v>123</v>
      </c>
      <c r="C16">
        <f t="shared" ref="C16:L16" si="2">C12</f>
        <v>0.99999999999999989</v>
      </c>
      <c r="D16" s="68">
        <f t="shared" si="2"/>
        <v>0.89243942903166995</v>
      </c>
      <c r="E16" s="134">
        <f t="shared" si="2"/>
        <v>0.80205363776766692</v>
      </c>
      <c r="F16" s="134">
        <f t="shared" si="2"/>
        <v>0.64961496992728629</v>
      </c>
      <c r="G16" s="134">
        <f t="shared" si="2"/>
        <v>0.52679922307274429</v>
      </c>
      <c r="H16" s="132">
        <f t="shared" si="2"/>
        <v>0.42774198841121314</v>
      </c>
      <c r="I16" s="68">
        <f t="shared" si="2"/>
        <v>0.34775733524514246</v>
      </c>
      <c r="J16" s="68">
        <f t="shared" si="2"/>
        <v>0.28309817614853872</v>
      </c>
      <c r="K16" s="68">
        <f t="shared" si="2"/>
        <v>0.23076581460322371</v>
      </c>
      <c r="L16" s="68">
        <f t="shared" si="2"/>
        <v>0.18835850618287073</v>
      </c>
      <c r="M16" s="68">
        <f>SUM(C16:L16)</f>
        <v>5.3486290803903564</v>
      </c>
    </row>
    <row r="17" spans="2:13" x14ac:dyDescent="0.25">
      <c r="B17" s="35" t="s">
        <v>124</v>
      </c>
      <c r="C17">
        <f>C16</f>
        <v>0.99999999999999989</v>
      </c>
      <c r="D17" s="68">
        <f t="shared" ref="D17:H17" si="3">D16</f>
        <v>0.89243942903166995</v>
      </c>
      <c r="E17" s="149">
        <v>0.82</v>
      </c>
      <c r="F17" s="134">
        <f>M16-SUM(G17:L17)-SUM(C17:E17)</f>
        <v>0.73072584235648508</v>
      </c>
      <c r="G17" s="149">
        <f>H17</f>
        <v>0.42774198841121314</v>
      </c>
      <c r="H17" s="132">
        <f t="shared" si="3"/>
        <v>0.42774198841121314</v>
      </c>
      <c r="I17" s="68">
        <f t="shared" ref="I17:L17" si="4">I16</f>
        <v>0.34775733524514246</v>
      </c>
      <c r="J17" s="68">
        <f t="shared" si="4"/>
        <v>0.28309817614853872</v>
      </c>
      <c r="K17" s="68">
        <f t="shared" si="4"/>
        <v>0.23076581460322371</v>
      </c>
      <c r="L17" s="68">
        <f t="shared" si="4"/>
        <v>0.18835850618287073</v>
      </c>
      <c r="M17" s="68">
        <f>SUM(C17:L17)</f>
        <v>5.3486290803903564</v>
      </c>
    </row>
    <row r="18" spans="2:13" x14ac:dyDescent="0.25">
      <c r="B18" s="35" t="s">
        <v>122</v>
      </c>
      <c r="C18">
        <f>C17/C16</f>
        <v>1</v>
      </c>
      <c r="D18">
        <f t="shared" ref="D18:L18" si="5">D17/D16</f>
        <v>1</v>
      </c>
      <c r="E18" s="134">
        <f>E17/E16</f>
        <v>1.0223755137901782</v>
      </c>
      <c r="F18" s="134">
        <f t="shared" si="5"/>
        <v>1.124859918850512</v>
      </c>
      <c r="G18" s="134">
        <f t="shared" si="5"/>
        <v>0.8119639697193467</v>
      </c>
      <c r="H18" s="133">
        <f t="shared" si="5"/>
        <v>1</v>
      </c>
      <c r="I18">
        <f t="shared" si="5"/>
        <v>1</v>
      </c>
      <c r="J18">
        <f t="shared" si="5"/>
        <v>1</v>
      </c>
      <c r="K18">
        <f t="shared" si="5"/>
        <v>1</v>
      </c>
      <c r="L18">
        <f t="shared" si="5"/>
        <v>1</v>
      </c>
    </row>
    <row r="20" spans="2:13" x14ac:dyDescent="0.25">
      <c r="B20" s="35" t="s">
        <v>126</v>
      </c>
    </row>
    <row r="21" spans="2:13" x14ac:dyDescent="0.25">
      <c r="B21" s="137"/>
      <c r="C21" s="138"/>
      <c r="D21" s="137" t="s">
        <v>129</v>
      </c>
      <c r="E21" s="138"/>
      <c r="F21" s="138"/>
      <c r="G21" s="138"/>
      <c r="H21" s="138"/>
      <c r="I21" s="138"/>
      <c r="J21" s="138"/>
      <c r="K21" s="138"/>
      <c r="L21" s="138"/>
    </row>
    <row r="22" spans="2:13" x14ac:dyDescent="0.25">
      <c r="B22" s="174"/>
      <c r="C22" s="175">
        <f t="shared" ref="C22:L22" si="6">C5</f>
        <v>2007</v>
      </c>
      <c r="D22" s="175">
        <f t="shared" si="6"/>
        <v>2010</v>
      </c>
      <c r="E22" s="175">
        <f t="shared" si="6"/>
        <v>2015</v>
      </c>
      <c r="F22" s="175">
        <f t="shared" si="6"/>
        <v>2020</v>
      </c>
      <c r="G22" s="175">
        <f t="shared" si="6"/>
        <v>2025</v>
      </c>
      <c r="H22" s="175">
        <f t="shared" si="6"/>
        <v>2030</v>
      </c>
      <c r="I22" s="175">
        <f t="shared" si="6"/>
        <v>2035</v>
      </c>
      <c r="J22" s="175">
        <f t="shared" si="6"/>
        <v>2040</v>
      </c>
      <c r="K22" s="175">
        <f t="shared" si="6"/>
        <v>2045</v>
      </c>
      <c r="L22" s="176">
        <f t="shared" si="6"/>
        <v>2050</v>
      </c>
      <c r="M22" s="146" t="s">
        <v>128</v>
      </c>
    </row>
    <row r="23" spans="2:13" x14ac:dyDescent="0.25">
      <c r="B23" s="177" t="str">
        <f t="shared" ref="B23:B29" si="7">B6</f>
        <v>EUN</v>
      </c>
      <c r="C23" s="178">
        <f t="shared" ref="C23:D29" si="8">C6*C$18</f>
        <v>1</v>
      </c>
      <c r="D23" s="179">
        <f t="shared" si="8"/>
        <v>0.95635447922924888</v>
      </c>
      <c r="E23" s="180">
        <f t="shared" ref="E23:E29" si="9">M6-SUM(F23:L23)-C23-D23</f>
        <v>0.84441391458505066</v>
      </c>
      <c r="F23" s="180">
        <f t="shared" ref="F23:L29" si="10">F6*F$18</f>
        <v>0.75361836199739973</v>
      </c>
      <c r="G23" s="180">
        <f t="shared" si="10"/>
        <v>0.4412974569268987</v>
      </c>
      <c r="H23" s="181">
        <f t="shared" si="10"/>
        <v>0.44089614724726239</v>
      </c>
      <c r="I23" s="179">
        <f t="shared" si="10"/>
        <v>0.35766623327477126</v>
      </c>
      <c r="J23" s="179">
        <f t="shared" si="10"/>
        <v>0.29014799794387952</v>
      </c>
      <c r="K23" s="179">
        <f t="shared" si="10"/>
        <v>0.2353754782497656</v>
      </c>
      <c r="L23" s="182">
        <f t="shared" si="10"/>
        <v>0.19094260913019176</v>
      </c>
      <c r="M23" s="145">
        <f t="shared" ref="M23:M29" si="11">SUM(C23:L23)-M6</f>
        <v>0</v>
      </c>
    </row>
    <row r="24" spans="2:13" x14ac:dyDescent="0.25">
      <c r="B24" s="177" t="str">
        <f t="shared" si="7"/>
        <v>DEU</v>
      </c>
      <c r="C24" s="178">
        <f t="shared" si="8"/>
        <v>1</v>
      </c>
      <c r="D24" s="179">
        <f t="shared" si="8"/>
        <v>0.93372896045778508</v>
      </c>
      <c r="E24" s="180">
        <f t="shared" si="9"/>
        <v>0.923399018296852</v>
      </c>
      <c r="F24" s="180">
        <f t="shared" si="10"/>
        <v>0.81710101548402037</v>
      </c>
      <c r="G24" s="180">
        <f t="shared" si="10"/>
        <v>0.47373566712764376</v>
      </c>
      <c r="H24" s="181">
        <f t="shared" si="10"/>
        <v>0.46862056445868772</v>
      </c>
      <c r="I24" s="179">
        <f t="shared" si="10"/>
        <v>0.37639457926191644</v>
      </c>
      <c r="J24" s="179">
        <f t="shared" si="10"/>
        <v>0.30231895491271071</v>
      </c>
      <c r="K24" s="179">
        <f t="shared" si="10"/>
        <v>0.24282164392148334</v>
      </c>
      <c r="L24" s="182">
        <f t="shared" si="10"/>
        <v>0.19503358885901151</v>
      </c>
      <c r="M24" s="145">
        <f t="shared" si="11"/>
        <v>0</v>
      </c>
    </row>
    <row r="25" spans="2:13" x14ac:dyDescent="0.25">
      <c r="B25" s="177" t="str">
        <f t="shared" si="7"/>
        <v>EUS</v>
      </c>
      <c r="C25" s="178">
        <f t="shared" si="8"/>
        <v>1</v>
      </c>
      <c r="D25" s="179">
        <f>D8*D$18</f>
        <v>0.77272393253344329</v>
      </c>
      <c r="E25" s="180">
        <f t="shared" si="9"/>
        <v>0.70401855351256792</v>
      </c>
      <c r="F25" s="180">
        <f t="shared" si="10"/>
        <v>0.64633650611083038</v>
      </c>
      <c r="G25" s="180">
        <f t="shared" si="10"/>
        <v>0.39126406319111373</v>
      </c>
      <c r="H25" s="181">
        <f t="shared" si="10"/>
        <v>0.40411610729002834</v>
      </c>
      <c r="I25" s="179">
        <f t="shared" si="10"/>
        <v>0.3389058920837803</v>
      </c>
      <c r="J25" s="179">
        <f t="shared" si="10"/>
        <v>0.28421832640952271</v>
      </c>
      <c r="K25" s="179">
        <f>K8*K$18</f>
        <v>0.2383554224163813</v>
      </c>
      <c r="L25" s="182">
        <f t="shared" si="10"/>
        <v>0.19989318814519641</v>
      </c>
      <c r="M25" s="145">
        <f t="shared" si="11"/>
        <v>0</v>
      </c>
    </row>
    <row r="26" spans="2:13" x14ac:dyDescent="0.25">
      <c r="B26" s="177" t="str">
        <f t="shared" si="7"/>
        <v>EUE</v>
      </c>
      <c r="C26" s="178">
        <f t="shared" si="8"/>
        <v>1</v>
      </c>
      <c r="D26" s="179">
        <f t="shared" si="8"/>
        <v>0.87602791846624217</v>
      </c>
      <c r="E26" s="180">
        <f t="shared" si="9"/>
        <v>0.78854739341657176</v>
      </c>
      <c r="F26" s="180">
        <f t="shared" si="10"/>
        <v>0.6870635021824979</v>
      </c>
      <c r="G26" s="180">
        <f t="shared" si="10"/>
        <v>0.39127357021151732</v>
      </c>
      <c r="H26" s="181">
        <f t="shared" si="10"/>
        <v>0.38017983100597097</v>
      </c>
      <c r="I26" s="179">
        <f t="shared" si="10"/>
        <v>0.29994000312461389</v>
      </c>
      <c r="J26" s="179">
        <f t="shared" si="10"/>
        <v>0.23663539761261154</v>
      </c>
      <c r="K26" s="179">
        <f t="shared" si="10"/>
        <v>0.18669170774134575</v>
      </c>
      <c r="L26" s="182">
        <f t="shared" si="10"/>
        <v>0.14728901124268026</v>
      </c>
      <c r="M26" s="145">
        <f t="shared" si="11"/>
        <v>0</v>
      </c>
    </row>
    <row r="27" spans="2:13" x14ac:dyDescent="0.25">
      <c r="B27" s="177" t="str">
        <f t="shared" si="7"/>
        <v>FRA</v>
      </c>
      <c r="C27" s="178">
        <f t="shared" si="8"/>
        <v>1</v>
      </c>
      <c r="D27" s="179">
        <f t="shared" si="8"/>
        <v>0.91263038525384976</v>
      </c>
      <c r="E27" s="180">
        <f t="shared" si="9"/>
        <v>0.77276125999428791</v>
      </c>
      <c r="F27" s="180">
        <f t="shared" si="10"/>
        <v>0.70449029981506273</v>
      </c>
      <c r="G27" s="180">
        <f t="shared" si="10"/>
        <v>0.42294855195772846</v>
      </c>
      <c r="H27" s="181">
        <f t="shared" si="10"/>
        <v>0.43323645450588427</v>
      </c>
      <c r="I27" s="179">
        <f t="shared" si="10"/>
        <v>0.36032898788701578</v>
      </c>
      <c r="J27" s="179">
        <f t="shared" si="10"/>
        <v>0.29969079970373941</v>
      </c>
      <c r="K27" s="179">
        <f t="shared" si="10"/>
        <v>0.24925714679172281</v>
      </c>
      <c r="L27" s="182">
        <f t="shared" si="10"/>
        <v>0.20731075257621684</v>
      </c>
      <c r="M27" s="145">
        <f t="shared" si="11"/>
        <v>0</v>
      </c>
    </row>
    <row r="28" spans="2:13" x14ac:dyDescent="0.25">
      <c r="B28" s="183" t="str">
        <f t="shared" si="7"/>
        <v>AUT</v>
      </c>
      <c r="C28" s="184">
        <f t="shared" si="8"/>
        <v>1</v>
      </c>
      <c r="D28" s="185">
        <f t="shared" si="8"/>
        <v>0.97381051964551968</v>
      </c>
      <c r="E28" s="186">
        <f t="shared" si="9"/>
        <v>0.88735951380792655</v>
      </c>
      <c r="F28" s="186">
        <f t="shared" si="10"/>
        <v>0.79656194811134906</v>
      </c>
      <c r="G28" s="186">
        <f t="shared" si="10"/>
        <v>0.46962232686188898</v>
      </c>
      <c r="H28" s="187">
        <f t="shared" si="10"/>
        <v>0.47239233444211726</v>
      </c>
      <c r="I28" s="185">
        <f t="shared" si="10"/>
        <v>0.38582796779336709</v>
      </c>
      <c r="J28" s="185">
        <f t="shared" si="10"/>
        <v>0.31512624121507604</v>
      </c>
      <c r="K28" s="185">
        <f t="shared" si="10"/>
        <v>0.25738037724503565</v>
      </c>
      <c r="L28" s="188">
        <f t="shared" si="10"/>
        <v>0.21021625598480187</v>
      </c>
      <c r="M28" s="145">
        <f t="shared" si="11"/>
        <v>0</v>
      </c>
    </row>
    <row r="29" spans="2:13" x14ac:dyDescent="0.25">
      <c r="B29" s="157" t="str">
        <f t="shared" si="7"/>
        <v>TOTAL</v>
      </c>
      <c r="C29" s="158">
        <f t="shared" si="8"/>
        <v>0.99999999999999989</v>
      </c>
      <c r="D29" s="159">
        <f t="shared" si="8"/>
        <v>0.89243942903166995</v>
      </c>
      <c r="E29" s="160">
        <f t="shared" si="9"/>
        <v>0.81999999999999962</v>
      </c>
      <c r="F29" s="160">
        <f t="shared" si="10"/>
        <v>0.73072584235648497</v>
      </c>
      <c r="G29" s="160">
        <f t="shared" si="10"/>
        <v>0.42774198841121314</v>
      </c>
      <c r="H29" s="161">
        <f t="shared" si="10"/>
        <v>0.42774198841121314</v>
      </c>
      <c r="I29" s="159">
        <f t="shared" si="10"/>
        <v>0.34775733524514246</v>
      </c>
      <c r="J29" s="159">
        <f t="shared" si="10"/>
        <v>0.28309817614853872</v>
      </c>
      <c r="K29" s="159">
        <f t="shared" si="10"/>
        <v>0.23076581460322371</v>
      </c>
      <c r="L29" s="159">
        <f t="shared" si="10"/>
        <v>0.18835850618287073</v>
      </c>
      <c r="M29" s="162">
        <f t="shared" si="11"/>
        <v>0</v>
      </c>
    </row>
    <row r="31" spans="2:13" x14ac:dyDescent="0.25">
      <c r="C31" s="35" t="s">
        <v>131</v>
      </c>
    </row>
    <row r="32" spans="2:13" x14ac:dyDescent="0.25">
      <c r="C32" s="35">
        <f t="shared" ref="C32:L32" si="12">C15</f>
        <v>2007</v>
      </c>
      <c r="D32" s="35">
        <f t="shared" si="12"/>
        <v>2010</v>
      </c>
      <c r="E32" s="35">
        <f t="shared" si="12"/>
        <v>2015</v>
      </c>
      <c r="F32" s="35">
        <f t="shared" si="12"/>
        <v>2020</v>
      </c>
      <c r="G32" s="35">
        <f t="shared" si="12"/>
        <v>2025</v>
      </c>
      <c r="H32" s="35">
        <f t="shared" si="12"/>
        <v>2030</v>
      </c>
      <c r="I32" s="35">
        <f t="shared" si="12"/>
        <v>2035</v>
      </c>
      <c r="J32" s="35">
        <f t="shared" si="12"/>
        <v>2040</v>
      </c>
      <c r="K32" s="35">
        <f t="shared" si="12"/>
        <v>2045</v>
      </c>
      <c r="L32" s="35">
        <f t="shared" si="12"/>
        <v>2050</v>
      </c>
    </row>
    <row r="33" spans="2:12" x14ac:dyDescent="0.25">
      <c r="B33" s="35" t="str">
        <f>B16</f>
        <v>EU-CAP-1</v>
      </c>
      <c r="C33" s="131">
        <f>C16/$D16</f>
        <v>1.1205242254760497</v>
      </c>
      <c r="D33" s="131">
        <f t="shared" ref="D33:L33" si="13">D16/$D16</f>
        <v>1</v>
      </c>
      <c r="E33" s="147">
        <f t="shared" si="13"/>
        <v>0.89872053124986306</v>
      </c>
      <c r="F33" s="147">
        <f t="shared" si="13"/>
        <v>0.72790931103541978</v>
      </c>
      <c r="G33" s="147">
        <f t="shared" si="13"/>
        <v>0.5902912914149715</v>
      </c>
      <c r="H33" s="131">
        <f t="shared" si="13"/>
        <v>0.47929526026806002</v>
      </c>
      <c r="I33" s="131">
        <f t="shared" si="13"/>
        <v>0.38967051872917824</v>
      </c>
      <c r="J33" s="131">
        <f t="shared" si="13"/>
        <v>0.31721836456252361</v>
      </c>
      <c r="K33" s="131">
        <f t="shared" si="13"/>
        <v>0.25857868567462694</v>
      </c>
      <c r="L33" s="131">
        <f t="shared" si="13"/>
        <v>0.21106026925238694</v>
      </c>
    </row>
    <row r="34" spans="2:12" x14ac:dyDescent="0.25">
      <c r="B34" s="35" t="str">
        <f>B17</f>
        <v>EU-CAP-2</v>
      </c>
      <c r="C34" s="131">
        <f t="shared" ref="C34:L35" si="14">C17/$D17</f>
        <v>1.1205242254760497</v>
      </c>
      <c r="D34" s="131">
        <f t="shared" si="14"/>
        <v>1</v>
      </c>
      <c r="E34" s="147">
        <f t="shared" si="14"/>
        <v>0.91882986489036067</v>
      </c>
      <c r="F34" s="147">
        <f t="shared" si="14"/>
        <v>0.81879600854183443</v>
      </c>
      <c r="G34" s="147">
        <f t="shared" si="14"/>
        <v>0.47929526026806002</v>
      </c>
      <c r="H34" s="131">
        <f t="shared" si="14"/>
        <v>0.47929526026806002</v>
      </c>
      <c r="I34" s="131">
        <f t="shared" si="14"/>
        <v>0.38967051872917824</v>
      </c>
      <c r="J34" s="131">
        <f t="shared" si="14"/>
        <v>0.31721836456252361</v>
      </c>
      <c r="K34" s="131">
        <f t="shared" si="14"/>
        <v>0.25857868567462694</v>
      </c>
      <c r="L34" s="131">
        <f t="shared" si="14"/>
        <v>0.21106026925238694</v>
      </c>
    </row>
    <row r="35" spans="2:12" x14ac:dyDescent="0.25">
      <c r="B35" s="35" t="str">
        <f>B18</f>
        <v>Differenz</v>
      </c>
      <c r="C35" s="131">
        <f t="shared" si="14"/>
        <v>1</v>
      </c>
      <c r="D35" s="131">
        <f t="shared" si="14"/>
        <v>1</v>
      </c>
      <c r="E35" s="131">
        <f t="shared" si="14"/>
        <v>1.0223755137901782</v>
      </c>
      <c r="F35" s="131">
        <f t="shared" si="14"/>
        <v>1.124859918850512</v>
      </c>
      <c r="G35" s="131">
        <f t="shared" si="14"/>
        <v>0.8119639697193467</v>
      </c>
      <c r="H35" s="131">
        <f t="shared" si="14"/>
        <v>1</v>
      </c>
      <c r="I35" s="131">
        <f t="shared" si="14"/>
        <v>1</v>
      </c>
      <c r="J35" s="131">
        <f t="shared" si="14"/>
        <v>1</v>
      </c>
      <c r="K35" s="131">
        <f t="shared" si="14"/>
        <v>1</v>
      </c>
      <c r="L35" s="131">
        <f t="shared" si="14"/>
        <v>1</v>
      </c>
    </row>
    <row r="36" spans="2:12" x14ac:dyDescent="0.25">
      <c r="D36" s="148">
        <f>D12/C12-1</f>
        <v>-0.10756057096832994</v>
      </c>
      <c r="E36" s="148">
        <f t="shared" ref="E36:L36" si="15">E12/D12-1</f>
        <v>-0.10127946875013694</v>
      </c>
      <c r="F36" s="148">
        <f t="shared" si="15"/>
        <v>-0.19006044067658467</v>
      </c>
      <c r="G36" s="148">
        <f t="shared" si="15"/>
        <v>-0.18905929287357581</v>
      </c>
      <c r="H36" s="148">
        <f t="shared" si="15"/>
        <v>-0.1880360302806533</v>
      </c>
      <c r="I36" s="148">
        <f t="shared" si="15"/>
        <v>-0.1869927557571851</v>
      </c>
      <c r="J36" s="148">
        <f t="shared" si="15"/>
        <v>-0.18593183390660606</v>
      </c>
      <c r="K36" s="148">
        <f t="shared" si="15"/>
        <v>-0.18485587670425951</v>
      </c>
      <c r="L36" s="148">
        <f t="shared" si="15"/>
        <v>-0.1837677235394144</v>
      </c>
    </row>
  </sheetData>
  <conditionalFormatting sqref="M23:M29">
    <cfRule type="cellIs" dxfId="8" priority="1" operator="equal">
      <formula>0</formula>
    </cfRule>
    <cfRule type="cellIs" dxfId="7" priority="2" operator="equal">
      <formula>0</formula>
    </cfRule>
  </conditionalFormatting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B3:M39"/>
  <sheetViews>
    <sheetView topLeftCell="A13" workbookViewId="0">
      <selection activeCell="F44" sqref="F44"/>
    </sheetView>
  </sheetViews>
  <sheetFormatPr defaultColWidth="11.42578125" defaultRowHeight="15" x14ac:dyDescent="0.25"/>
  <cols>
    <col min="2" max="2" width="11.42578125" style="35"/>
    <col min="13" max="13" width="14.140625" bestFit="1" customWidth="1"/>
  </cols>
  <sheetData>
    <row r="3" spans="2:13" x14ac:dyDescent="0.25">
      <c r="B3" s="35" t="s">
        <v>125</v>
      </c>
    </row>
    <row r="4" spans="2:13" x14ac:dyDescent="0.25">
      <c r="B4" s="140"/>
      <c r="C4" s="140"/>
      <c r="D4" s="140" t="str">
        <f>co2pfad_ets!C39</f>
        <v>(B) Konstanter Differenzbetrag (% von 2013, steigende Belastung)</v>
      </c>
      <c r="E4" s="140"/>
      <c r="F4" s="140"/>
      <c r="G4" s="140"/>
      <c r="H4" s="140"/>
      <c r="I4" s="140"/>
      <c r="J4" s="140"/>
      <c r="K4" s="140"/>
      <c r="L4" s="140"/>
    </row>
    <row r="5" spans="2:13" x14ac:dyDescent="0.25">
      <c r="B5" s="140"/>
      <c r="C5" s="140">
        <f>co2pfad_ets!B40</f>
        <v>2007</v>
      </c>
      <c r="D5" s="140">
        <f>co2pfad_ets!C40</f>
        <v>2010</v>
      </c>
      <c r="E5" s="140">
        <f>co2pfad_ets!D40</f>
        <v>2015</v>
      </c>
      <c r="F5" s="140">
        <f>co2pfad_ets!E40</f>
        <v>2020</v>
      </c>
      <c r="G5" s="140">
        <f>co2pfad_ets!F40</f>
        <v>2025</v>
      </c>
      <c r="H5" s="140">
        <f>co2pfad_ets!G40</f>
        <v>2030</v>
      </c>
      <c r="I5" s="140">
        <f>co2pfad_ets!H40</f>
        <v>2035</v>
      </c>
      <c r="J5" s="140">
        <f>co2pfad_ets!I40</f>
        <v>2040</v>
      </c>
      <c r="K5" s="140">
        <f>co2pfad_ets!J40</f>
        <v>2045</v>
      </c>
      <c r="L5" s="140">
        <f>co2pfad_ets!K40</f>
        <v>2050</v>
      </c>
      <c r="M5" s="40" t="s">
        <v>127</v>
      </c>
    </row>
    <row r="6" spans="2:13" x14ac:dyDescent="0.25">
      <c r="B6" s="140" t="str">
        <f>co2pfad_ets!A41</f>
        <v>EUN</v>
      </c>
      <c r="C6" s="110">
        <f>co2pfad_ets!B41</f>
        <v>100</v>
      </c>
      <c r="D6" s="141">
        <f>co2pfad_ets!C41</f>
        <v>95.635447922924882</v>
      </c>
      <c r="E6" s="141">
        <f>co2pfad_ets!D41</f>
        <v>85.973843512175009</v>
      </c>
      <c r="F6" s="141">
        <f>co2pfad_ets!E41</f>
        <v>76.419617426581326</v>
      </c>
      <c r="G6" s="141">
        <f>co2pfad_ets!F41</f>
        <v>66.865391340987657</v>
      </c>
      <c r="H6" s="141">
        <f>co2pfad_ets!G41</f>
        <v>57.311165255393995</v>
      </c>
      <c r="I6" s="141">
        <f>co2pfad_ets!H41</f>
        <v>47.756939169800319</v>
      </c>
      <c r="J6" s="141">
        <f>co2pfad_ets!I41</f>
        <v>38.202713084206607</v>
      </c>
      <c r="K6" s="141">
        <f>co2pfad_ets!J41</f>
        <v>28.64848699861291</v>
      </c>
      <c r="L6" s="141">
        <f>co2pfad_ets!K41</f>
        <v>19.09426091301922</v>
      </c>
      <c r="M6" s="97">
        <f>SUM(C6:L6)</f>
        <v>615.90786562370192</v>
      </c>
    </row>
    <row r="7" spans="2:13" x14ac:dyDescent="0.25">
      <c r="B7" s="140" t="str">
        <f>co2pfad_ets!A42</f>
        <v>DEU</v>
      </c>
      <c r="C7" s="110">
        <f>co2pfad_ets!B42</f>
        <v>100</v>
      </c>
      <c r="D7" s="141">
        <f>co2pfad_ets!C42</f>
        <v>93.372896045778504</v>
      </c>
      <c r="E7" s="141">
        <f>co2pfad_ets!D42</f>
        <v>94.44260747604325</v>
      </c>
      <c r="F7" s="141">
        <f>co2pfad_ets!E42</f>
        <v>83.737000534594358</v>
      </c>
      <c r="G7" s="141">
        <f>co2pfad_ets!F42</f>
        <v>73.031393593145467</v>
      </c>
      <c r="H7" s="141">
        <f>co2pfad_ets!G42</f>
        <v>62.325786651696561</v>
      </c>
      <c r="I7" s="141">
        <f>co2pfad_ets!H42</f>
        <v>51.620179710247683</v>
      </c>
      <c r="J7" s="141">
        <f>co2pfad_ets!I42</f>
        <v>40.914572768798813</v>
      </c>
      <c r="K7" s="141">
        <f>co2pfad_ets!J42</f>
        <v>30.208965827349942</v>
      </c>
      <c r="L7" s="141">
        <f>co2pfad_ets!K42</f>
        <v>19.503358885901068</v>
      </c>
      <c r="M7" s="97">
        <f t="shared" ref="M7:M12" si="0">SUM(C7:L7)</f>
        <v>649.15676149355579</v>
      </c>
    </row>
    <row r="8" spans="2:13" x14ac:dyDescent="0.25">
      <c r="B8" s="140" t="str">
        <f>co2pfad_ets!A43</f>
        <v>EUS</v>
      </c>
      <c r="C8" s="110">
        <f>co2pfad_ets!B43</f>
        <v>100</v>
      </c>
      <c r="D8" s="141">
        <f>co2pfad_ets!C43</f>
        <v>77.272393253344333</v>
      </c>
      <c r="E8" s="141">
        <f>co2pfad_ets!D43</f>
        <v>70.618860273461692</v>
      </c>
      <c r="F8" s="141">
        <f>co2pfad_ets!E43</f>
        <v>63.386068636469957</v>
      </c>
      <c r="G8" s="141">
        <f>co2pfad_ets!F43</f>
        <v>56.15327699947823</v>
      </c>
      <c r="H8" s="141">
        <f>co2pfad_ets!G43</f>
        <v>48.920485362486481</v>
      </c>
      <c r="I8" s="141">
        <f>co2pfad_ets!H43</f>
        <v>41.687693725494753</v>
      </c>
      <c r="J8" s="141">
        <f>co2pfad_ets!I43</f>
        <v>34.454902088503012</v>
      </c>
      <c r="K8" s="141">
        <f>co2pfad_ets!J43</f>
        <v>27.222110451511274</v>
      </c>
      <c r="L8" s="141">
        <f>co2pfad_ets!K43</f>
        <v>19.98931881451955</v>
      </c>
      <c r="M8" s="97">
        <f t="shared" si="0"/>
        <v>539.70510960526917</v>
      </c>
    </row>
    <row r="9" spans="2:13" x14ac:dyDescent="0.25">
      <c r="B9" s="140" t="str">
        <f>co2pfad_ets!A44</f>
        <v>EUE</v>
      </c>
      <c r="C9" s="110">
        <f>co2pfad_ets!B44</f>
        <v>100</v>
      </c>
      <c r="D9" s="141">
        <f>co2pfad_ets!C44</f>
        <v>87.602791846624214</v>
      </c>
      <c r="E9" s="141">
        <f>co2pfad_ets!D44</f>
        <v>81.315701640417899</v>
      </c>
      <c r="F9" s="141">
        <f>co2pfad_ets!E44</f>
        <v>71.803301566682194</v>
      </c>
      <c r="G9" s="141">
        <f>co2pfad_ets!F44</f>
        <v>62.290901492946503</v>
      </c>
      <c r="H9" s="141">
        <f>co2pfad_ets!G44</f>
        <v>52.778501419210798</v>
      </c>
      <c r="I9" s="141">
        <f>co2pfad_ets!H44</f>
        <v>43.2661013454751</v>
      </c>
      <c r="J9" s="141">
        <f>co2pfad_ets!I44</f>
        <v>33.753701271739409</v>
      </c>
      <c r="K9" s="141">
        <f>co2pfad_ets!J44</f>
        <v>24.241301198003708</v>
      </c>
      <c r="L9" s="141">
        <f>co2pfad_ets!K44</f>
        <v>14.728901124268013</v>
      </c>
      <c r="M9" s="97">
        <f t="shared" si="0"/>
        <v>571.78120290536776</v>
      </c>
    </row>
    <row r="10" spans="2:13" x14ac:dyDescent="0.25">
      <c r="B10" s="140" t="str">
        <f>co2pfad_ets!A45</f>
        <v>FRA</v>
      </c>
      <c r="C10" s="110">
        <f>co2pfad_ets!B45</f>
        <v>100</v>
      </c>
      <c r="D10" s="141">
        <f>co2pfad_ets!C45</f>
        <v>91.263038525384971</v>
      </c>
      <c r="E10" s="141">
        <f>co2pfad_ets!D45</f>
        <v>77.800051179512579</v>
      </c>
      <c r="F10" s="141">
        <f>co2pfad_ets!E45</f>
        <v>69.647340333528149</v>
      </c>
      <c r="G10" s="141">
        <f>co2pfad_ets!F45</f>
        <v>61.494629487543726</v>
      </c>
      <c r="H10" s="141">
        <f>co2pfad_ets!G45</f>
        <v>53.341918641559303</v>
      </c>
      <c r="I10" s="141">
        <f>co2pfad_ets!H45</f>
        <v>45.189207795574873</v>
      </c>
      <c r="J10" s="141">
        <f>co2pfad_ets!I45</f>
        <v>37.03649694959045</v>
      </c>
      <c r="K10" s="141">
        <f>co2pfad_ets!J45</f>
        <v>28.883786103606017</v>
      </c>
      <c r="L10" s="141">
        <f>co2pfad_ets!K45</f>
        <v>20.731075257621605</v>
      </c>
      <c r="M10" s="97">
        <f t="shared" si="0"/>
        <v>585.38754427392155</v>
      </c>
    </row>
    <row r="11" spans="2:13" x14ac:dyDescent="0.25">
      <c r="B11" s="140" t="str">
        <f>co2pfad_ets!A46</f>
        <v>AUT</v>
      </c>
      <c r="C11" s="110">
        <f>co2pfad_ets!B46</f>
        <v>100</v>
      </c>
      <c r="D11" s="141">
        <f>co2pfad_ets!C46</f>
        <v>97.381051964551972</v>
      </c>
      <c r="E11" s="141">
        <f>co2pfad_ets!D46</f>
        <v>90.068747559045605</v>
      </c>
      <c r="F11" s="141">
        <f>co2pfad_ets!E46</f>
        <v>80.204872993250547</v>
      </c>
      <c r="G11" s="141">
        <f>co2pfad_ets!F46</f>
        <v>70.340998427455489</v>
      </c>
      <c r="H11" s="141">
        <f>co2pfad_ets!G46</f>
        <v>60.477123861660452</v>
      </c>
      <c r="I11" s="141">
        <f>co2pfad_ets!H46</f>
        <v>50.613249295865401</v>
      </c>
      <c r="J11" s="141">
        <f>co2pfad_ets!I46</f>
        <v>40.749374730070357</v>
      </c>
      <c r="K11" s="141">
        <f>co2pfad_ets!J46</f>
        <v>30.88550016427531</v>
      </c>
      <c r="L11" s="141">
        <f>co2pfad_ets!K46</f>
        <v>21.021625598480256</v>
      </c>
      <c r="M11" s="97">
        <f t="shared" si="0"/>
        <v>641.74254459465533</v>
      </c>
    </row>
    <row r="12" spans="2:13" x14ac:dyDescent="0.25">
      <c r="B12" s="140" t="str">
        <f>co2pfad_ets!A47</f>
        <v>TOTAL</v>
      </c>
      <c r="C12" s="110">
        <f>co2pfad_ets!B47</f>
        <v>99.999999999999986</v>
      </c>
      <c r="D12" s="141">
        <f>co2pfad_ets!C47</f>
        <v>89.243942903166996</v>
      </c>
      <c r="E12" s="141">
        <f>co2pfad_ets!D47</f>
        <v>83.566831076759669</v>
      </c>
      <c r="F12" s="141">
        <f>co2pfad_ets!E47</f>
        <v>74.259231969204578</v>
      </c>
      <c r="G12" s="141">
        <f>co2pfad_ets!F47</f>
        <v>64.957443719605507</v>
      </c>
      <c r="H12" s="141">
        <f>co2pfad_ets!G47</f>
        <v>55.664356082429265</v>
      </c>
      <c r="I12" s="141">
        <f>co2pfad_ets!H47</f>
        <v>46.38515566549632</v>
      </c>
      <c r="J12" s="141">
        <f>co2pfad_ets!I47</f>
        <v>37.130173825480874</v>
      </c>
      <c r="K12" s="141">
        <f>co2pfad_ets!J47</f>
        <v>27.923369227690102</v>
      </c>
      <c r="L12" s="141">
        <f>co2pfad_ets!K47</f>
        <v>18.835850618287036</v>
      </c>
      <c r="M12" s="97">
        <f t="shared" si="0"/>
        <v>597.96635508812039</v>
      </c>
    </row>
    <row r="14" spans="2:13" x14ac:dyDescent="0.25">
      <c r="D14" s="130" t="s">
        <v>130</v>
      </c>
      <c r="F14" s="150" t="s">
        <v>133</v>
      </c>
      <c r="G14" s="150"/>
    </row>
    <row r="15" spans="2:13" x14ac:dyDescent="0.25">
      <c r="C15" s="135">
        <f>C5</f>
        <v>2007</v>
      </c>
      <c r="D15" s="135">
        <f t="shared" ref="D15:L15" si="1">D5</f>
        <v>2010</v>
      </c>
      <c r="E15" s="136">
        <f t="shared" si="1"/>
        <v>2015</v>
      </c>
      <c r="F15" s="136">
        <f t="shared" si="1"/>
        <v>2020</v>
      </c>
      <c r="G15" s="136">
        <f t="shared" si="1"/>
        <v>2025</v>
      </c>
      <c r="H15" s="135">
        <f t="shared" si="1"/>
        <v>2030</v>
      </c>
      <c r="I15" s="135">
        <f t="shared" si="1"/>
        <v>2035</v>
      </c>
      <c r="J15" s="135">
        <f t="shared" si="1"/>
        <v>2040</v>
      </c>
      <c r="K15" s="135">
        <f t="shared" si="1"/>
        <v>2045</v>
      </c>
      <c r="L15" s="135">
        <f t="shared" si="1"/>
        <v>2050</v>
      </c>
    </row>
    <row r="16" spans="2:13" x14ac:dyDescent="0.25">
      <c r="B16" s="35" t="s">
        <v>123</v>
      </c>
      <c r="C16">
        <f t="shared" ref="C16:L16" si="2">C12</f>
        <v>99.999999999999986</v>
      </c>
      <c r="D16" s="45">
        <f t="shared" si="2"/>
        <v>89.243942903166996</v>
      </c>
      <c r="E16" s="151">
        <f t="shared" si="2"/>
        <v>83.566831076759669</v>
      </c>
      <c r="F16" s="151">
        <f t="shared" si="2"/>
        <v>74.259231969204578</v>
      </c>
      <c r="G16" s="151">
        <f t="shared" si="2"/>
        <v>64.957443719605507</v>
      </c>
      <c r="H16" s="152">
        <f t="shared" si="2"/>
        <v>55.664356082429265</v>
      </c>
      <c r="I16" s="45">
        <f t="shared" si="2"/>
        <v>46.38515566549632</v>
      </c>
      <c r="J16" s="45">
        <f t="shared" si="2"/>
        <v>37.130173825480874</v>
      </c>
      <c r="K16" s="45">
        <f t="shared" si="2"/>
        <v>27.923369227690102</v>
      </c>
      <c r="L16" s="45">
        <f t="shared" si="2"/>
        <v>18.835850618287036</v>
      </c>
      <c r="M16" s="45">
        <f>SUM(C16:L16)</f>
        <v>597.96635508812039</v>
      </c>
    </row>
    <row r="17" spans="2:13" x14ac:dyDescent="0.25">
      <c r="B17" s="35" t="s">
        <v>124</v>
      </c>
      <c r="C17">
        <f>C16</f>
        <v>99.999999999999986</v>
      </c>
      <c r="D17" s="45">
        <f t="shared" ref="D17:L17" si="3">D16</f>
        <v>89.243942903166996</v>
      </c>
      <c r="E17" s="153">
        <v>86</v>
      </c>
      <c r="F17" s="151">
        <f>M16-SUM(G17:L17)-SUM(C17:E17)</f>
        <v>81.11915068314056</v>
      </c>
      <c r="G17" s="153">
        <f>H17</f>
        <v>55.664356082429265</v>
      </c>
      <c r="H17" s="152">
        <f t="shared" si="3"/>
        <v>55.664356082429265</v>
      </c>
      <c r="I17" s="45">
        <f t="shared" si="3"/>
        <v>46.38515566549632</v>
      </c>
      <c r="J17" s="45">
        <f t="shared" si="3"/>
        <v>37.130173825480874</v>
      </c>
      <c r="K17" s="45">
        <f t="shared" si="3"/>
        <v>27.923369227690102</v>
      </c>
      <c r="L17" s="45">
        <f t="shared" si="3"/>
        <v>18.835850618287036</v>
      </c>
      <c r="M17" s="45">
        <f>SUM(C17:L17)</f>
        <v>597.96635508812039</v>
      </c>
    </row>
    <row r="18" spans="2:13" x14ac:dyDescent="0.25">
      <c r="B18" s="35" t="s">
        <v>122</v>
      </c>
      <c r="C18">
        <f>C17/C16</f>
        <v>1</v>
      </c>
      <c r="D18">
        <f t="shared" ref="D18:L18" si="4">D17/D16</f>
        <v>1</v>
      </c>
      <c r="E18" s="134">
        <f>E17/E16</f>
        <v>1.029116443592379</v>
      </c>
      <c r="F18" s="134">
        <f t="shared" si="4"/>
        <v>1.0923779916924108</v>
      </c>
      <c r="G18" s="134">
        <f t="shared" si="4"/>
        <v>0.85693575508773612</v>
      </c>
      <c r="H18" s="133">
        <f t="shared" si="4"/>
        <v>1</v>
      </c>
      <c r="I18">
        <f t="shared" si="4"/>
        <v>1</v>
      </c>
      <c r="J18">
        <f t="shared" si="4"/>
        <v>1</v>
      </c>
      <c r="K18">
        <f t="shared" si="4"/>
        <v>1</v>
      </c>
      <c r="L18">
        <f t="shared" si="4"/>
        <v>1</v>
      </c>
    </row>
    <row r="20" spans="2:13" x14ac:dyDescent="0.25">
      <c r="B20" s="35" t="s">
        <v>126</v>
      </c>
    </row>
    <row r="21" spans="2:13" x14ac:dyDescent="0.25">
      <c r="B21" s="137"/>
      <c r="C21" s="138"/>
      <c r="D21" s="137" t="s">
        <v>132</v>
      </c>
      <c r="E21" s="138"/>
      <c r="F21" s="138"/>
      <c r="G21" s="138"/>
      <c r="H21" s="138"/>
      <c r="I21" s="138"/>
      <c r="J21" s="138"/>
      <c r="K21" s="138"/>
      <c r="L21" s="138"/>
    </row>
    <row r="22" spans="2:13" x14ac:dyDescent="0.25">
      <c r="B22" s="137"/>
      <c r="C22" s="142">
        <f t="shared" ref="C22:L22" si="5">C5</f>
        <v>2007</v>
      </c>
      <c r="D22" s="142">
        <f t="shared" si="5"/>
        <v>2010</v>
      </c>
      <c r="E22" s="142">
        <f t="shared" si="5"/>
        <v>2015</v>
      </c>
      <c r="F22" s="142">
        <f t="shared" si="5"/>
        <v>2020</v>
      </c>
      <c r="G22" s="142">
        <f t="shared" si="5"/>
        <v>2025</v>
      </c>
      <c r="H22" s="142">
        <f t="shared" si="5"/>
        <v>2030</v>
      </c>
      <c r="I22" s="142">
        <f t="shared" si="5"/>
        <v>2035</v>
      </c>
      <c r="J22" s="142">
        <f t="shared" si="5"/>
        <v>2040</v>
      </c>
      <c r="K22" s="142">
        <f t="shared" si="5"/>
        <v>2045</v>
      </c>
      <c r="L22" s="142">
        <f t="shared" si="5"/>
        <v>2050</v>
      </c>
      <c r="M22" s="146" t="s">
        <v>128</v>
      </c>
    </row>
    <row r="23" spans="2:13" x14ac:dyDescent="0.25">
      <c r="B23" s="137" t="str">
        <f t="shared" ref="B23:B29" si="6">B6</f>
        <v>EUN</v>
      </c>
      <c r="C23" s="138">
        <f t="shared" ref="C23:D29" si="7">C6*C$18</f>
        <v>100</v>
      </c>
      <c r="D23" s="139">
        <f t="shared" si="7"/>
        <v>95.635447922924882</v>
      </c>
      <c r="E23" s="143">
        <f t="shared" ref="E23:E29" si="8">M6-SUM(F23:L23)-C23-D23</f>
        <v>88.480399451366438</v>
      </c>
      <c r="F23" s="143">
        <f t="shared" ref="F23:L29" si="9">F6*F$18</f>
        <v>83.479108210351271</v>
      </c>
      <c r="G23" s="143">
        <f t="shared" si="9"/>
        <v>57.299344618026232</v>
      </c>
      <c r="H23" s="144">
        <f t="shared" si="9"/>
        <v>57.311165255393995</v>
      </c>
      <c r="I23" s="139">
        <f t="shared" si="9"/>
        <v>47.756939169800319</v>
      </c>
      <c r="J23" s="139">
        <f t="shared" si="9"/>
        <v>38.202713084206607</v>
      </c>
      <c r="K23" s="139">
        <f t="shared" si="9"/>
        <v>28.64848699861291</v>
      </c>
      <c r="L23" s="139">
        <f t="shared" si="9"/>
        <v>19.09426091301922</v>
      </c>
      <c r="M23" s="145">
        <f t="shared" ref="M23:M29" si="10">SUM(C23:L23)-M6</f>
        <v>0</v>
      </c>
    </row>
    <row r="24" spans="2:13" x14ac:dyDescent="0.25">
      <c r="B24" s="137" t="str">
        <f t="shared" si="6"/>
        <v>DEU</v>
      </c>
      <c r="C24" s="138">
        <f t="shared" si="7"/>
        <v>100</v>
      </c>
      <c r="D24" s="139">
        <f t="shared" si="7"/>
        <v>93.372896045778504</v>
      </c>
      <c r="E24" s="143">
        <f t="shared" si="8"/>
        <v>97.155332715604999</v>
      </c>
      <c r="F24" s="143">
        <f t="shared" si="9"/>
        <v>91.47245647432652</v>
      </c>
      <c r="G24" s="143">
        <f t="shared" si="9"/>
        <v>62.583212413851761</v>
      </c>
      <c r="H24" s="144">
        <f t="shared" si="9"/>
        <v>62.325786651696561</v>
      </c>
      <c r="I24" s="139">
        <f t="shared" si="9"/>
        <v>51.620179710247683</v>
      </c>
      <c r="J24" s="139">
        <f t="shared" si="9"/>
        <v>40.914572768798813</v>
      </c>
      <c r="K24" s="139">
        <f t="shared" si="9"/>
        <v>30.208965827349942</v>
      </c>
      <c r="L24" s="139">
        <f t="shared" si="9"/>
        <v>19.503358885901068</v>
      </c>
      <c r="M24" s="145">
        <f t="shared" si="10"/>
        <v>0</v>
      </c>
    </row>
    <row r="25" spans="2:13" x14ac:dyDescent="0.25">
      <c r="B25" s="137" t="str">
        <f t="shared" si="6"/>
        <v>EUS</v>
      </c>
      <c r="C25" s="138">
        <f t="shared" si="7"/>
        <v>100</v>
      </c>
      <c r="D25" s="139">
        <f t="shared" si="7"/>
        <v>77.272393253344333</v>
      </c>
      <c r="E25" s="143">
        <f t="shared" si="8"/>
        <v>72.796908724826707</v>
      </c>
      <c r="F25" s="143">
        <f t="shared" si="9"/>
        <v>69.241546358384355</v>
      </c>
      <c r="G25" s="143">
        <f t="shared" si="9"/>
        <v>48.119750826198683</v>
      </c>
      <c r="H25" s="144">
        <f t="shared" si="9"/>
        <v>48.920485362486481</v>
      </c>
      <c r="I25" s="139">
        <f t="shared" si="9"/>
        <v>41.687693725494753</v>
      </c>
      <c r="J25" s="139">
        <f t="shared" si="9"/>
        <v>34.454902088503012</v>
      </c>
      <c r="K25" s="139">
        <f t="shared" si="9"/>
        <v>27.222110451511274</v>
      </c>
      <c r="L25" s="139">
        <f t="shared" si="9"/>
        <v>19.98931881451955</v>
      </c>
      <c r="M25" s="145">
        <f t="shared" si="10"/>
        <v>0</v>
      </c>
    </row>
    <row r="26" spans="2:13" x14ac:dyDescent="0.25">
      <c r="B26" s="137" t="str">
        <f t="shared" si="6"/>
        <v>EUE</v>
      </c>
      <c r="C26" s="138">
        <f t="shared" si="7"/>
        <v>100</v>
      </c>
      <c r="D26" s="139">
        <f t="shared" si="7"/>
        <v>87.602791846624214</v>
      </c>
      <c r="E26" s="143">
        <f t="shared" si="8"/>
        <v>83.594257631795742</v>
      </c>
      <c r="F26" s="143">
        <f t="shared" si="9"/>
        <v>78.436346362296831</v>
      </c>
      <c r="G26" s="143">
        <f t="shared" si="9"/>
        <v>53.379300705953902</v>
      </c>
      <c r="H26" s="144">
        <f t="shared" si="9"/>
        <v>52.778501419210798</v>
      </c>
      <c r="I26" s="139">
        <f t="shared" si="9"/>
        <v>43.2661013454751</v>
      </c>
      <c r="J26" s="139">
        <f t="shared" si="9"/>
        <v>33.753701271739409</v>
      </c>
      <c r="K26" s="139">
        <f t="shared" si="9"/>
        <v>24.241301198003708</v>
      </c>
      <c r="L26" s="139">
        <f t="shared" si="9"/>
        <v>14.728901124268013</v>
      </c>
      <c r="M26" s="145">
        <f t="shared" si="10"/>
        <v>0</v>
      </c>
    </row>
    <row r="27" spans="2:13" x14ac:dyDescent="0.25">
      <c r="B27" s="137" t="str">
        <f t="shared" si="6"/>
        <v>FRA</v>
      </c>
      <c r="C27" s="138">
        <f t="shared" si="7"/>
        <v>100</v>
      </c>
      <c r="D27" s="139">
        <f t="shared" si="7"/>
        <v>91.263038525384971</v>
      </c>
      <c r="E27" s="143">
        <f t="shared" si="8"/>
        <v>80.163852486578136</v>
      </c>
      <c r="F27" s="143">
        <f t="shared" si="9"/>
        <v>76.081221760257321</v>
      </c>
      <c r="G27" s="143">
        <f t="shared" si="9"/>
        <v>52.696946753748847</v>
      </c>
      <c r="H27" s="144">
        <f t="shared" si="9"/>
        <v>53.341918641559303</v>
      </c>
      <c r="I27" s="139">
        <f t="shared" si="9"/>
        <v>45.189207795574873</v>
      </c>
      <c r="J27" s="139">
        <f t="shared" si="9"/>
        <v>37.03649694959045</v>
      </c>
      <c r="K27" s="139">
        <f t="shared" si="9"/>
        <v>28.883786103606017</v>
      </c>
      <c r="L27" s="139">
        <f t="shared" si="9"/>
        <v>20.731075257621605</v>
      </c>
      <c r="M27" s="145">
        <f t="shared" si="10"/>
        <v>0</v>
      </c>
    </row>
    <row r="28" spans="2:13" x14ac:dyDescent="0.25">
      <c r="B28" s="137" t="str">
        <f t="shared" si="6"/>
        <v>AUT</v>
      </c>
      <c r="C28" s="138">
        <f t="shared" si="7"/>
        <v>100</v>
      </c>
      <c r="D28" s="139">
        <f t="shared" si="7"/>
        <v>97.381051964551972</v>
      </c>
      <c r="E28" s="143">
        <f t="shared" si="8"/>
        <v>92.722864294382788</v>
      </c>
      <c r="F28" s="143">
        <f t="shared" si="9"/>
        <v>87.614038084311915</v>
      </c>
      <c r="G28" s="143">
        <f t="shared" si="9"/>
        <v>60.277716601056831</v>
      </c>
      <c r="H28" s="144">
        <f t="shared" si="9"/>
        <v>60.477123861660452</v>
      </c>
      <c r="I28" s="139">
        <f t="shared" si="9"/>
        <v>50.613249295865401</v>
      </c>
      <c r="J28" s="139">
        <f t="shared" si="9"/>
        <v>40.749374730070357</v>
      </c>
      <c r="K28" s="139">
        <f t="shared" si="9"/>
        <v>30.88550016427531</v>
      </c>
      <c r="L28" s="139">
        <f t="shared" si="9"/>
        <v>21.021625598480256</v>
      </c>
      <c r="M28" s="145">
        <f t="shared" si="10"/>
        <v>0</v>
      </c>
    </row>
    <row r="29" spans="2:13" x14ac:dyDescent="0.25">
      <c r="B29" s="137" t="str">
        <f t="shared" si="6"/>
        <v>TOTAL</v>
      </c>
      <c r="C29" s="138">
        <f t="shared" si="7"/>
        <v>99.999999999999986</v>
      </c>
      <c r="D29" s="139">
        <f t="shared" si="7"/>
        <v>89.243942903166996</v>
      </c>
      <c r="E29" s="143">
        <f t="shared" si="8"/>
        <v>85.999999999999957</v>
      </c>
      <c r="F29" s="143">
        <f t="shared" si="9"/>
        <v>81.11915068314056</v>
      </c>
      <c r="G29" s="143">
        <f t="shared" si="9"/>
        <v>55.664356082429265</v>
      </c>
      <c r="H29" s="144">
        <f t="shared" si="9"/>
        <v>55.664356082429265</v>
      </c>
      <c r="I29" s="139">
        <f t="shared" si="9"/>
        <v>46.38515566549632</v>
      </c>
      <c r="J29" s="139">
        <f t="shared" si="9"/>
        <v>37.130173825480874</v>
      </c>
      <c r="K29" s="139">
        <f t="shared" si="9"/>
        <v>27.923369227690102</v>
      </c>
      <c r="L29" s="139">
        <f t="shared" si="9"/>
        <v>18.835850618287036</v>
      </c>
      <c r="M29" s="145">
        <f t="shared" si="10"/>
        <v>0</v>
      </c>
    </row>
    <row r="31" spans="2:13" x14ac:dyDescent="0.25">
      <c r="C31" s="35" t="s">
        <v>131</v>
      </c>
    </row>
    <row r="32" spans="2:13" x14ac:dyDescent="0.25">
      <c r="C32" s="35">
        <f t="shared" ref="C32:L32" si="11">C15</f>
        <v>2007</v>
      </c>
      <c r="D32" s="35">
        <f t="shared" si="11"/>
        <v>2010</v>
      </c>
      <c r="E32" s="35">
        <f t="shared" si="11"/>
        <v>2015</v>
      </c>
      <c r="F32" s="35">
        <f t="shared" si="11"/>
        <v>2020</v>
      </c>
      <c r="G32" s="35">
        <f t="shared" si="11"/>
        <v>2025</v>
      </c>
      <c r="H32" s="35">
        <f t="shared" si="11"/>
        <v>2030</v>
      </c>
      <c r="I32" s="35">
        <f t="shared" si="11"/>
        <v>2035</v>
      </c>
      <c r="J32" s="35">
        <f t="shared" si="11"/>
        <v>2040</v>
      </c>
      <c r="K32" s="35">
        <f t="shared" si="11"/>
        <v>2045</v>
      </c>
      <c r="L32" s="35">
        <f t="shared" si="11"/>
        <v>2050</v>
      </c>
    </row>
    <row r="33" spans="2:12" x14ac:dyDescent="0.25">
      <c r="B33" s="35" t="str">
        <f>B16</f>
        <v>EU-CAP-1</v>
      </c>
      <c r="C33" s="131">
        <f>C16/$D16</f>
        <v>1.1205242254760495</v>
      </c>
      <c r="D33" s="131">
        <f t="shared" ref="D33:L33" si="12">D16/$D16</f>
        <v>1</v>
      </c>
      <c r="E33" s="147">
        <f t="shared" si="12"/>
        <v>0.93638658667774011</v>
      </c>
      <c r="F33" s="147">
        <f t="shared" si="12"/>
        <v>0.83209268386739266</v>
      </c>
      <c r="G33" s="147">
        <f t="shared" si="12"/>
        <v>0.72786389312815047</v>
      </c>
      <c r="H33" s="131">
        <f t="shared" si="12"/>
        <v>0.62373259485887089</v>
      </c>
      <c r="I33" s="131">
        <f t="shared" si="12"/>
        <v>0.5197569062566626</v>
      </c>
      <c r="J33" s="131">
        <f t="shared" si="12"/>
        <v>0.41605259267588052</v>
      </c>
      <c r="K33" s="131">
        <f t="shared" si="12"/>
        <v>0.31288811676539213</v>
      </c>
      <c r="L33" s="131">
        <f t="shared" si="12"/>
        <v>0.21106026925238652</v>
      </c>
    </row>
    <row r="34" spans="2:12" x14ac:dyDescent="0.25">
      <c r="B34" s="35" t="str">
        <f>B17</f>
        <v>EU-CAP-2</v>
      </c>
      <c r="C34" s="131">
        <f t="shared" ref="C34:L35" si="13">C17/$D17</f>
        <v>1.1205242254760495</v>
      </c>
      <c r="D34" s="131">
        <f t="shared" si="13"/>
        <v>1</v>
      </c>
      <c r="E34" s="147">
        <f t="shared" si="13"/>
        <v>0.96365083390940276</v>
      </c>
      <c r="F34" s="147">
        <f t="shared" si="13"/>
        <v>0.90895973490501047</v>
      </c>
      <c r="G34" s="147">
        <f t="shared" si="13"/>
        <v>0.62373259485887089</v>
      </c>
      <c r="H34" s="131">
        <f t="shared" si="13"/>
        <v>0.62373259485887089</v>
      </c>
      <c r="I34" s="131">
        <f t="shared" si="13"/>
        <v>0.5197569062566626</v>
      </c>
      <c r="J34" s="131">
        <f t="shared" si="13"/>
        <v>0.41605259267588052</v>
      </c>
      <c r="K34" s="131">
        <f t="shared" si="13"/>
        <v>0.31288811676539213</v>
      </c>
      <c r="L34" s="131">
        <f t="shared" si="13"/>
        <v>0.21106026925238652</v>
      </c>
    </row>
    <row r="35" spans="2:12" x14ac:dyDescent="0.25">
      <c r="B35" s="35" t="str">
        <f>B18</f>
        <v>Differenz</v>
      </c>
      <c r="C35" s="131">
        <f t="shared" si="13"/>
        <v>1</v>
      </c>
      <c r="D35" s="131">
        <f t="shared" si="13"/>
        <v>1</v>
      </c>
      <c r="E35" s="131">
        <f t="shared" si="13"/>
        <v>1.029116443592379</v>
      </c>
      <c r="F35" s="131">
        <f t="shared" si="13"/>
        <v>1.0923779916924108</v>
      </c>
      <c r="G35" s="131">
        <f t="shared" si="13"/>
        <v>0.85693575508773612</v>
      </c>
      <c r="H35" s="131">
        <f t="shared" si="13"/>
        <v>1</v>
      </c>
      <c r="I35" s="131">
        <f t="shared" si="13"/>
        <v>1</v>
      </c>
      <c r="J35" s="131">
        <f t="shared" si="13"/>
        <v>1</v>
      </c>
      <c r="K35" s="131">
        <f t="shared" si="13"/>
        <v>1</v>
      </c>
      <c r="L35" s="131">
        <f t="shared" si="13"/>
        <v>1</v>
      </c>
    </row>
    <row r="36" spans="2:12" x14ac:dyDescent="0.25">
      <c r="D36" s="148">
        <f>D12/C12-1</f>
        <v>-0.10756057096832994</v>
      </c>
      <c r="E36" s="148">
        <f t="shared" ref="E36:L36" si="14">E12/D12-1</f>
        <v>-6.3613413322259893E-2</v>
      </c>
      <c r="F36" s="148">
        <f t="shared" si="14"/>
        <v>-0.11137910804593831</v>
      </c>
      <c r="G36" s="148">
        <f t="shared" si="14"/>
        <v>-0.12526103493039809</v>
      </c>
      <c r="H36" s="148">
        <f t="shared" si="14"/>
        <v>-0.14306424491226388</v>
      </c>
      <c r="I36" s="148">
        <f t="shared" si="14"/>
        <v>-0.16669914232353744</v>
      </c>
      <c r="J36" s="148">
        <f t="shared" si="14"/>
        <v>-0.19952464764281863</v>
      </c>
      <c r="K36" s="148">
        <f t="shared" si="14"/>
        <v>-0.24796018033916478</v>
      </c>
      <c r="L36" s="148">
        <f t="shared" si="14"/>
        <v>-0.32544491802914177</v>
      </c>
    </row>
    <row r="39" spans="2:12" x14ac:dyDescent="0.25">
      <c r="H39" s="189"/>
    </row>
  </sheetData>
  <conditionalFormatting sqref="M23:M29">
    <cfRule type="cellIs" dxfId="6" priority="1" operator="equal">
      <formula>0</formula>
    </cfRule>
    <cfRule type="cellIs" dxfId="5" priority="2" operator="equal">
      <formula>0</formula>
    </cfRule>
  </conditionalFormatting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2:O61"/>
  <sheetViews>
    <sheetView workbookViewId="0">
      <selection activeCell="H6" sqref="H6"/>
    </sheetView>
  </sheetViews>
  <sheetFormatPr defaultColWidth="11.42578125" defaultRowHeight="15" x14ac:dyDescent="0.25"/>
  <cols>
    <col min="11" max="12" width="14" bestFit="1" customWidth="1"/>
    <col min="13" max="13" width="13" customWidth="1"/>
    <col min="14" max="14" width="12.7109375" bestFit="1" customWidth="1"/>
  </cols>
  <sheetData>
    <row r="2" spans="1:15" x14ac:dyDescent="0.25">
      <c r="M2" s="200"/>
      <c r="N2" s="202">
        <v>2013</v>
      </c>
      <c r="O2" s="129" t="s">
        <v>136</v>
      </c>
    </row>
    <row r="3" spans="1:15" x14ac:dyDescent="0.25">
      <c r="A3" s="35" t="s">
        <v>134</v>
      </c>
      <c r="M3" s="203" t="s">
        <v>138</v>
      </c>
      <c r="N3" s="201">
        <f>2084301856/1000</f>
        <v>2084301.8559999999</v>
      </c>
      <c r="O3" s="190" t="s">
        <v>137</v>
      </c>
    </row>
    <row r="4" spans="1:15" x14ac:dyDescent="0.25">
      <c r="A4" s="195" t="str">
        <f t="array" ref="A4:J10">TRANSPOSE('18x18x4_ETS75'!A22:G31)</f>
        <v/>
      </c>
      <c r="B4" s="193">
        <v>2005</v>
      </c>
      <c r="C4" s="193">
        <v>2006</v>
      </c>
      <c r="D4" s="193">
        <v>2007</v>
      </c>
      <c r="E4" s="193">
        <v>2008</v>
      </c>
      <c r="F4" s="193">
        <v>2009</v>
      </c>
      <c r="G4" s="193">
        <v>2010</v>
      </c>
      <c r="H4" s="193">
        <v>2011</v>
      </c>
      <c r="I4" s="193">
        <v>2012</v>
      </c>
      <c r="J4" s="196">
        <v>2013</v>
      </c>
      <c r="K4" s="38" t="s">
        <v>139</v>
      </c>
      <c r="M4" s="203" t="s">
        <v>144</v>
      </c>
      <c r="N4" s="201">
        <f>J11</f>
        <v>1869367.6220000002</v>
      </c>
    </row>
    <row r="5" spans="1:15" x14ac:dyDescent="0.25">
      <c r="A5" s="113" t="str">
        <v>EUN</v>
      </c>
      <c r="B5" s="191">
        <v>504309.55000000005</v>
      </c>
      <c r="C5" s="191">
        <v>527441.49399999995</v>
      </c>
      <c r="D5" s="191">
        <v>528231.54800000007</v>
      </c>
      <c r="E5" s="191">
        <v>531692.59400000004</v>
      </c>
      <c r="F5" s="191">
        <v>474536.52100000012</v>
      </c>
      <c r="G5" s="191">
        <v>505176.60700000002</v>
      </c>
      <c r="H5" s="191">
        <v>464602.75200000004</v>
      </c>
      <c r="I5" s="191">
        <v>457432.42300000001</v>
      </c>
      <c r="J5" s="197">
        <v>474328.33900000015</v>
      </c>
      <c r="K5" s="191">
        <f>J5*$N$5</f>
        <v>528865.17648859625</v>
      </c>
      <c r="M5" s="203" t="s">
        <v>145</v>
      </c>
      <c r="N5" s="204">
        <f>N3/J11</f>
        <v>1.1149769748178509</v>
      </c>
    </row>
    <row r="6" spans="1:15" x14ac:dyDescent="0.25">
      <c r="A6" s="113" t="str">
        <v>DEU</v>
      </c>
      <c r="B6" s="191">
        <v>475051.53499999997</v>
      </c>
      <c r="C6" s="191">
        <v>478074.86800000002</v>
      </c>
      <c r="D6" s="191">
        <v>487148.43199999997</v>
      </c>
      <c r="E6" s="191">
        <v>472853.53399999999</v>
      </c>
      <c r="F6" s="191">
        <v>428294.50199999998</v>
      </c>
      <c r="G6" s="191">
        <v>454864.59899999999</v>
      </c>
      <c r="H6" s="191">
        <v>450333.239</v>
      </c>
      <c r="I6" s="191">
        <v>452585.88</v>
      </c>
      <c r="J6" s="197">
        <v>480936.56</v>
      </c>
      <c r="K6" s="191">
        <f t="shared" ref="K6:K11" si="0">J6*$N$5</f>
        <v>536233.19074810378</v>
      </c>
    </row>
    <row r="7" spans="1:15" x14ac:dyDescent="0.25">
      <c r="A7" s="113" t="str">
        <v>EUS</v>
      </c>
      <c r="B7" s="191">
        <v>533081.04099999985</v>
      </c>
      <c r="C7" s="191">
        <v>526278.69800000009</v>
      </c>
      <c r="D7" s="191">
        <v>533365.89</v>
      </c>
      <c r="E7" s="191">
        <v>500359.50599999999</v>
      </c>
      <c r="F7" s="191">
        <v>429066.66900000005</v>
      </c>
      <c r="G7" s="191">
        <v>412144.58799999999</v>
      </c>
      <c r="H7" s="191">
        <v>421024.12</v>
      </c>
      <c r="I7" s="191">
        <v>415446.70199999999</v>
      </c>
      <c r="J7" s="197">
        <v>392087.81000000006</v>
      </c>
      <c r="K7" s="191">
        <f t="shared" si="0"/>
        <v>437168.88025675633</v>
      </c>
    </row>
    <row r="8" spans="1:15" x14ac:dyDescent="0.25">
      <c r="A8" s="113" t="str">
        <v>EUE</v>
      </c>
      <c r="B8" s="191">
        <v>336997.62300000002</v>
      </c>
      <c r="C8" s="191">
        <v>344630.40100000001</v>
      </c>
      <c r="D8" s="191">
        <v>457600.49599999998</v>
      </c>
      <c r="E8" s="191">
        <v>439199.712</v>
      </c>
      <c r="F8" s="191">
        <v>390031.79599999997</v>
      </c>
      <c r="G8" s="191">
        <v>400870.81</v>
      </c>
      <c r="H8" s="191">
        <v>413142.54300000001</v>
      </c>
      <c r="I8" s="191">
        <v>391055.97699999996</v>
      </c>
      <c r="J8" s="197">
        <v>389512.57</v>
      </c>
      <c r="K8" s="191">
        <f t="shared" si="0"/>
        <v>434297.54695212637</v>
      </c>
    </row>
    <row r="9" spans="1:15" x14ac:dyDescent="0.25">
      <c r="A9" s="113" t="str">
        <v>FRA</v>
      </c>
      <c r="B9" s="191">
        <v>131263.79399999999</v>
      </c>
      <c r="C9" s="191">
        <v>126979.057</v>
      </c>
      <c r="D9" s="191">
        <v>126634.815</v>
      </c>
      <c r="E9" s="191">
        <v>124129.806</v>
      </c>
      <c r="F9" s="191">
        <v>111092.554</v>
      </c>
      <c r="G9" s="191">
        <v>115570.78</v>
      </c>
      <c r="H9" s="191">
        <v>105582.769</v>
      </c>
      <c r="I9" s="191">
        <v>103660.84</v>
      </c>
      <c r="J9" s="197">
        <v>102651.61900000001</v>
      </c>
      <c r="K9" s="191">
        <f t="shared" si="0"/>
        <v>114454.19161277462</v>
      </c>
    </row>
    <row r="10" spans="1:15" x14ac:dyDescent="0.25">
      <c r="A10" s="195" t="str">
        <v>AUT</v>
      </c>
      <c r="B10" s="194">
        <v>33373.154999999999</v>
      </c>
      <c r="C10" s="194">
        <v>32384.371999999999</v>
      </c>
      <c r="D10" s="194">
        <v>31751.26</v>
      </c>
      <c r="E10" s="194">
        <v>32078.973999999998</v>
      </c>
      <c r="F10" s="194">
        <v>27359.832999999999</v>
      </c>
      <c r="G10" s="194">
        <v>30919.710999999999</v>
      </c>
      <c r="H10" s="194">
        <v>30599.418000000001</v>
      </c>
      <c r="I10" s="194">
        <v>28387.06</v>
      </c>
      <c r="J10" s="198">
        <v>29850.723999999998</v>
      </c>
      <c r="K10" s="194">
        <f t="shared" si="0"/>
        <v>33282.869941642617</v>
      </c>
    </row>
    <row r="11" spans="1:15" x14ac:dyDescent="0.25">
      <c r="A11" s="113" t="s">
        <v>127</v>
      </c>
      <c r="B11" s="191">
        <f>SUM(B5:B10)</f>
        <v>2014076.6979999999</v>
      </c>
      <c r="C11" s="191">
        <f t="shared" ref="C11:J11" si="1">SUM(C5:C10)</f>
        <v>2035788.8900000001</v>
      </c>
      <c r="D11" s="191">
        <f t="shared" si="1"/>
        <v>2164732.4410000001</v>
      </c>
      <c r="E11" s="191">
        <f t="shared" si="1"/>
        <v>2100314.1260000002</v>
      </c>
      <c r="F11" s="191">
        <f t="shared" si="1"/>
        <v>1860381.875</v>
      </c>
      <c r="G11" s="191">
        <f t="shared" si="1"/>
        <v>1919547.095</v>
      </c>
      <c r="H11" s="191">
        <f t="shared" si="1"/>
        <v>1885284.8410000002</v>
      </c>
      <c r="I11" s="191">
        <f t="shared" si="1"/>
        <v>1848568.8820000002</v>
      </c>
      <c r="J11" s="197">
        <f t="shared" si="1"/>
        <v>1869367.6220000002</v>
      </c>
      <c r="K11" s="191">
        <f t="shared" si="0"/>
        <v>2084301.8559999999</v>
      </c>
    </row>
    <row r="12" spans="1:15" x14ac:dyDescent="0.25">
      <c r="B12" s="34"/>
      <c r="C12" s="34"/>
      <c r="D12" s="34"/>
      <c r="E12" s="34"/>
      <c r="F12" s="34"/>
      <c r="G12" s="34"/>
      <c r="H12" s="34"/>
      <c r="I12" s="34"/>
      <c r="J12" s="199"/>
      <c r="K12" s="34"/>
    </row>
    <row r="13" spans="1:15" x14ac:dyDescent="0.25">
      <c r="A13" t="s">
        <v>135</v>
      </c>
    </row>
    <row r="14" spans="1:15" x14ac:dyDescent="0.25">
      <c r="A14" s="195" t="str">
        <f>A4</f>
        <v/>
      </c>
      <c r="B14" s="193">
        <f t="shared" ref="B14:J14" si="2">B4</f>
        <v>2005</v>
      </c>
      <c r="C14" s="193">
        <f t="shared" si="2"/>
        <v>2006</v>
      </c>
      <c r="D14" s="193">
        <f t="shared" si="2"/>
        <v>2007</v>
      </c>
      <c r="E14" s="193">
        <f t="shared" si="2"/>
        <v>2008</v>
      </c>
      <c r="F14" s="193">
        <f t="shared" si="2"/>
        <v>2009</v>
      </c>
      <c r="G14" s="193">
        <f t="shared" si="2"/>
        <v>2010</v>
      </c>
      <c r="H14" s="193">
        <f t="shared" si="2"/>
        <v>2011</v>
      </c>
      <c r="I14" s="193">
        <f t="shared" si="2"/>
        <v>2012</v>
      </c>
      <c r="J14" s="196">
        <f t="shared" si="2"/>
        <v>2013</v>
      </c>
      <c r="K14" t="s">
        <v>158</v>
      </c>
    </row>
    <row r="15" spans="1:15" x14ac:dyDescent="0.25">
      <c r="A15" s="113" t="str">
        <f t="shared" ref="A15" si="3">A5</f>
        <v>EUN</v>
      </c>
      <c r="B15" s="191">
        <f t="shared" ref="B15:J15" si="4">B5*$N$5</f>
        <v>562293.53643075179</v>
      </c>
      <c r="C15" s="191">
        <f t="shared" si="4"/>
        <v>588085.12137352757</v>
      </c>
      <c r="D15" s="191">
        <f t="shared" si="4"/>
        <v>588966.01339239045</v>
      </c>
      <c r="E15" s="191">
        <f t="shared" si="4"/>
        <v>592824.99999117584</v>
      </c>
      <c r="F15" s="191">
        <f t="shared" si="4"/>
        <v>529097.29462516773</v>
      </c>
      <c r="G15" s="191">
        <f t="shared" si="4"/>
        <v>563260.28502160637</v>
      </c>
      <c r="H15" s="191">
        <f t="shared" si="4"/>
        <v>518021.37091700826</v>
      </c>
      <c r="I15" s="191">
        <f t="shared" si="4"/>
        <v>510026.6191801395</v>
      </c>
      <c r="J15" s="197">
        <f t="shared" si="4"/>
        <v>528865.17648859625</v>
      </c>
      <c r="K15" s="207">
        <f>J15/$J$21</f>
        <v>0.253737324546429</v>
      </c>
    </row>
    <row r="16" spans="1:15" x14ac:dyDescent="0.25">
      <c r="A16" s="113" t="str">
        <f t="shared" ref="A16" si="5">A6</f>
        <v>DEU</v>
      </c>
      <c r="B16" s="191">
        <f t="shared" ref="B16:J16" si="6">B6*$N$5</f>
        <v>529671.52337687637</v>
      </c>
      <c r="C16" s="191">
        <f t="shared" si="6"/>
        <v>533042.47005908343</v>
      </c>
      <c r="D16" s="191">
        <f t="shared" si="6"/>
        <v>543159.28499861946</v>
      </c>
      <c r="E16" s="191">
        <f t="shared" si="6"/>
        <v>527220.80287124973</v>
      </c>
      <c r="F16" s="191">
        <f t="shared" si="6"/>
        <v>477538.50817107793</v>
      </c>
      <c r="G16" s="191">
        <f t="shared" si="6"/>
        <v>507163.55454475479</v>
      </c>
      <c r="H16" s="191">
        <f t="shared" si="6"/>
        <v>502111.19248014421</v>
      </c>
      <c r="I16" s="191">
        <f t="shared" si="6"/>
        <v>504622.83532767487</v>
      </c>
      <c r="J16" s="197">
        <f t="shared" si="6"/>
        <v>536233.19074810378</v>
      </c>
      <c r="K16" s="207">
        <f t="shared" ref="K16:K21" si="7">J16/$J$21</f>
        <v>0.25727232800012623</v>
      </c>
    </row>
    <row r="17" spans="1:11" x14ac:dyDescent="0.25">
      <c r="A17" s="113" t="str">
        <f t="shared" ref="A17" si="8">A7</f>
        <v>EUS</v>
      </c>
      <c r="B17" s="191">
        <f t="shared" ref="B17:J17" si="9">B7*$N$5</f>
        <v>594373.0864269305</v>
      </c>
      <c r="C17" s="191">
        <f t="shared" si="9"/>
        <v>586788.63060711743</v>
      </c>
      <c r="D17" s="191">
        <f t="shared" si="9"/>
        <v>594690.68650323059</v>
      </c>
      <c r="E17" s="191">
        <f t="shared" si="9"/>
        <v>557889.32832123432</v>
      </c>
      <c r="F17" s="191">
        <f t="shared" si="9"/>
        <v>478399.45659679221</v>
      </c>
      <c r="G17" s="191">
        <f t="shared" si="9"/>
        <v>459531.72591578949</v>
      </c>
      <c r="H17" s="191">
        <f t="shared" si="9"/>
        <v>469432.19964294782</v>
      </c>
      <c r="I17" s="191">
        <f t="shared" si="9"/>
        <v>463213.50699401315</v>
      </c>
      <c r="J17" s="197">
        <f t="shared" si="9"/>
        <v>437168.88025675633</v>
      </c>
      <c r="K17" s="207">
        <f t="shared" si="7"/>
        <v>0.20974355465754399</v>
      </c>
    </row>
    <row r="18" spans="1:11" x14ac:dyDescent="0.25">
      <c r="A18" s="113" t="str">
        <f t="shared" ref="A18" si="10">A8</f>
        <v>EUE</v>
      </c>
      <c r="B18" s="191">
        <f t="shared" ref="B18:J18" si="11">B8*$N$5</f>
        <v>375744.59021334664</v>
      </c>
      <c r="C18" s="191">
        <f t="shared" si="11"/>
        <v>384254.96193724283</v>
      </c>
      <c r="D18" s="191">
        <f t="shared" si="11"/>
        <v>510214.01670522802</v>
      </c>
      <c r="E18" s="191">
        <f t="shared" si="11"/>
        <v>489697.56622663134</v>
      </c>
      <c r="F18" s="191">
        <f t="shared" si="11"/>
        <v>434876.47198685311</v>
      </c>
      <c r="G18" s="191">
        <f t="shared" si="11"/>
        <v>446961.72302658146</v>
      </c>
      <c r="H18" s="191">
        <f t="shared" si="11"/>
        <v>460644.4227626939</v>
      </c>
      <c r="I18" s="191">
        <f t="shared" si="11"/>
        <v>436018.41021989903</v>
      </c>
      <c r="J18" s="197">
        <f t="shared" si="11"/>
        <v>434297.54695212637</v>
      </c>
      <c r="K18" s="207">
        <f t="shared" si="7"/>
        <v>0.20836595510478997</v>
      </c>
    </row>
    <row r="19" spans="1:11" x14ac:dyDescent="0.25">
      <c r="A19" s="113" t="str">
        <f t="shared" ref="A19" si="12">A9</f>
        <v>FRA</v>
      </c>
      <c r="B19" s="191">
        <f t="shared" ref="B19:J19" si="13">B9*$N$5</f>
        <v>146356.10793723355</v>
      </c>
      <c r="C19" s="191">
        <f t="shared" si="13"/>
        <v>141578.72483908344</v>
      </c>
      <c r="D19" s="191">
        <f t="shared" si="13"/>
        <v>141194.90293531821</v>
      </c>
      <c r="E19" s="191">
        <f t="shared" si="13"/>
        <v>138401.8755786067</v>
      </c>
      <c r="F19" s="191">
        <f t="shared" si="13"/>
        <v>123865.63978370874</v>
      </c>
      <c r="G19" s="191">
        <f t="shared" si="13"/>
        <v>128858.75866173938</v>
      </c>
      <c r="H19" s="191">
        <f t="shared" si="13"/>
        <v>117722.35637251196</v>
      </c>
      <c r="I19" s="191">
        <f t="shared" si="13"/>
        <v>115579.44979027726</v>
      </c>
      <c r="J19" s="197">
        <f t="shared" si="13"/>
        <v>114454.19161277462</v>
      </c>
      <c r="K19" s="207">
        <f t="shared" si="7"/>
        <v>5.491248366127955E-2</v>
      </c>
    </row>
    <row r="20" spans="1:11" x14ac:dyDescent="0.25">
      <c r="A20" s="195" t="str">
        <f t="shared" ref="A20" si="14">A10</f>
        <v>AUT</v>
      </c>
      <c r="B20" s="194">
        <f t="shared" ref="B20:J20" si="15">B10*$N$5</f>
        <v>37210.299402027231</v>
      </c>
      <c r="C20" s="194">
        <f t="shared" si="15"/>
        <v>36107.829123935917</v>
      </c>
      <c r="D20" s="194">
        <f t="shared" si="15"/>
        <v>35401.923821455035</v>
      </c>
      <c r="E20" s="194">
        <f t="shared" si="15"/>
        <v>35767.317385780487</v>
      </c>
      <c r="F20" s="194">
        <f t="shared" si="15"/>
        <v>30505.583829861604</v>
      </c>
      <c r="G20" s="194">
        <f t="shared" si="15"/>
        <v>34474.765833022226</v>
      </c>
      <c r="H20" s="194">
        <f t="shared" si="15"/>
        <v>34117.64651282689</v>
      </c>
      <c r="I20" s="194">
        <f t="shared" si="15"/>
        <v>31650.918282772822</v>
      </c>
      <c r="J20" s="198">
        <f t="shared" si="15"/>
        <v>33282.869941642617</v>
      </c>
      <c r="K20" s="207">
        <f t="shared" si="7"/>
        <v>1.5968354029831378E-2</v>
      </c>
    </row>
    <row r="21" spans="1:11" x14ac:dyDescent="0.25">
      <c r="A21" s="113" t="str">
        <f>A11</f>
        <v>Summe</v>
      </c>
      <c r="B21" s="191">
        <f>SUM(B15:B20)</f>
        <v>2245649.1437871661</v>
      </c>
      <c r="C21" s="191">
        <f t="shared" ref="C21" si="16">SUM(C15:C20)</f>
        <v>2269857.7379399911</v>
      </c>
      <c r="D21" s="191">
        <f t="shared" ref="D21" si="17">SUM(D15:D20)</f>
        <v>2413626.8283562413</v>
      </c>
      <c r="E21" s="191">
        <f t="shared" ref="E21" si="18">SUM(E15:E20)</f>
        <v>2341801.8903746782</v>
      </c>
      <c r="F21" s="191">
        <f t="shared" ref="F21" si="19">SUM(F15:F20)</f>
        <v>2074282.9549934613</v>
      </c>
      <c r="G21" s="191">
        <f t="shared" ref="G21" si="20">SUM(G15:G20)</f>
        <v>2140250.8130034939</v>
      </c>
      <c r="H21" s="191">
        <f t="shared" ref="H21" si="21">SUM(H15:H20)</f>
        <v>2102049.1886881329</v>
      </c>
      <c r="I21" s="191">
        <f t="shared" ref="I21" si="22">SUM(I15:I20)</f>
        <v>2061111.7397947765</v>
      </c>
      <c r="J21" s="197">
        <f t="shared" ref="J21" si="23">SUM(J15:J20)</f>
        <v>2084301.8559999997</v>
      </c>
      <c r="K21" s="207">
        <f t="shared" si="7"/>
        <v>1</v>
      </c>
    </row>
    <row r="23" spans="1:11" x14ac:dyDescent="0.25">
      <c r="A23" t="s">
        <v>141</v>
      </c>
    </row>
    <row r="24" spans="1:11" x14ac:dyDescent="0.25">
      <c r="A24" s="195" t="str">
        <f>A14</f>
        <v/>
      </c>
      <c r="B24" s="193">
        <f t="shared" ref="B24:J24" si="24">B14</f>
        <v>2005</v>
      </c>
      <c r="C24" s="193">
        <f t="shared" si="24"/>
        <v>2006</v>
      </c>
      <c r="D24" s="193">
        <f t="shared" si="24"/>
        <v>2007</v>
      </c>
      <c r="E24" s="193">
        <f t="shared" si="24"/>
        <v>2008</v>
      </c>
      <c r="F24" s="193">
        <f t="shared" si="24"/>
        <v>2009</v>
      </c>
      <c r="G24" s="193">
        <f t="shared" si="24"/>
        <v>2010</v>
      </c>
      <c r="H24" s="193">
        <f t="shared" si="24"/>
        <v>2011</v>
      </c>
      <c r="I24" s="193">
        <f t="shared" si="24"/>
        <v>2012</v>
      </c>
      <c r="J24" s="196">
        <f t="shared" si="24"/>
        <v>2013</v>
      </c>
    </row>
    <row r="25" spans="1:11" x14ac:dyDescent="0.25">
      <c r="A25" s="113" t="str">
        <f t="shared" ref="A25" si="25">A15</f>
        <v>EUN</v>
      </c>
      <c r="B25" s="191">
        <f>B15/$B15*100</f>
        <v>100</v>
      </c>
      <c r="C25" s="191">
        <f t="shared" ref="C25:J25" si="26">C15/$B15*100</f>
        <v>104.58685424458049</v>
      </c>
      <c r="D25" s="191">
        <f t="shared" si="26"/>
        <v>104.74351477183012</v>
      </c>
      <c r="E25" s="191">
        <f t="shared" si="26"/>
        <v>105.42980873552762</v>
      </c>
      <c r="F25" s="191">
        <f t="shared" si="26"/>
        <v>94.096278961998664</v>
      </c>
      <c r="G25" s="191">
        <f t="shared" si="26"/>
        <v>100.17192952225473</v>
      </c>
      <c r="H25" s="191">
        <f t="shared" si="26"/>
        <v>92.126502859206198</v>
      </c>
      <c r="I25" s="191">
        <f t="shared" si="26"/>
        <v>90.704691790984313</v>
      </c>
      <c r="J25" s="197">
        <f t="shared" si="26"/>
        <v>94.054998363604284</v>
      </c>
    </row>
    <row r="26" spans="1:11" x14ac:dyDescent="0.25">
      <c r="A26" s="113" t="str">
        <f t="shared" ref="A26" si="27">A16</f>
        <v>DEU</v>
      </c>
      <c r="B26" s="191">
        <f t="shared" ref="B26:B31" si="28">B16/$B16*100</f>
        <v>100</v>
      </c>
      <c r="C26" s="191">
        <f t="shared" ref="C26:J26" si="29">C16/$B16*100</f>
        <v>100.63642210944546</v>
      </c>
      <c r="D26" s="191">
        <f t="shared" si="29"/>
        <v>102.54643888267827</v>
      </c>
      <c r="E26" s="191">
        <f t="shared" si="29"/>
        <v>99.537313146456825</v>
      </c>
      <c r="F26" s="191">
        <f t="shared" si="29"/>
        <v>90.157481966667035</v>
      </c>
      <c r="G26" s="191">
        <f t="shared" si="29"/>
        <v>95.750579776570973</v>
      </c>
      <c r="H26" s="191">
        <f t="shared" si="29"/>
        <v>94.796712739808328</v>
      </c>
      <c r="I26" s="191">
        <f t="shared" si="29"/>
        <v>95.270901503349521</v>
      </c>
      <c r="J26" s="197">
        <f t="shared" si="29"/>
        <v>101.23881822632148</v>
      </c>
    </row>
    <row r="27" spans="1:11" x14ac:dyDescent="0.25">
      <c r="A27" s="113" t="str">
        <f t="shared" ref="A27" si="30">A17</f>
        <v>EUS</v>
      </c>
      <c r="B27" s="191">
        <f t="shared" si="28"/>
        <v>100</v>
      </c>
      <c r="C27" s="191">
        <f t="shared" ref="C27:J27" si="31">C17/$B17*100</f>
        <v>98.723957057778804</v>
      </c>
      <c r="D27" s="191">
        <f t="shared" si="31"/>
        <v>100.05343446457331</v>
      </c>
      <c r="E27" s="191">
        <f t="shared" si="31"/>
        <v>93.8618085275331</v>
      </c>
      <c r="F27" s="191">
        <f t="shared" si="31"/>
        <v>80.48807517054432</v>
      </c>
      <c r="G27" s="191">
        <f t="shared" si="31"/>
        <v>77.313683342942241</v>
      </c>
      <c r="H27" s="191">
        <f t="shared" si="31"/>
        <v>78.979383549301687</v>
      </c>
      <c r="I27" s="191">
        <f t="shared" si="31"/>
        <v>77.933122742588807</v>
      </c>
      <c r="J27" s="197">
        <f t="shared" si="31"/>
        <v>73.551257659527266</v>
      </c>
    </row>
    <row r="28" spans="1:11" x14ac:dyDescent="0.25">
      <c r="A28" s="113" t="str">
        <f t="shared" ref="A28" si="32">A18</f>
        <v>EUE</v>
      </c>
      <c r="B28" s="191">
        <f t="shared" si="28"/>
        <v>100</v>
      </c>
      <c r="C28" s="191">
        <f t="shared" ref="C28:J28" si="33">C18/$B18*100</f>
        <v>102.26493526335642</v>
      </c>
      <c r="D28" s="191">
        <f t="shared" si="33"/>
        <v>135.7874550943049</v>
      </c>
      <c r="E28" s="191">
        <f t="shared" si="33"/>
        <v>130.32724328741034</v>
      </c>
      <c r="F28" s="191">
        <f t="shared" si="33"/>
        <v>115.7372543247879</v>
      </c>
      <c r="G28" s="191">
        <f t="shared" si="33"/>
        <v>118.95360164009226</v>
      </c>
      <c r="H28" s="191">
        <f t="shared" si="33"/>
        <v>122.59509112323916</v>
      </c>
      <c r="I28" s="191">
        <f t="shared" si="33"/>
        <v>116.04116774437898</v>
      </c>
      <c r="J28" s="197">
        <f t="shared" si="33"/>
        <v>115.5831802410072</v>
      </c>
    </row>
    <row r="29" spans="1:11" x14ac:dyDescent="0.25">
      <c r="A29" s="113" t="str">
        <f t="shared" ref="A29" si="34">A19</f>
        <v>FRA</v>
      </c>
      <c r="B29" s="191">
        <f t="shared" si="28"/>
        <v>100</v>
      </c>
      <c r="C29" s="191">
        <f t="shared" ref="C29:J29" si="35">C19/$B19*100</f>
        <v>96.735781536224692</v>
      </c>
      <c r="D29" s="191">
        <f t="shared" si="35"/>
        <v>96.473529479118994</v>
      </c>
      <c r="E29" s="191">
        <f t="shared" si="35"/>
        <v>94.565151758450625</v>
      </c>
      <c r="F29" s="191">
        <f t="shared" si="35"/>
        <v>84.633051212888148</v>
      </c>
      <c r="G29" s="191">
        <f t="shared" si="35"/>
        <v>88.044674375326991</v>
      </c>
      <c r="H29" s="191">
        <f t="shared" si="35"/>
        <v>80.435560928552775</v>
      </c>
      <c r="I29" s="191">
        <f t="shared" si="35"/>
        <v>78.97138795180642</v>
      </c>
      <c r="J29" s="197">
        <f t="shared" si="35"/>
        <v>78.202538469975963</v>
      </c>
    </row>
    <row r="30" spans="1:11" x14ac:dyDescent="0.25">
      <c r="A30" s="195" t="str">
        <f t="shared" ref="A30" si="36">A20</f>
        <v>AUT</v>
      </c>
      <c r="B30" s="194">
        <f t="shared" si="28"/>
        <v>100</v>
      </c>
      <c r="C30" s="194">
        <f t="shared" ref="C30:J30" si="37">C20/$B20*100</f>
        <v>97.037190520344879</v>
      </c>
      <c r="D30" s="194">
        <f t="shared" si="37"/>
        <v>95.140120854621031</v>
      </c>
      <c r="E30" s="194">
        <f t="shared" si="37"/>
        <v>96.122089745485553</v>
      </c>
      <c r="F30" s="194">
        <f t="shared" si="37"/>
        <v>81.981559729668945</v>
      </c>
      <c r="G30" s="194">
        <f t="shared" si="37"/>
        <v>92.648450528576049</v>
      </c>
      <c r="H30" s="194">
        <f t="shared" si="37"/>
        <v>91.688718072954146</v>
      </c>
      <c r="I30" s="194">
        <f t="shared" si="37"/>
        <v>85.059563592354408</v>
      </c>
      <c r="J30" s="198">
        <f t="shared" si="37"/>
        <v>89.44531615305776</v>
      </c>
    </row>
    <row r="31" spans="1:11" x14ac:dyDescent="0.25">
      <c r="A31" s="113" t="str">
        <f t="shared" ref="A31" si="38">A21</f>
        <v>Summe</v>
      </c>
      <c r="B31" s="191">
        <f t="shared" si="28"/>
        <v>100</v>
      </c>
      <c r="C31" s="191">
        <f t="shared" ref="C31:J31" si="39">C21/$B21*100</f>
        <v>101.07802210420094</v>
      </c>
      <c r="D31" s="191">
        <f t="shared" si="39"/>
        <v>107.4801393189049</v>
      </c>
      <c r="E31" s="191">
        <f t="shared" si="39"/>
        <v>104.28173505436187</v>
      </c>
      <c r="F31" s="191">
        <f t="shared" si="39"/>
        <v>92.368968711438825</v>
      </c>
      <c r="G31" s="191">
        <f t="shared" si="39"/>
        <v>95.306553961233519</v>
      </c>
      <c r="H31" s="191">
        <f t="shared" si="39"/>
        <v>93.605414474637854</v>
      </c>
      <c r="I31" s="191">
        <f t="shared" si="39"/>
        <v>91.782447204500656</v>
      </c>
      <c r="J31" s="197">
        <f t="shared" si="39"/>
        <v>92.815115921667839</v>
      </c>
    </row>
    <row r="33" spans="1:10" x14ac:dyDescent="0.25">
      <c r="A33" t="s">
        <v>140</v>
      </c>
    </row>
    <row r="34" spans="1:10" x14ac:dyDescent="0.25">
      <c r="A34" s="195" t="str">
        <f>A24</f>
        <v/>
      </c>
      <c r="B34" s="193">
        <f t="shared" ref="B34:J34" si="40">B24</f>
        <v>2005</v>
      </c>
      <c r="C34" s="193">
        <f t="shared" si="40"/>
        <v>2006</v>
      </c>
      <c r="D34" s="193">
        <f t="shared" si="40"/>
        <v>2007</v>
      </c>
      <c r="E34" s="193">
        <f t="shared" si="40"/>
        <v>2008</v>
      </c>
      <c r="F34" s="193">
        <f t="shared" si="40"/>
        <v>2009</v>
      </c>
      <c r="G34" s="193">
        <f t="shared" si="40"/>
        <v>2010</v>
      </c>
      <c r="H34" s="193">
        <f t="shared" si="40"/>
        <v>2011</v>
      </c>
      <c r="I34" s="193">
        <f t="shared" si="40"/>
        <v>2012</v>
      </c>
      <c r="J34" s="196">
        <f t="shared" si="40"/>
        <v>2013</v>
      </c>
    </row>
    <row r="35" spans="1:10" x14ac:dyDescent="0.25">
      <c r="A35" s="113" t="str">
        <f t="shared" ref="A35" si="41">A25</f>
        <v>EUN</v>
      </c>
      <c r="B35" s="191">
        <f>B25/$D25*100</f>
        <v>95.471304565095764</v>
      </c>
      <c r="C35" s="191">
        <f t="shared" ref="C35:J35" si="42">C25/$D25*100</f>
        <v>99.850434150896234</v>
      </c>
      <c r="D35" s="191">
        <f t="shared" si="42"/>
        <v>100</v>
      </c>
      <c r="E35" s="191">
        <f t="shared" si="42"/>
        <v>100.6552138002935</v>
      </c>
      <c r="F35" s="191">
        <f t="shared" si="42"/>
        <v>89.834945072231861</v>
      </c>
      <c r="G35" s="191">
        <f t="shared" si="42"/>
        <v>95.635447922924882</v>
      </c>
      <c r="H35" s="191">
        <f t="shared" si="42"/>
        <v>87.9543741298844</v>
      </c>
      <c r="I35" s="191">
        <f t="shared" si="42"/>
        <v>86.596952554602041</v>
      </c>
      <c r="J35" s="197">
        <f t="shared" si="42"/>
        <v>89.795533946412476</v>
      </c>
    </row>
    <row r="36" spans="1:10" x14ac:dyDescent="0.25">
      <c r="A36" s="113" t="str">
        <f t="shared" ref="A36" si="43">A26</f>
        <v>DEU</v>
      </c>
      <c r="B36" s="191">
        <f t="shared" ref="B36:J36" si="44">B26/$D26*100</f>
        <v>97.516794429505623</v>
      </c>
      <c r="C36" s="191">
        <f t="shared" si="44"/>
        <v>98.13741286967749</v>
      </c>
      <c r="D36" s="191">
        <f t="shared" si="44"/>
        <v>100</v>
      </c>
      <c r="E36" s="191">
        <f t="shared" si="44"/>
        <v>97.065597041683588</v>
      </c>
      <c r="F36" s="191">
        <f t="shared" si="44"/>
        <v>87.918686352253289</v>
      </c>
      <c r="G36" s="191">
        <f t="shared" si="44"/>
        <v>93.372896045778504</v>
      </c>
      <c r="H36" s="191">
        <f t="shared" si="44"/>
        <v>92.442715488407856</v>
      </c>
      <c r="I36" s="191">
        <f t="shared" si="44"/>
        <v>92.905129170158148</v>
      </c>
      <c r="J36" s="197">
        <f t="shared" si="44"/>
        <v>98.724850252622801</v>
      </c>
    </row>
    <row r="37" spans="1:10" x14ac:dyDescent="0.25">
      <c r="A37" s="113" t="str">
        <f t="shared" ref="A37" si="45">A27</f>
        <v>EUS</v>
      </c>
      <c r="B37" s="191">
        <f t="shared" ref="B37:J37" si="46">B27/$D27*100</f>
        <v>99.946594072598032</v>
      </c>
      <c r="C37" s="191">
        <f t="shared" si="46"/>
        <v>98.671232612944195</v>
      </c>
      <c r="D37" s="191">
        <f t="shared" si="46"/>
        <v>100</v>
      </c>
      <c r="E37" s="191">
        <f t="shared" si="46"/>
        <v>93.811680758212717</v>
      </c>
      <c r="F37" s="191">
        <f t="shared" si="46"/>
        <v>80.445089767551508</v>
      </c>
      <c r="G37" s="191">
        <f t="shared" si="46"/>
        <v>77.272393253344333</v>
      </c>
      <c r="H37" s="191">
        <f t="shared" si="46"/>
        <v>78.937203877060838</v>
      </c>
      <c r="I37" s="191">
        <f t="shared" si="46"/>
        <v>77.891501835634827</v>
      </c>
      <c r="J37" s="197">
        <f t="shared" si="46"/>
        <v>73.511976928258392</v>
      </c>
    </row>
    <row r="38" spans="1:10" x14ac:dyDescent="0.25">
      <c r="A38" s="113" t="str">
        <f t="shared" ref="A38" si="47">A28</f>
        <v>EUE</v>
      </c>
      <c r="B38" s="191">
        <f t="shared" ref="B38:J38" si="48">B28/$D28*100</f>
        <v>73.644505621340073</v>
      </c>
      <c r="C38" s="191">
        <f t="shared" si="48"/>
        <v>75.312505998682298</v>
      </c>
      <c r="D38" s="191">
        <f t="shared" si="48"/>
        <v>100</v>
      </c>
      <c r="E38" s="191">
        <f t="shared" si="48"/>
        <v>95.978854008934462</v>
      </c>
      <c r="F38" s="191">
        <f t="shared" si="48"/>
        <v>85.234128767203075</v>
      </c>
      <c r="G38" s="191">
        <f t="shared" si="48"/>
        <v>87.602791846624214</v>
      </c>
      <c r="H38" s="191">
        <f t="shared" si="48"/>
        <v>90.284548773740852</v>
      </c>
      <c r="I38" s="191">
        <f t="shared" si="48"/>
        <v>85.457944302577843</v>
      </c>
      <c r="J38" s="197">
        <f t="shared" si="48"/>
        <v>85.120661669912181</v>
      </c>
    </row>
    <row r="39" spans="1:10" x14ac:dyDescent="0.25">
      <c r="A39" s="113" t="str">
        <f t="shared" ref="A39" si="49">A29</f>
        <v>FRA</v>
      </c>
      <c r="B39" s="191">
        <f t="shared" ref="B39:J39" si="50">B29/$D29*100</f>
        <v>103.65537628810841</v>
      </c>
      <c r="C39" s="191">
        <f t="shared" si="50"/>
        <v>100.27183835661621</v>
      </c>
      <c r="D39" s="191">
        <f t="shared" si="50"/>
        <v>100</v>
      </c>
      <c r="E39" s="191">
        <f t="shared" si="50"/>
        <v>98.021863892642784</v>
      </c>
      <c r="F39" s="191">
        <f t="shared" si="50"/>
        <v>87.726707698826729</v>
      </c>
      <c r="G39" s="191">
        <f t="shared" si="50"/>
        <v>91.263038525384971</v>
      </c>
      <c r="H39" s="191">
        <f t="shared" si="50"/>
        <v>83.375783349942097</v>
      </c>
      <c r="I39" s="191">
        <f t="shared" si="50"/>
        <v>81.858089341386858</v>
      </c>
      <c r="J39" s="197">
        <f t="shared" si="50"/>
        <v>81.061135517906337</v>
      </c>
    </row>
    <row r="40" spans="1:10" x14ac:dyDescent="0.25">
      <c r="A40" s="195" t="str">
        <f t="shared" ref="A40" si="51">A30</f>
        <v>AUT</v>
      </c>
      <c r="B40" s="194">
        <f t="shared" ref="B40:J40" si="52">B30/$D30*100</f>
        <v>105.10812799240092</v>
      </c>
      <c r="C40" s="194">
        <f t="shared" si="52"/>
        <v>101.99397441235402</v>
      </c>
      <c r="D40" s="194">
        <f t="shared" si="52"/>
        <v>100</v>
      </c>
      <c r="E40" s="194">
        <f t="shared" si="52"/>
        <v>101.03212911865545</v>
      </c>
      <c r="F40" s="194">
        <f t="shared" si="52"/>
        <v>86.169282730827049</v>
      </c>
      <c r="G40" s="194">
        <f t="shared" si="52"/>
        <v>97.381051964551972</v>
      </c>
      <c r="H40" s="194">
        <f t="shared" si="52"/>
        <v>96.37229514671229</v>
      </c>
      <c r="I40" s="194">
        <f t="shared" si="52"/>
        <v>89.404514970429531</v>
      </c>
      <c r="J40" s="198">
        <f t="shared" si="52"/>
        <v>94.014297385363605</v>
      </c>
    </row>
    <row r="41" spans="1:10" x14ac:dyDescent="0.25">
      <c r="A41" s="113" t="str">
        <f t="shared" ref="A41" si="53">A31</f>
        <v>Summe</v>
      </c>
      <c r="B41" s="191">
        <f t="shared" ref="B41:J41" si="54">B31/$D31*100</f>
        <v>93.040445084732781</v>
      </c>
      <c r="C41" s="191">
        <f t="shared" si="54"/>
        <v>94.043441648593145</v>
      </c>
      <c r="D41" s="191">
        <f t="shared" si="54"/>
        <v>100</v>
      </c>
      <c r="E41" s="191">
        <f t="shared" si="54"/>
        <v>97.024190436660092</v>
      </c>
      <c r="F41" s="191">
        <f t="shared" si="54"/>
        <v>85.940499609300247</v>
      </c>
      <c r="G41" s="191">
        <f t="shared" si="54"/>
        <v>88.673642000452674</v>
      </c>
      <c r="H41" s="191">
        <f t="shared" si="54"/>
        <v>87.090894250611939</v>
      </c>
      <c r="I41" s="191">
        <f t="shared" si="54"/>
        <v>85.394797388727284</v>
      </c>
      <c r="J41" s="197">
        <f t="shared" si="54"/>
        <v>86.355596959430443</v>
      </c>
    </row>
    <row r="43" spans="1:10" x14ac:dyDescent="0.25">
      <c r="A43" t="s">
        <v>142</v>
      </c>
    </row>
    <row r="44" spans="1:10" x14ac:dyDescent="0.25">
      <c r="A44" s="195" t="str">
        <f>A34</f>
        <v/>
      </c>
      <c r="B44" s="193">
        <f t="shared" ref="B44:J44" si="55">B34</f>
        <v>2005</v>
      </c>
      <c r="C44" s="193">
        <f t="shared" si="55"/>
        <v>2006</v>
      </c>
      <c r="D44" s="193">
        <f t="shared" si="55"/>
        <v>2007</v>
      </c>
      <c r="E44" s="193">
        <f t="shared" si="55"/>
        <v>2008</v>
      </c>
      <c r="F44" s="193">
        <f t="shared" si="55"/>
        <v>2009</v>
      </c>
      <c r="G44" s="193">
        <f t="shared" si="55"/>
        <v>2010</v>
      </c>
      <c r="H44" s="193">
        <f t="shared" si="55"/>
        <v>2011</v>
      </c>
      <c r="I44" s="193">
        <f t="shared" si="55"/>
        <v>2012</v>
      </c>
      <c r="J44" s="196">
        <f t="shared" si="55"/>
        <v>2013</v>
      </c>
    </row>
    <row r="45" spans="1:10" x14ac:dyDescent="0.25">
      <c r="A45" s="113" t="str">
        <f t="shared" ref="A45" si="56">A35</f>
        <v>EUN</v>
      </c>
      <c r="B45" s="191">
        <f>B35/$G35*100</f>
        <v>99.82836556800423</v>
      </c>
      <c r="C45" s="191">
        <f>C35/$G35*100</f>
        <v>104.40734719135558</v>
      </c>
      <c r="D45" s="191">
        <f t="shared" ref="D45:J45" si="57">D35/$G35*100</f>
        <v>104.56373883519909</v>
      </c>
      <c r="E45" s="191">
        <f t="shared" si="57"/>
        <v>105.24885488215017</v>
      </c>
      <c r="F45" s="191">
        <f t="shared" si="57"/>
        <v>93.934777348073069</v>
      </c>
      <c r="G45" s="191">
        <f t="shared" si="57"/>
        <v>100</v>
      </c>
      <c r="H45" s="191">
        <f t="shared" si="57"/>
        <v>91.968382059306236</v>
      </c>
      <c r="I45" s="191">
        <f t="shared" si="57"/>
        <v>90.54901130843534</v>
      </c>
      <c r="J45" s="197">
        <f t="shared" si="57"/>
        <v>93.893567601399269</v>
      </c>
    </row>
    <row r="46" spans="1:10" x14ac:dyDescent="0.25">
      <c r="A46" s="113" t="str">
        <f t="shared" ref="A46" si="58">A36</f>
        <v>DEU</v>
      </c>
      <c r="B46" s="191">
        <f t="shared" ref="B46:J46" si="59">B36/$G36*100</f>
        <v>104.43800991424264</v>
      </c>
      <c r="C46" s="191">
        <f t="shared" si="59"/>
        <v>105.10267650000173</v>
      </c>
      <c r="D46" s="191">
        <f t="shared" si="59"/>
        <v>107.09746000699431</v>
      </c>
      <c r="E46" s="191">
        <f t="shared" si="59"/>
        <v>103.95478897226734</v>
      </c>
      <c r="F46" s="191">
        <f t="shared" si="59"/>
        <v>94.158679954779217</v>
      </c>
      <c r="G46" s="191">
        <f t="shared" si="59"/>
        <v>100</v>
      </c>
      <c r="H46" s="191">
        <f t="shared" si="59"/>
        <v>99.003800249577139</v>
      </c>
      <c r="I46" s="191">
        <f t="shared" si="59"/>
        <v>99.499033557456514</v>
      </c>
      <c r="J46" s="197">
        <f t="shared" si="59"/>
        <v>105.73180701626772</v>
      </c>
    </row>
    <row r="47" spans="1:10" x14ac:dyDescent="0.25">
      <c r="A47" s="113" t="str">
        <f t="shared" ref="A47" si="60">A37</f>
        <v>EUS</v>
      </c>
      <c r="B47" s="191">
        <f t="shared" ref="B47:J47" si="61">B37/$G37*100</f>
        <v>129.34321025222337</v>
      </c>
      <c r="C47" s="191">
        <f t="shared" si="61"/>
        <v>127.69273534655758</v>
      </c>
      <c r="D47" s="191">
        <f t="shared" si="61"/>
        <v>129.41232410408361</v>
      </c>
      <c r="E47" s="191">
        <f t="shared" si="61"/>
        <v>121.40387635030648</v>
      </c>
      <c r="F47" s="191">
        <f t="shared" si="61"/>
        <v>104.10586029580475</v>
      </c>
      <c r="G47" s="191">
        <f t="shared" si="61"/>
        <v>100</v>
      </c>
      <c r="H47" s="191">
        <f t="shared" si="61"/>
        <v>102.15447012008323</v>
      </c>
      <c r="I47" s="191">
        <f t="shared" si="61"/>
        <v>100.80120280506996</v>
      </c>
      <c r="J47" s="197">
        <f t="shared" si="61"/>
        <v>95.133557837716907</v>
      </c>
    </row>
    <row r="48" spans="1:10" x14ac:dyDescent="0.25">
      <c r="A48" s="113" t="str">
        <f t="shared" ref="A48" si="62">A38</f>
        <v>EUE</v>
      </c>
      <c r="B48" s="191">
        <f t="shared" ref="B48:J48" si="63">B38/$G38*100</f>
        <v>84.066391114883146</v>
      </c>
      <c r="C48" s="191">
        <f t="shared" si="63"/>
        <v>85.970440451875248</v>
      </c>
      <c r="D48" s="191">
        <f t="shared" si="63"/>
        <v>114.15161308452468</v>
      </c>
      <c r="E48" s="191">
        <f t="shared" si="63"/>
        <v>109.56141007123968</v>
      </c>
      <c r="F48" s="191">
        <f t="shared" si="63"/>
        <v>97.296132886303184</v>
      </c>
      <c r="G48" s="191">
        <f t="shared" si="63"/>
        <v>100</v>
      </c>
      <c r="H48" s="191">
        <f t="shared" si="63"/>
        <v>103.06126879130962</v>
      </c>
      <c r="I48" s="191">
        <f t="shared" si="63"/>
        <v>97.551621930267245</v>
      </c>
      <c r="J48" s="197">
        <f t="shared" si="63"/>
        <v>97.166608364425457</v>
      </c>
    </row>
    <row r="49" spans="1:10" x14ac:dyDescent="0.25">
      <c r="A49" s="113" t="str">
        <f t="shared" ref="A49" si="64">A39</f>
        <v>FRA</v>
      </c>
      <c r="B49" s="191">
        <f t="shared" ref="B49:J49" si="65">B39/$G39*100</f>
        <v>113.57870389037781</v>
      </c>
      <c r="C49" s="191">
        <f t="shared" si="65"/>
        <v>109.87124686707142</v>
      </c>
      <c r="D49" s="191">
        <f t="shared" si="65"/>
        <v>109.57338437968491</v>
      </c>
      <c r="E49" s="191">
        <f t="shared" si="65"/>
        <v>107.40587369921705</v>
      </c>
      <c r="F49" s="191">
        <f t="shared" si="65"/>
        <v>96.125122630478046</v>
      </c>
      <c r="G49" s="191">
        <f t="shared" si="65"/>
        <v>100</v>
      </c>
      <c r="H49" s="191">
        <f t="shared" si="65"/>
        <v>91.357667569605383</v>
      </c>
      <c r="I49" s="191">
        <f t="shared" si="65"/>
        <v>89.694678879903705</v>
      </c>
      <c r="J49" s="197">
        <f t="shared" si="65"/>
        <v>88.821429603572795</v>
      </c>
    </row>
    <row r="50" spans="1:10" x14ac:dyDescent="0.25">
      <c r="A50" s="195" t="str">
        <f t="shared" ref="A50" si="66">A40</f>
        <v>AUT</v>
      </c>
      <c r="B50" s="194">
        <f t="shared" ref="B50:J50" si="67">B40/$G40*100</f>
        <v>107.93488658415984</v>
      </c>
      <c r="C50" s="194">
        <f t="shared" si="67"/>
        <v>104.73698153258933</v>
      </c>
      <c r="D50" s="194">
        <f t="shared" si="67"/>
        <v>102.68938154046781</v>
      </c>
      <c r="E50" s="194">
        <f t="shared" si="67"/>
        <v>103.74926854911418</v>
      </c>
      <c r="F50" s="194">
        <f t="shared" si="67"/>
        <v>88.486703514143429</v>
      </c>
      <c r="G50" s="194">
        <f t="shared" si="67"/>
        <v>100</v>
      </c>
      <c r="H50" s="194">
        <f t="shared" si="67"/>
        <v>98.96411386251313</v>
      </c>
      <c r="I50" s="194">
        <f t="shared" si="67"/>
        <v>91.808943492389034</v>
      </c>
      <c r="J50" s="198">
        <f t="shared" si="67"/>
        <v>96.542700544646081</v>
      </c>
    </row>
    <row r="51" spans="1:10" x14ac:dyDescent="0.25">
      <c r="A51" s="113" t="str">
        <f t="shared" ref="A51" si="68">A41</f>
        <v>Summe</v>
      </c>
      <c r="B51" s="191">
        <f t="shared" ref="B51:J51" si="69">B41/$G41*100</f>
        <v>104.92457847198587</v>
      </c>
      <c r="C51" s="191">
        <f t="shared" si="69"/>
        <v>106.05568862065353</v>
      </c>
      <c r="D51" s="191">
        <f t="shared" si="69"/>
        <v>112.7730831214641</v>
      </c>
      <c r="E51" s="191">
        <f t="shared" si="69"/>
        <v>109.41717092906231</v>
      </c>
      <c r="F51" s="191">
        <f t="shared" si="69"/>
        <v>96.917751059397702</v>
      </c>
      <c r="G51" s="191">
        <f t="shared" si="69"/>
        <v>100</v>
      </c>
      <c r="H51" s="191">
        <f t="shared" si="69"/>
        <v>98.215086564469004</v>
      </c>
      <c r="I51" s="191">
        <f t="shared" si="69"/>
        <v>96.302345840595279</v>
      </c>
      <c r="J51" s="197">
        <f t="shared" si="69"/>
        <v>97.385869139095021</v>
      </c>
    </row>
    <row r="53" spans="1:10" x14ac:dyDescent="0.25">
      <c r="A53" t="s">
        <v>143</v>
      </c>
    </row>
    <row r="54" spans="1:10" x14ac:dyDescent="0.25">
      <c r="A54" s="195" t="str">
        <f>A44</f>
        <v/>
      </c>
      <c r="B54" s="193">
        <f t="shared" ref="B54:J54" si="70">B44</f>
        <v>2005</v>
      </c>
      <c r="C54" s="193">
        <f t="shared" si="70"/>
        <v>2006</v>
      </c>
      <c r="D54" s="193">
        <f t="shared" si="70"/>
        <v>2007</v>
      </c>
      <c r="E54" s="193">
        <f t="shared" si="70"/>
        <v>2008</v>
      </c>
      <c r="F54" s="193">
        <f t="shared" si="70"/>
        <v>2009</v>
      </c>
      <c r="G54" s="193">
        <f t="shared" si="70"/>
        <v>2010</v>
      </c>
      <c r="H54" s="193">
        <f t="shared" si="70"/>
        <v>2011</v>
      </c>
      <c r="I54" s="193">
        <f t="shared" si="70"/>
        <v>2012</v>
      </c>
      <c r="J54" s="196">
        <f t="shared" si="70"/>
        <v>2013</v>
      </c>
    </row>
    <row r="55" spans="1:10" x14ac:dyDescent="0.25">
      <c r="A55" s="113" t="str">
        <f t="shared" ref="A55" si="71">A45</f>
        <v>EUN</v>
      </c>
      <c r="B55" s="191">
        <f t="shared" ref="B55:I55" si="72">B45/$J45*100</f>
        <v>106.32077161217219</v>
      </c>
      <c r="C55" s="191">
        <f t="shared" si="72"/>
        <v>111.19755043773587</v>
      </c>
      <c r="D55" s="191">
        <f t="shared" si="72"/>
        <v>111.36411311911935</v>
      </c>
      <c r="E55" s="191">
        <f t="shared" si="72"/>
        <v>112.0937861568503</v>
      </c>
      <c r="F55" s="191">
        <f t="shared" si="72"/>
        <v>100.04388985073902</v>
      </c>
      <c r="G55" s="191">
        <f t="shared" si="72"/>
        <v>106.50356840686254</v>
      </c>
      <c r="H55" s="191">
        <f t="shared" si="72"/>
        <v>97.949608699217919</v>
      </c>
      <c r="I55" s="191">
        <f t="shared" si="72"/>
        <v>96.437928200617137</v>
      </c>
      <c r="J55" s="197">
        <f>J45/$J45*100</f>
        <v>100</v>
      </c>
    </row>
    <row r="56" spans="1:10" x14ac:dyDescent="0.25">
      <c r="A56" s="113" t="str">
        <f t="shared" ref="A56" si="73">A46</f>
        <v>DEU</v>
      </c>
      <c r="B56" s="191">
        <f t="shared" ref="B56:J56" si="74">B46/$J46*100</f>
        <v>98.776340688260419</v>
      </c>
      <c r="C56" s="191">
        <f t="shared" si="74"/>
        <v>99.404975159301685</v>
      </c>
      <c r="D56" s="191">
        <f t="shared" si="74"/>
        <v>101.29161983443305</v>
      </c>
      <c r="E56" s="191">
        <f t="shared" si="74"/>
        <v>98.319315545484827</v>
      </c>
      <c r="F56" s="191">
        <f t="shared" si="74"/>
        <v>89.05426154335197</v>
      </c>
      <c r="G56" s="191">
        <f t="shared" si="74"/>
        <v>94.578918891090325</v>
      </c>
      <c r="H56" s="191">
        <f t="shared" si="74"/>
        <v>93.636723937144637</v>
      </c>
      <c r="I56" s="191">
        <f t="shared" si="74"/>
        <v>94.105110245725541</v>
      </c>
      <c r="J56" s="197">
        <f t="shared" si="74"/>
        <v>100</v>
      </c>
    </row>
    <row r="57" spans="1:10" x14ac:dyDescent="0.25">
      <c r="A57" s="113" t="str">
        <f t="shared" ref="A57" si="75">A47</f>
        <v>EUS</v>
      </c>
      <c r="B57" s="191">
        <f t="shared" ref="B57:J57" si="76">B47/$J47*100</f>
        <v>135.95960583421345</v>
      </c>
      <c r="C57" s="191">
        <f t="shared" si="76"/>
        <v>134.22470287969423</v>
      </c>
      <c r="D57" s="191">
        <f t="shared" si="76"/>
        <v>136.03225512162695</v>
      </c>
      <c r="E57" s="191">
        <f t="shared" si="76"/>
        <v>127.61414490289815</v>
      </c>
      <c r="F57" s="191">
        <f t="shared" si="76"/>
        <v>109.43126974541748</v>
      </c>
      <c r="G57" s="191">
        <f t="shared" si="76"/>
        <v>105.11537912897622</v>
      </c>
      <c r="H57" s="191">
        <f t="shared" si="76"/>
        <v>107.3800585639222</v>
      </c>
      <c r="I57" s="191">
        <f t="shared" si="76"/>
        <v>105.95756649511749</v>
      </c>
      <c r="J57" s="197">
        <f t="shared" si="76"/>
        <v>100</v>
      </c>
    </row>
    <row r="58" spans="1:10" x14ac:dyDescent="0.25">
      <c r="A58" s="113" t="str">
        <f t="shared" ref="A58" si="77">A48</f>
        <v>EUE</v>
      </c>
      <c r="B58" s="191">
        <f t="shared" ref="B58:J58" si="78">B48/$J48*100</f>
        <v>86.517778617516768</v>
      </c>
      <c r="C58" s="191">
        <f t="shared" si="78"/>
        <v>88.477350294497526</v>
      </c>
      <c r="D58" s="191">
        <f t="shared" si="78"/>
        <v>117.48028978885073</v>
      </c>
      <c r="E58" s="191">
        <f t="shared" si="78"/>
        <v>112.75623582571417</v>
      </c>
      <c r="F58" s="191">
        <f t="shared" si="78"/>
        <v>100.13330147471234</v>
      </c>
      <c r="G58" s="191">
        <f t="shared" si="78"/>
        <v>102.91601372453781</v>
      </c>
      <c r="H58" s="191">
        <f t="shared" si="78"/>
        <v>106.06654953394701</v>
      </c>
      <c r="I58" s="191">
        <f t="shared" si="78"/>
        <v>100.39624061426306</v>
      </c>
      <c r="J58" s="197">
        <f t="shared" si="78"/>
        <v>100</v>
      </c>
    </row>
    <row r="59" spans="1:10" x14ac:dyDescent="0.25">
      <c r="A59" s="113" t="str">
        <f t="shared" ref="A59" si="79">A49</f>
        <v>FRA</v>
      </c>
      <c r="B59" s="191">
        <f t="shared" ref="B59:J59" si="80">B49/$J49*100</f>
        <v>127.87308693104977</v>
      </c>
      <c r="C59" s="191">
        <f t="shared" si="80"/>
        <v>123.699030017247</v>
      </c>
      <c r="D59" s="191">
        <f t="shared" si="80"/>
        <v>123.36368021628574</v>
      </c>
      <c r="E59" s="191">
        <f t="shared" si="80"/>
        <v>120.92337871456272</v>
      </c>
      <c r="F59" s="191">
        <f t="shared" si="80"/>
        <v>108.22289514985634</v>
      </c>
      <c r="G59" s="191">
        <f t="shared" si="80"/>
        <v>112.58544300212159</v>
      </c>
      <c r="H59" s="191">
        <f t="shared" si="80"/>
        <v>102.85543474964578</v>
      </c>
      <c r="I59" s="191">
        <f t="shared" si="80"/>
        <v>100.98315156626998</v>
      </c>
      <c r="J59" s="197">
        <f t="shared" si="80"/>
        <v>100</v>
      </c>
    </row>
    <row r="60" spans="1:10" x14ac:dyDescent="0.25">
      <c r="A60" s="195" t="str">
        <f t="shared" ref="A60" si="81">A50</f>
        <v>AUT</v>
      </c>
      <c r="B60" s="194">
        <f t="shared" ref="B60:J60" si="82">B50/$J50*100</f>
        <v>111.80015265291388</v>
      </c>
      <c r="C60" s="194">
        <f t="shared" si="82"/>
        <v>108.48772713184442</v>
      </c>
      <c r="D60" s="194">
        <f t="shared" si="82"/>
        <v>106.36680034963307</v>
      </c>
      <c r="E60" s="194">
        <f t="shared" si="82"/>
        <v>107.46464306862373</v>
      </c>
      <c r="F60" s="194">
        <f t="shared" si="82"/>
        <v>91.655508925009656</v>
      </c>
      <c r="G60" s="194">
        <f t="shared" si="82"/>
        <v>103.58110912150742</v>
      </c>
      <c r="H60" s="194">
        <f t="shared" si="82"/>
        <v>102.50812677106258</v>
      </c>
      <c r="I60" s="194">
        <f t="shared" si="82"/>
        <v>95.096721942154574</v>
      </c>
      <c r="J60" s="198">
        <f t="shared" si="82"/>
        <v>100</v>
      </c>
    </row>
    <row r="61" spans="1:10" x14ac:dyDescent="0.25">
      <c r="A61" s="113" t="str">
        <f t="shared" ref="A61" si="83">A51</f>
        <v>Summe</v>
      </c>
      <c r="B61" s="191">
        <f t="shared" ref="B61:J61" si="84">B51/$J51*100</f>
        <v>107.74107106044657</v>
      </c>
      <c r="C61" s="191">
        <f t="shared" si="84"/>
        <v>108.90254362178101</v>
      </c>
      <c r="D61" s="191">
        <f t="shared" si="84"/>
        <v>115.8002532794483</v>
      </c>
      <c r="E61" s="191">
        <f t="shared" si="84"/>
        <v>112.35425826798664</v>
      </c>
      <c r="F61" s="191">
        <f t="shared" si="84"/>
        <v>99.519316217192952</v>
      </c>
      <c r="G61" s="191">
        <f t="shared" si="84"/>
        <v>102.68430202863543</v>
      </c>
      <c r="H61" s="191">
        <f t="shared" si="84"/>
        <v>100.8514761255451</v>
      </c>
      <c r="I61" s="191">
        <f t="shared" si="84"/>
        <v>98.88739166361789</v>
      </c>
      <c r="J61" s="197">
        <f t="shared" si="84"/>
        <v>100</v>
      </c>
    </row>
  </sheetData>
  <hyperlinks>
    <hyperlink ref="O3" r:id="rId1"/>
  </hyperlinks>
  <pageMargins left="0.7" right="0.7" top="0.78740157499999996" bottom="0.78740157499999996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U119"/>
  <sheetViews>
    <sheetView topLeftCell="A100" workbookViewId="0">
      <selection activeCell="T46" sqref="T46"/>
    </sheetView>
  </sheetViews>
  <sheetFormatPr defaultColWidth="11.42578125" defaultRowHeight="15" x14ac:dyDescent="0.25"/>
  <cols>
    <col min="1" max="1" width="13.85546875" customWidth="1"/>
    <col min="2" max="2" width="14.7109375" customWidth="1"/>
    <col min="4" max="6" width="11.5703125" bestFit="1" customWidth="1"/>
    <col min="7" max="7" width="12" customWidth="1"/>
    <col min="8" max="13" width="11.5703125" bestFit="1" customWidth="1"/>
  </cols>
  <sheetData>
    <row r="1" spans="1:10" x14ac:dyDescent="0.25">
      <c r="A1" s="216" t="s">
        <v>167</v>
      </c>
    </row>
    <row r="2" spans="1:10" x14ac:dyDescent="0.25">
      <c r="A2" s="62" t="s">
        <v>149</v>
      </c>
      <c r="B2" s="215" t="s">
        <v>166</v>
      </c>
    </row>
    <row r="4" spans="1:10" x14ac:dyDescent="0.25">
      <c r="B4" s="35" t="s">
        <v>146</v>
      </c>
      <c r="I4" s="217" t="s">
        <v>164</v>
      </c>
    </row>
    <row r="5" spans="1:10" x14ac:dyDescent="0.25">
      <c r="H5" s="62" t="s">
        <v>149</v>
      </c>
      <c r="I5" s="215" t="s">
        <v>165</v>
      </c>
    </row>
    <row r="6" spans="1:10" x14ac:dyDescent="0.25">
      <c r="C6" s="62" t="s">
        <v>148</v>
      </c>
      <c r="D6" s="32">
        <v>1385</v>
      </c>
      <c r="E6" s="497" t="s">
        <v>156</v>
      </c>
    </row>
    <row r="7" spans="1:10" x14ac:dyDescent="0.25">
      <c r="C7" s="62" t="s">
        <v>147</v>
      </c>
      <c r="D7" s="189">
        <v>0.71</v>
      </c>
      <c r="E7" s="497"/>
    </row>
    <row r="8" spans="1:10" x14ac:dyDescent="0.25">
      <c r="C8" s="62" t="s">
        <v>150</v>
      </c>
      <c r="D8">
        <v>262</v>
      </c>
      <c r="E8" s="497"/>
    </row>
    <row r="9" spans="1:10" x14ac:dyDescent="0.25">
      <c r="C9" s="62" t="s">
        <v>151</v>
      </c>
      <c r="D9" s="32">
        <f>374*3</f>
        <v>1122</v>
      </c>
      <c r="E9" s="497"/>
    </row>
    <row r="10" spans="1:10" x14ac:dyDescent="0.25">
      <c r="C10" s="62" t="s">
        <v>152</v>
      </c>
      <c r="D10">
        <v>37.4</v>
      </c>
      <c r="E10" s="497"/>
      <c r="H10" s="483" t="s">
        <v>173</v>
      </c>
      <c r="I10" s="483"/>
      <c r="J10" s="483"/>
    </row>
    <row r="11" spans="1:10" ht="15" customHeight="1" x14ac:dyDescent="0.25">
      <c r="C11" s="62" t="s">
        <v>153</v>
      </c>
      <c r="D11" s="205">
        <v>1.7399999999999999E-2</v>
      </c>
      <c r="E11" s="497"/>
      <c r="H11" t="s">
        <v>174</v>
      </c>
      <c r="I11" s="205">
        <v>1.7399999999999999E-2</v>
      </c>
      <c r="J11">
        <f>I11*$D$14</f>
        <v>37.4</v>
      </c>
    </row>
    <row r="12" spans="1:10" x14ac:dyDescent="0.25">
      <c r="C12" s="218" t="s">
        <v>169</v>
      </c>
      <c r="D12" s="219">
        <v>2.1999999999999999E-2</v>
      </c>
      <c r="H12" t="s">
        <v>175</v>
      </c>
      <c r="I12" s="205">
        <f>[2]Tabelle1!$A$33</f>
        <v>6.5412834224598926E-2</v>
      </c>
      <c r="J12">
        <f t="shared" ref="J12:J13" si="0">I12*$D$14</f>
        <v>140.6</v>
      </c>
    </row>
    <row r="13" spans="1:10" x14ac:dyDescent="0.25">
      <c r="E13" s="131"/>
      <c r="H13" t="s">
        <v>176</v>
      </c>
      <c r="I13" s="205">
        <f>[2]Tabelle1!$A$36</f>
        <v>1.6097326203208556E-2</v>
      </c>
      <c r="J13">
        <f t="shared" si="0"/>
        <v>34.6</v>
      </c>
    </row>
    <row r="14" spans="1:10" ht="15" customHeight="1" x14ac:dyDescent="0.25">
      <c r="C14" s="206" t="s">
        <v>154</v>
      </c>
      <c r="D14" s="209">
        <f>D10/D11</f>
        <v>2149.4252873563219</v>
      </c>
    </row>
    <row r="15" spans="1:10" x14ac:dyDescent="0.25">
      <c r="C15" s="62" t="s">
        <v>155</v>
      </c>
      <c r="D15" s="32">
        <f>D14-D6</f>
        <v>764.42528735632186</v>
      </c>
    </row>
    <row r="16" spans="1:10" x14ac:dyDescent="0.25">
      <c r="C16" s="62" t="s">
        <v>157</v>
      </c>
      <c r="D16" s="32">
        <f>D15/(1-D7)</f>
        <v>2635.9492667459372</v>
      </c>
    </row>
    <row r="19" spans="1:14" x14ac:dyDescent="0.25">
      <c r="B19" t="s">
        <v>162</v>
      </c>
    </row>
    <row r="20" spans="1:14" ht="15" customHeight="1" x14ac:dyDescent="0.25">
      <c r="A20" s="38"/>
      <c r="B20" s="220">
        <v>2005</v>
      </c>
      <c r="C20" s="220">
        <v>2013</v>
      </c>
      <c r="D20" s="211">
        <v>2015</v>
      </c>
      <c r="E20" s="211">
        <v>2020</v>
      </c>
      <c r="F20" s="211">
        <v>2025</v>
      </c>
      <c r="G20" s="211">
        <v>2030</v>
      </c>
      <c r="H20" s="211">
        <v>2035</v>
      </c>
      <c r="I20" s="211">
        <v>2040</v>
      </c>
      <c r="J20" s="211">
        <v>2045</v>
      </c>
      <c r="K20" s="211">
        <v>2050</v>
      </c>
      <c r="L20" s="38"/>
      <c r="M20" s="213"/>
      <c r="N20" t="s">
        <v>177</v>
      </c>
    </row>
    <row r="21" spans="1:14" ht="15" customHeight="1" x14ac:dyDescent="0.25">
      <c r="A21" s="519" t="s">
        <v>146</v>
      </c>
      <c r="B21" s="221">
        <f>D16</f>
        <v>2635.9492667459372</v>
      </c>
      <c r="C21" s="222">
        <f>D14</f>
        <v>2149.4252873563219</v>
      </c>
      <c r="D21" s="223">
        <f>C21-$D$10*(D20-C20)</f>
        <v>2074.6252873563217</v>
      </c>
      <c r="E21" s="223">
        <f t="shared" ref="E21:K21" si="1">D21-$D$10*(E20-D20)</f>
        <v>1887.6252873563217</v>
      </c>
      <c r="F21" s="223">
        <f>E21-$D$10*(F20-E20)</f>
        <v>1700.6252873563217</v>
      </c>
      <c r="G21" s="223">
        <f t="shared" si="1"/>
        <v>1513.6252873563217</v>
      </c>
      <c r="H21" s="223">
        <f t="shared" si="1"/>
        <v>1326.6252873563217</v>
      </c>
      <c r="I21" s="223">
        <f t="shared" si="1"/>
        <v>1139.6252873563217</v>
      </c>
      <c r="J21" s="223">
        <f t="shared" si="1"/>
        <v>952.62528735632168</v>
      </c>
      <c r="K21" s="223">
        <f t="shared" si="1"/>
        <v>765.62528735632168</v>
      </c>
      <c r="L21" s="504" t="s">
        <v>163</v>
      </c>
      <c r="M21" s="505"/>
      <c r="N21" s="248">
        <f>K21/B21-1</f>
        <v>-0.70954475603338096</v>
      </c>
    </row>
    <row r="22" spans="1:14" ht="15" customHeight="1" x14ac:dyDescent="0.25">
      <c r="A22" s="520"/>
      <c r="B22" s="221" t="s">
        <v>178</v>
      </c>
      <c r="C22" s="222">
        <f>C21/$C21</f>
        <v>1</v>
      </c>
      <c r="D22" s="251">
        <f t="shared" ref="D22:K22" si="2">D21/$C21</f>
        <v>0.96519999999999995</v>
      </c>
      <c r="E22" s="251">
        <f t="shared" si="2"/>
        <v>0.87819999999999987</v>
      </c>
      <c r="F22" s="251">
        <f t="shared" si="2"/>
        <v>0.7911999999999999</v>
      </c>
      <c r="G22" s="251">
        <f t="shared" si="2"/>
        <v>0.70419999999999994</v>
      </c>
      <c r="H22" s="251">
        <f t="shared" si="2"/>
        <v>0.61719999999999997</v>
      </c>
      <c r="I22" s="251">
        <f t="shared" si="2"/>
        <v>0.53019999999999989</v>
      </c>
      <c r="J22" s="251">
        <f t="shared" si="2"/>
        <v>0.44319999999999993</v>
      </c>
      <c r="K22" s="251">
        <f t="shared" si="2"/>
        <v>0.35619999999999991</v>
      </c>
      <c r="L22" s="506"/>
      <c r="M22" s="507"/>
      <c r="N22" s="248"/>
    </row>
    <row r="23" spans="1:14" x14ac:dyDescent="0.25">
      <c r="A23" s="520"/>
      <c r="B23" s="252" t="s">
        <v>179</v>
      </c>
      <c r="C23" s="224">
        <f>(C21-B21)/(C20-B20)</f>
        <v>-60.815497423701913</v>
      </c>
      <c r="D23" s="225">
        <f t="shared" ref="D23:K23" si="3">(D21-C21)/(D20-C20)</f>
        <v>-37.400000000000091</v>
      </c>
      <c r="E23" s="225">
        <f t="shared" si="3"/>
        <v>-37.4</v>
      </c>
      <c r="F23" s="225">
        <f t="shared" si="3"/>
        <v>-37.4</v>
      </c>
      <c r="G23" s="225">
        <f t="shared" si="3"/>
        <v>-37.4</v>
      </c>
      <c r="H23" s="225">
        <f t="shared" si="3"/>
        <v>-37.4</v>
      </c>
      <c r="I23" s="225">
        <f t="shared" si="3"/>
        <v>-37.4</v>
      </c>
      <c r="J23" s="225">
        <f t="shared" si="3"/>
        <v>-37.4</v>
      </c>
      <c r="K23" s="225">
        <f t="shared" si="3"/>
        <v>-37.4</v>
      </c>
      <c r="L23" s="506"/>
      <c r="M23" s="507"/>
    </row>
    <row r="24" spans="1:14" x14ac:dyDescent="0.25">
      <c r="A24" s="521"/>
      <c r="B24" s="253" t="s">
        <v>180</v>
      </c>
      <c r="C24" s="226">
        <f t="shared" ref="C24:K24" si="4">C23/$C$21</f>
        <v>-2.829384104739073E-2</v>
      </c>
      <c r="D24" s="227">
        <f t="shared" si="4"/>
        <v>-1.740000000000004E-2</v>
      </c>
      <c r="E24" s="227">
        <f t="shared" si="4"/>
        <v>-1.7399999999999999E-2</v>
      </c>
      <c r="F24" s="227">
        <f t="shared" si="4"/>
        <v>-1.7399999999999999E-2</v>
      </c>
      <c r="G24" s="227">
        <f t="shared" si="4"/>
        <v>-1.7399999999999999E-2</v>
      </c>
      <c r="H24" s="227">
        <f t="shared" si="4"/>
        <v>-1.7399999999999999E-2</v>
      </c>
      <c r="I24" s="227">
        <f t="shared" si="4"/>
        <v>-1.7399999999999999E-2</v>
      </c>
      <c r="J24" s="227">
        <f t="shared" si="4"/>
        <v>-1.7399999999999999E-2</v>
      </c>
      <c r="K24" s="227">
        <f t="shared" si="4"/>
        <v>-1.7399999999999999E-2</v>
      </c>
      <c r="L24" s="508"/>
      <c r="M24" s="509"/>
    </row>
    <row r="25" spans="1:14" ht="15" customHeight="1" x14ac:dyDescent="0.25">
      <c r="A25" s="498" t="s">
        <v>170</v>
      </c>
      <c r="B25" s="228">
        <f>D16</f>
        <v>2635.9492667459372</v>
      </c>
      <c r="C25" s="229">
        <f>D14</f>
        <v>2149.4252873563219</v>
      </c>
      <c r="D25" s="230">
        <f>C21-$D$10*(D20-C20)</f>
        <v>2074.6252873563217</v>
      </c>
      <c r="E25" s="230">
        <f>D21-$D$10*(E20-D20)</f>
        <v>1887.6252873563217</v>
      </c>
      <c r="F25" s="230">
        <f t="shared" ref="F25:K25" si="5">E25-$D$12*$D$14*(F20-E20)</f>
        <v>1651.1885057471263</v>
      </c>
      <c r="G25" s="230">
        <f t="shared" si="5"/>
        <v>1414.751724137931</v>
      </c>
      <c r="H25" s="230">
        <f t="shared" si="5"/>
        <v>1178.3149425287356</v>
      </c>
      <c r="I25" s="230">
        <f t="shared" si="5"/>
        <v>941.87816091954028</v>
      </c>
      <c r="J25" s="230">
        <f t="shared" si="5"/>
        <v>705.44137931034493</v>
      </c>
      <c r="K25" s="230">
        <f t="shared" si="5"/>
        <v>469.00459770114958</v>
      </c>
      <c r="L25" s="510" t="s">
        <v>168</v>
      </c>
      <c r="M25" s="511"/>
      <c r="N25" s="248">
        <f>K25/B25-1</f>
        <v>-0.82207373881663026</v>
      </c>
    </row>
    <row r="26" spans="1:14" ht="15" customHeight="1" x14ac:dyDescent="0.25">
      <c r="A26" s="499"/>
      <c r="B26" s="250" t="s">
        <v>178</v>
      </c>
      <c r="C26" s="254">
        <f>C25/$C25</f>
        <v>1</v>
      </c>
      <c r="D26" s="256">
        <f t="shared" ref="D26:K26" si="6">D25/$C25</f>
        <v>0.96519999999999995</v>
      </c>
      <c r="E26" s="256">
        <f t="shared" si="6"/>
        <v>0.87819999999999987</v>
      </c>
      <c r="F26" s="256">
        <f t="shared" si="6"/>
        <v>0.76819999999999999</v>
      </c>
      <c r="G26" s="256">
        <f t="shared" si="6"/>
        <v>0.65820000000000001</v>
      </c>
      <c r="H26" s="256">
        <f t="shared" si="6"/>
        <v>0.54820000000000002</v>
      </c>
      <c r="I26" s="256">
        <f t="shared" si="6"/>
        <v>0.43820000000000003</v>
      </c>
      <c r="J26" s="256">
        <f t="shared" si="6"/>
        <v>0.32820000000000005</v>
      </c>
      <c r="K26" s="256">
        <f t="shared" si="6"/>
        <v>0.21820000000000006</v>
      </c>
      <c r="L26" s="512"/>
      <c r="M26" s="513"/>
      <c r="N26" s="248"/>
    </row>
    <row r="27" spans="1:14" x14ac:dyDescent="0.25">
      <c r="A27" s="499"/>
      <c r="B27" s="231" t="s">
        <v>179</v>
      </c>
      <c r="C27" s="232">
        <f t="shared" ref="C27:K27" si="7">(C25-B25)/(C20-B20)</f>
        <v>-60.815497423701913</v>
      </c>
      <c r="D27" s="233">
        <f t="shared" si="7"/>
        <v>-37.400000000000091</v>
      </c>
      <c r="E27" s="233">
        <f t="shared" si="7"/>
        <v>-37.4</v>
      </c>
      <c r="F27" s="233">
        <f t="shared" si="7"/>
        <v>-47.28735632183907</v>
      </c>
      <c r="G27" s="233">
        <f t="shared" si="7"/>
        <v>-47.28735632183907</v>
      </c>
      <c r="H27" s="233">
        <f t="shared" si="7"/>
        <v>-47.28735632183907</v>
      </c>
      <c r="I27" s="233">
        <f t="shared" si="7"/>
        <v>-47.28735632183907</v>
      </c>
      <c r="J27" s="233">
        <f t="shared" si="7"/>
        <v>-47.28735632183907</v>
      </c>
      <c r="K27" s="233">
        <f t="shared" si="7"/>
        <v>-47.28735632183907</v>
      </c>
      <c r="L27" s="512"/>
      <c r="M27" s="513"/>
    </row>
    <row r="28" spans="1:14" x14ac:dyDescent="0.25">
      <c r="A28" s="500"/>
      <c r="B28" s="234" t="s">
        <v>180</v>
      </c>
      <c r="C28" s="235">
        <f t="shared" ref="C28:K28" si="8">C27/$C$21</f>
        <v>-2.829384104739073E-2</v>
      </c>
      <c r="D28" s="236">
        <f t="shared" si="8"/>
        <v>-1.740000000000004E-2</v>
      </c>
      <c r="E28" s="236">
        <f t="shared" si="8"/>
        <v>-1.7399999999999999E-2</v>
      </c>
      <c r="F28" s="237">
        <f t="shared" si="8"/>
        <v>-2.1999999999999995E-2</v>
      </c>
      <c r="G28" s="237">
        <f t="shared" si="8"/>
        <v>-2.1999999999999995E-2</v>
      </c>
      <c r="H28" s="237">
        <f t="shared" si="8"/>
        <v>-2.1999999999999995E-2</v>
      </c>
      <c r="I28" s="237">
        <f t="shared" si="8"/>
        <v>-2.1999999999999995E-2</v>
      </c>
      <c r="J28" s="237">
        <f t="shared" si="8"/>
        <v>-2.1999999999999995E-2</v>
      </c>
      <c r="K28" s="237">
        <f t="shared" si="8"/>
        <v>-2.1999999999999995E-2</v>
      </c>
      <c r="L28" s="514"/>
      <c r="M28" s="515"/>
    </row>
    <row r="29" spans="1:14" ht="15" customHeight="1" x14ac:dyDescent="0.25">
      <c r="A29" s="501" t="s">
        <v>171</v>
      </c>
      <c r="B29" s="238">
        <f>$D$16</f>
        <v>2635.9492667459372</v>
      </c>
      <c r="C29" s="239">
        <f>D14</f>
        <v>2149.4252873563219</v>
      </c>
      <c r="D29" s="240">
        <f>C29-$J$11*(D20-C20)</f>
        <v>2074.6252873563217</v>
      </c>
      <c r="E29" s="240">
        <f>D25-$J$12*(E20-D20)</f>
        <v>1371.6252873563217</v>
      </c>
      <c r="F29" s="240">
        <f t="shared" ref="F29:K29" si="9">E29-$I$13*$D$14*(F20-E20)</f>
        <v>1198.6252873563217</v>
      </c>
      <c r="G29" s="240">
        <f t="shared" si="9"/>
        <v>1025.6252873563217</v>
      </c>
      <c r="H29" s="240">
        <f t="shared" si="9"/>
        <v>852.62528735632168</v>
      </c>
      <c r="I29" s="240">
        <f t="shared" si="9"/>
        <v>679.62528735632168</v>
      </c>
      <c r="J29" s="240">
        <f t="shared" si="9"/>
        <v>506.62528735632168</v>
      </c>
      <c r="K29" s="240">
        <f t="shared" si="9"/>
        <v>333.62528735632168</v>
      </c>
      <c r="L29" s="522" t="s">
        <v>172</v>
      </c>
      <c r="M29" s="523"/>
      <c r="N29" s="248">
        <f>K29/B29-1</f>
        <v>-0.87343258401623947</v>
      </c>
    </row>
    <row r="30" spans="1:14" ht="15" customHeight="1" x14ac:dyDescent="0.25">
      <c r="A30" s="502"/>
      <c r="B30" s="249" t="s">
        <v>178</v>
      </c>
      <c r="C30" s="255">
        <f>C29/$C29</f>
        <v>1</v>
      </c>
      <c r="D30" s="257">
        <f t="shared" ref="D30:K30" si="10">D29/$C29</f>
        <v>0.96519999999999995</v>
      </c>
      <c r="E30" s="257">
        <f t="shared" si="10"/>
        <v>0.63813582887700526</v>
      </c>
      <c r="F30" s="257">
        <f t="shared" si="10"/>
        <v>0.55764919786096245</v>
      </c>
      <c r="G30" s="257">
        <f t="shared" si="10"/>
        <v>0.4771625668449197</v>
      </c>
      <c r="H30" s="257">
        <f t="shared" si="10"/>
        <v>0.39667593582887695</v>
      </c>
      <c r="I30" s="257">
        <f t="shared" si="10"/>
        <v>0.31618930481283414</v>
      </c>
      <c r="J30" s="257">
        <f t="shared" si="10"/>
        <v>0.23570267379679136</v>
      </c>
      <c r="K30" s="257">
        <f t="shared" si="10"/>
        <v>0.15521604278074858</v>
      </c>
      <c r="L30" s="524"/>
      <c r="M30" s="525"/>
      <c r="N30" s="248"/>
    </row>
    <row r="31" spans="1:14" x14ac:dyDescent="0.25">
      <c r="A31" s="502"/>
      <c r="B31" s="241" t="s">
        <v>179</v>
      </c>
      <c r="C31" s="242">
        <f t="shared" ref="C31:K31" si="11">(C29-B29)/(C20-B20)</f>
        <v>-60.815497423701913</v>
      </c>
      <c r="D31" s="243">
        <f t="shared" si="11"/>
        <v>-37.400000000000091</v>
      </c>
      <c r="E31" s="243">
        <f t="shared" si="11"/>
        <v>-140.6</v>
      </c>
      <c r="F31" s="243">
        <f t="shared" si="11"/>
        <v>-34.6</v>
      </c>
      <c r="G31" s="243">
        <f t="shared" si="11"/>
        <v>-34.6</v>
      </c>
      <c r="H31" s="243">
        <f t="shared" si="11"/>
        <v>-34.6</v>
      </c>
      <c r="I31" s="243">
        <f t="shared" si="11"/>
        <v>-34.6</v>
      </c>
      <c r="J31" s="243">
        <f t="shared" si="11"/>
        <v>-34.6</v>
      </c>
      <c r="K31" s="243">
        <f t="shared" si="11"/>
        <v>-34.6</v>
      </c>
      <c r="L31" s="524"/>
      <c r="M31" s="525"/>
    </row>
    <row r="32" spans="1:14" x14ac:dyDescent="0.25">
      <c r="A32" s="503"/>
      <c r="B32" s="244" t="s">
        <v>180</v>
      </c>
      <c r="C32" s="245">
        <f t="shared" ref="C32:K32" si="12">C31/$C$21</f>
        <v>-2.829384104739073E-2</v>
      </c>
      <c r="D32" s="246">
        <f t="shared" si="12"/>
        <v>-1.740000000000004E-2</v>
      </c>
      <c r="E32" s="246">
        <f t="shared" si="12"/>
        <v>-6.5412834224598926E-2</v>
      </c>
      <c r="F32" s="247">
        <f t="shared" si="12"/>
        <v>-1.6097326203208556E-2</v>
      </c>
      <c r="G32" s="247">
        <f t="shared" si="12"/>
        <v>-1.6097326203208556E-2</v>
      </c>
      <c r="H32" s="247">
        <f t="shared" si="12"/>
        <v>-1.6097326203208556E-2</v>
      </c>
      <c r="I32" s="247">
        <f t="shared" si="12"/>
        <v>-1.6097326203208556E-2</v>
      </c>
      <c r="J32" s="247">
        <f t="shared" si="12"/>
        <v>-1.6097326203208556E-2</v>
      </c>
      <c r="K32" s="247">
        <f t="shared" si="12"/>
        <v>-1.6097326203208556E-2</v>
      </c>
      <c r="L32" s="526"/>
      <c r="M32" s="527"/>
    </row>
    <row r="37" spans="1:21" x14ac:dyDescent="0.25">
      <c r="C37" s="534" t="s">
        <v>159</v>
      </c>
      <c r="D37" s="534"/>
      <c r="E37" s="534"/>
      <c r="F37" s="534"/>
      <c r="G37" s="534"/>
      <c r="H37" s="534"/>
      <c r="I37" s="534"/>
      <c r="J37" s="534"/>
      <c r="K37" s="534"/>
    </row>
    <row r="38" spans="1:21" x14ac:dyDescent="0.25">
      <c r="C38" s="534"/>
      <c r="D38" s="534"/>
      <c r="E38" s="534"/>
      <c r="F38" s="534"/>
      <c r="G38" s="534"/>
      <c r="H38" s="534"/>
      <c r="I38" s="534"/>
      <c r="J38" s="534"/>
      <c r="K38" s="534"/>
    </row>
    <row r="39" spans="1:21" x14ac:dyDescent="0.25">
      <c r="B39" s="213" t="str">
        <f>Historische_Emissionen!A54</f>
        <v/>
      </c>
      <c r="C39" s="258">
        <f>Historische_Emissionen!B54</f>
        <v>2005</v>
      </c>
      <c r="D39" s="258">
        <f>Historische_Emissionen!C54</f>
        <v>2006</v>
      </c>
      <c r="E39" s="258">
        <f>Historische_Emissionen!D54</f>
        <v>2007</v>
      </c>
      <c r="F39" s="258">
        <f>Historische_Emissionen!E54</f>
        <v>2008</v>
      </c>
      <c r="G39" s="258">
        <f>Historische_Emissionen!F54</f>
        <v>2009</v>
      </c>
      <c r="H39" s="258">
        <f>Historische_Emissionen!G54</f>
        <v>2010</v>
      </c>
      <c r="I39" s="258">
        <f>Historische_Emissionen!H54</f>
        <v>2011</v>
      </c>
      <c r="J39" s="258">
        <f>Historische_Emissionen!I54</f>
        <v>2012</v>
      </c>
      <c r="K39" s="259">
        <f>Historische_Emissionen!J54</f>
        <v>2013</v>
      </c>
      <c r="L39" s="211">
        <v>2015</v>
      </c>
      <c r="M39" s="211">
        <v>2020</v>
      </c>
      <c r="N39" s="211">
        <v>2025</v>
      </c>
      <c r="O39" s="211">
        <v>2030</v>
      </c>
      <c r="P39" s="211">
        <v>2035</v>
      </c>
      <c r="Q39" s="211">
        <v>2040</v>
      </c>
      <c r="R39" s="211">
        <v>2045</v>
      </c>
      <c r="S39" s="212">
        <v>2050</v>
      </c>
    </row>
    <row r="40" spans="1:21" ht="15" customHeight="1" x14ac:dyDescent="0.25">
      <c r="A40" s="498" t="s">
        <v>170</v>
      </c>
      <c r="B40" s="101" t="str">
        <f>Historische_Emissionen!A55</f>
        <v>EUN</v>
      </c>
      <c r="C40" s="260">
        <f>Historische_Emissionen!B55*$D$14/100*Historische_Emissionen!$K15</f>
        <v>579.86224147049427</v>
      </c>
      <c r="D40" s="260">
        <f>Historische_Emissionen!C55*$D$14/100*Historische_Emissionen!$K15</f>
        <v>606.45967730610323</v>
      </c>
      <c r="E40" s="260">
        <f>Historische_Emissionen!D55*$D$14/100*Historische_Emissionen!$K15</f>
        <v>607.36809255091248</v>
      </c>
      <c r="F40" s="260">
        <f>Historische_Emissionen!E55*$D$14/100*Historische_Emissionen!$K15</f>
        <v>611.3476521118854</v>
      </c>
      <c r="G40" s="260">
        <f>Historische_Emissionen!F55*$D$14/100*Historische_Emissionen!$K15</f>
        <v>545.62879232937451</v>
      </c>
      <c r="H40" s="260">
        <f>Historische_Emissionen!G55*$D$14/100*Historische_Emissionen!$K15</f>
        <v>580.85919585198997</v>
      </c>
      <c r="I40" s="260">
        <f>Historische_Emissionen!H55*$D$14/100*Historische_Emissionen!$K15</f>
        <v>534.20680446777214</v>
      </c>
      <c r="J40" s="260">
        <f>Historische_Emissionen!I55*$D$14/100*Historische_Emissionen!$K15</f>
        <v>525.96225893810504</v>
      </c>
      <c r="K40" s="261">
        <f>Historische_Emissionen!J55*$D$14/100*Historische_Emissionen!$K15</f>
        <v>545.3894217262324</v>
      </c>
      <c r="L40" s="191">
        <f>$K40*D$26</f>
        <v>526.40986985015945</v>
      </c>
      <c r="M40" s="191">
        <f t="shared" ref="M40:S40" si="13">$K40*E$26</f>
        <v>478.9609901599772</v>
      </c>
      <c r="N40" s="191">
        <f t="shared" si="13"/>
        <v>418.9681537700917</v>
      </c>
      <c r="O40" s="191">
        <f t="shared" si="13"/>
        <v>358.97531738020615</v>
      </c>
      <c r="P40" s="191">
        <f t="shared" si="13"/>
        <v>298.9824809903206</v>
      </c>
      <c r="Q40" s="191">
        <f t="shared" si="13"/>
        <v>238.98964460043504</v>
      </c>
      <c r="R40" s="191">
        <f t="shared" si="13"/>
        <v>178.99680821054949</v>
      </c>
      <c r="S40" s="197">
        <f t="shared" si="13"/>
        <v>119.00397182066395</v>
      </c>
    </row>
    <row r="41" spans="1:21" x14ac:dyDescent="0.25">
      <c r="A41" s="499"/>
      <c r="B41" s="101" t="str">
        <f>Historische_Emissionen!A56</f>
        <v>DEU</v>
      </c>
      <c r="C41" s="260">
        <f>Historische_Emissionen!B56*$D$14/100*Historische_Emissionen!$K16</f>
        <v>546.22096269860219</v>
      </c>
      <c r="D41" s="260">
        <f>Historische_Emissionen!C56*$D$14/100*Historische_Emissionen!$K16</f>
        <v>549.69723367164204</v>
      </c>
      <c r="E41" s="260">
        <f>Historische_Emissionen!D56*$D$14/100*Historische_Emissionen!$K16</f>
        <v>560.13014567809898</v>
      </c>
      <c r="F41" s="260">
        <f>Historische_Emissionen!E56*$D$14/100*Historische_Emissionen!$K16</f>
        <v>543.69367011289876</v>
      </c>
      <c r="G41" s="260">
        <f>Historische_Emissionen!F56*$D$14/100*Historische_Emissionen!$K16</f>
        <v>492.45906594314727</v>
      </c>
      <c r="H41" s="260">
        <f>Historische_Emissionen!G56*$D$14/100*Historische_Emissionen!$K16</f>
        <v>523.0097386450791</v>
      </c>
      <c r="I41" s="260">
        <f>Historische_Emissionen!H56*$D$14/100*Historische_Emissionen!$K16</f>
        <v>517.79951693400949</v>
      </c>
      <c r="J41" s="260">
        <f>Historische_Emissionen!I56*$D$14/100*Historische_Emissionen!$K16</f>
        <v>520.38963536323286</v>
      </c>
      <c r="K41" s="261">
        <f>Historische_Emissionen!J56*$D$14/100*Historische_Emissionen!$K16</f>
        <v>552.98764754050126</v>
      </c>
      <c r="L41" s="191">
        <f t="shared" ref="L41:L46" si="14">$K41*D$26</f>
        <v>533.74367740609182</v>
      </c>
      <c r="M41" s="191">
        <f t="shared" ref="M41:M46" si="15">$K41*E$26</f>
        <v>485.63375207006811</v>
      </c>
      <c r="N41" s="191">
        <f t="shared" ref="N41:N46" si="16">$K41*F$26</f>
        <v>424.80511084061305</v>
      </c>
      <c r="O41" s="191">
        <f t="shared" ref="O41:O46" si="17">$K41*G$26</f>
        <v>363.97646961115794</v>
      </c>
      <c r="P41" s="191">
        <f t="shared" ref="P41:P46" si="18">$K41*H$26</f>
        <v>303.14782838170282</v>
      </c>
      <c r="Q41" s="191">
        <f t="shared" ref="Q41:Q46" si="19">$K41*I$26</f>
        <v>242.31918715224768</v>
      </c>
      <c r="R41" s="191">
        <f t="shared" ref="R41:R46" si="20">$K41*J$26</f>
        <v>181.49054592279253</v>
      </c>
      <c r="S41" s="197">
        <f t="shared" ref="S41:S45" si="21">$K41*K$26</f>
        <v>120.66190469333741</v>
      </c>
    </row>
    <row r="42" spans="1:21" x14ac:dyDescent="0.25">
      <c r="A42" s="499"/>
      <c r="B42" s="101" t="str">
        <f>Historische_Emissionen!A57</f>
        <v>EUS</v>
      </c>
      <c r="C42" s="260">
        <f>Historische_Emissionen!B57*$D$14/100*Historische_Emissionen!$K17</f>
        <v>612.94410807743816</v>
      </c>
      <c r="D42" s="260">
        <f>Historische_Emissionen!C57*$D$14/100*Historische_Emissionen!$K17</f>
        <v>605.12267804655551</v>
      </c>
      <c r="E42" s="260">
        <f>Historische_Emissionen!D57*$D$14/100*Historische_Emissionen!$K17</f>
        <v>613.27163147972306</v>
      </c>
      <c r="F42" s="260">
        <f>Historische_Emissionen!E57*$D$14/100*Historische_Emissionen!$K17</f>
        <v>575.32042510444069</v>
      </c>
      <c r="G42" s="260">
        <f>Historische_Emissionen!F57*$D$14/100*Historische_Emissionen!$K17</f>
        <v>493.34691446279089</v>
      </c>
      <c r="H42" s="260">
        <f>Historische_Emissionen!G57*$D$14/100*Historische_Emissionen!$K17</f>
        <v>473.88966678821231</v>
      </c>
      <c r="I42" s="260">
        <f>Historische_Emissionen!H57*$D$14/100*Historische_Emissionen!$K17</f>
        <v>484.09947806132624</v>
      </c>
      <c r="J42" s="260">
        <f>Historische_Emissionen!I57*$D$14/100*Historische_Emissionen!$K17</f>
        <v>477.68648409145612</v>
      </c>
      <c r="K42" s="261">
        <f>Historische_Emissionen!J57*$D$14/100*Historische_Emissionen!$K17</f>
        <v>450.82810024092788</v>
      </c>
      <c r="L42" s="191">
        <f t="shared" si="14"/>
        <v>435.13928235254355</v>
      </c>
      <c r="M42" s="191">
        <f t="shared" si="15"/>
        <v>395.91723763158279</v>
      </c>
      <c r="N42" s="191">
        <f t="shared" si="16"/>
        <v>346.32614660508079</v>
      </c>
      <c r="O42" s="191">
        <f t="shared" si="17"/>
        <v>296.73505557857874</v>
      </c>
      <c r="P42" s="191">
        <f t="shared" si="18"/>
        <v>247.14396455207668</v>
      </c>
      <c r="Q42" s="191">
        <f t="shared" si="19"/>
        <v>197.55287352557463</v>
      </c>
      <c r="R42" s="191">
        <f t="shared" si="20"/>
        <v>147.96178249907254</v>
      </c>
      <c r="S42" s="197">
        <f t="shared" si="21"/>
        <v>98.370691472570485</v>
      </c>
    </row>
    <row r="43" spans="1:21" ht="15" customHeight="1" x14ac:dyDescent="0.25">
      <c r="A43" s="499"/>
      <c r="B43" s="101" t="str">
        <f>Historische_Emissionen!A58</f>
        <v>EUE</v>
      </c>
      <c r="C43" s="260">
        <f>Historische_Emissionen!B58*$D$14/100*Historische_Emissionen!$K18</f>
        <v>387.48462535164873</v>
      </c>
      <c r="D43" s="260">
        <f>Historische_Emissionen!C58*$D$14/100*Historische_Emissionen!$K18</f>
        <v>396.26090127132261</v>
      </c>
      <c r="E43" s="260">
        <f>Historische_Emissionen!D58*$D$14/100*Historische_Emissionen!$K18</f>
        <v>526.15551164670569</v>
      </c>
      <c r="F43" s="260">
        <f>Historische_Emissionen!E58*$D$14/100*Historische_Emissionen!$K18</f>
        <v>504.99803038335375</v>
      </c>
      <c r="G43" s="260">
        <f>Historische_Emissionen!F58*$D$14/100*Historische_Emissionen!$K18</f>
        <v>448.46406631268923</v>
      </c>
      <c r="H43" s="260">
        <f>Historische_Emissionen!G58*$D$14/100*Historische_Emissionen!$K18</f>
        <v>460.92691765740415</v>
      </c>
      <c r="I43" s="260">
        <f>Historische_Emissionen!H58*$D$14/100*Historische_Emissionen!$K18</f>
        <v>475.03712953839567</v>
      </c>
      <c r="J43" s="260">
        <f>Historische_Emissionen!I58*$D$14/100*Historische_Emissionen!$K18</f>
        <v>449.64168408798503</v>
      </c>
      <c r="K43" s="261">
        <f>Historische_Emissionen!J58*$D$14/100*Historische_Emissionen!$K18</f>
        <v>447.86705292638766</v>
      </c>
      <c r="L43" s="191">
        <f t="shared" si="14"/>
        <v>432.28127948454932</v>
      </c>
      <c r="M43" s="191">
        <f t="shared" si="15"/>
        <v>393.31684587995358</v>
      </c>
      <c r="N43" s="191">
        <f t="shared" si="16"/>
        <v>344.051470058051</v>
      </c>
      <c r="O43" s="191">
        <f t="shared" si="17"/>
        <v>294.78609423614836</v>
      </c>
      <c r="P43" s="191">
        <f t="shared" si="18"/>
        <v>245.52071841424572</v>
      </c>
      <c r="Q43" s="191">
        <f t="shared" si="19"/>
        <v>196.25534259234308</v>
      </c>
      <c r="R43" s="191">
        <f t="shared" si="20"/>
        <v>146.98996677044045</v>
      </c>
      <c r="S43" s="197">
        <f t="shared" si="21"/>
        <v>97.724590948537809</v>
      </c>
    </row>
    <row r="44" spans="1:21" x14ac:dyDescent="0.25">
      <c r="A44" s="499"/>
      <c r="B44" s="101" t="str">
        <f>Historische_Emissionen!A59</f>
        <v>FRA</v>
      </c>
      <c r="C44" s="260">
        <f>Historische_Emissionen!B59*$D$14/100*Historische_Emissionen!$K19</f>
        <v>150.92896379368821</v>
      </c>
      <c r="D44" s="260">
        <f>Historische_Emissionen!C59*$D$14/100*Historische_Emissionen!$K19</f>
        <v>146.00231269034992</v>
      </c>
      <c r="E44" s="260">
        <f>Historische_Emissionen!D59*$D$14/100*Historische_Emissionen!$K19</f>
        <v>145.60649837803263</v>
      </c>
      <c r="F44" s="260">
        <f>Historische_Emissionen!E59*$D$14/100*Historische_Emissionen!$K19</f>
        <v>142.7262036589583</v>
      </c>
      <c r="G44" s="260">
        <f>Historische_Emissionen!F59*$D$14/100*Historische_Emissionen!$K19</f>
        <v>127.73578722259359</v>
      </c>
      <c r="H44" s="260">
        <f>Historische_Emissionen!G59*$D$14/100*Historische_Emissionen!$K19</f>
        <v>132.88491471020797</v>
      </c>
      <c r="I44" s="260">
        <f>Historische_Emissionen!H59*$D$14/100*Historische_Emissionen!$K19</f>
        <v>121.40055863110543</v>
      </c>
      <c r="J44" s="260">
        <f>Historische_Emissionen!I59*$D$14/100*Historische_Emissionen!$K19</f>
        <v>119.19069752915497</v>
      </c>
      <c r="K44" s="261">
        <f>Historische_Emissionen!J59*$D$14/100*Historische_Emissionen!$K19</f>
        <v>118.03028097309513</v>
      </c>
      <c r="L44" s="191">
        <f t="shared" si="14"/>
        <v>113.92282719523142</v>
      </c>
      <c r="M44" s="191">
        <f t="shared" si="15"/>
        <v>103.65419275057212</v>
      </c>
      <c r="N44" s="191">
        <f t="shared" si="16"/>
        <v>90.670861843531682</v>
      </c>
      <c r="O44" s="191">
        <f t="shared" si="17"/>
        <v>77.687530936491214</v>
      </c>
      <c r="P44" s="191">
        <f t="shared" si="18"/>
        <v>64.70420002945076</v>
      </c>
      <c r="Q44" s="191">
        <f t="shared" si="19"/>
        <v>51.720869122410292</v>
      </c>
      <c r="R44" s="191">
        <f t="shared" si="20"/>
        <v>38.737538215369831</v>
      </c>
      <c r="S44" s="197">
        <f t="shared" si="21"/>
        <v>25.754207308329363</v>
      </c>
    </row>
    <row r="45" spans="1:21" x14ac:dyDescent="0.25">
      <c r="A45" s="500"/>
      <c r="B45" s="213" t="str">
        <f>Historische_Emissionen!A60</f>
        <v>AUT</v>
      </c>
      <c r="C45" s="262">
        <f>Historische_Emissionen!B60*$D$14/100*Historische_Emissionen!$K20</f>
        <v>38.372924849910589</v>
      </c>
      <c r="D45" s="262">
        <f>Historische_Emissionen!C60*$D$14/100*Historische_Emissionen!$K20</f>
        <v>37.236008194836494</v>
      </c>
      <c r="E45" s="262">
        <f>Historische_Emissionen!D60*$D$14/100*Historische_Emissionen!$K20</f>
        <v>36.508047077657842</v>
      </c>
      <c r="F45" s="262">
        <f>Historische_Emissionen!E60*$D$14/100*Historische_Emissionen!$K20</f>
        <v>36.884857262198786</v>
      </c>
      <c r="G45" s="262">
        <f>Historische_Emissionen!F60*$D$14/100*Historische_Emissionen!$K20</f>
        <v>31.458722305850429</v>
      </c>
      <c r="H45" s="262">
        <f>Historische_Emissionen!G60*$D$14/100*Historische_Emissionen!$K20</f>
        <v>35.551920295937073</v>
      </c>
      <c r="I45" s="262">
        <f>Historische_Emissionen!H60*$D$14/100*Historische_Emissionen!$K20</f>
        <v>35.183642881981086</v>
      </c>
      <c r="J45" s="262">
        <f>Historische_Emissionen!I60*$D$14/100*Historische_Emissionen!$K20</f>
        <v>32.639842414956064</v>
      </c>
      <c r="K45" s="263">
        <f>Historische_Emissionen!J60*$D$14/100*Historische_Emissionen!$K20</f>
        <v>34.32278394917779</v>
      </c>
      <c r="L45" s="194">
        <f t="shared" si="14"/>
        <v>33.128351067746401</v>
      </c>
      <c r="M45" s="194">
        <f t="shared" si="15"/>
        <v>30.142268864167931</v>
      </c>
      <c r="N45" s="194">
        <f t="shared" si="16"/>
        <v>26.366762629758377</v>
      </c>
      <c r="O45" s="194">
        <f t="shared" si="17"/>
        <v>22.591256395348822</v>
      </c>
      <c r="P45" s="194">
        <f t="shared" si="18"/>
        <v>18.815750160939267</v>
      </c>
      <c r="Q45" s="194">
        <f t="shared" si="19"/>
        <v>15.040243926529708</v>
      </c>
      <c r="R45" s="194">
        <f t="shared" si="20"/>
        <v>11.264737692120152</v>
      </c>
      <c r="S45" s="198">
        <f t="shared" si="21"/>
        <v>7.4892314577105958</v>
      </c>
    </row>
    <row r="46" spans="1:21" x14ac:dyDescent="0.25">
      <c r="B46" s="101" t="s">
        <v>160</v>
      </c>
      <c r="C46" s="260">
        <f>Historische_Emissionen!B61*$D$14/100*Historische_Emissionen!$K21</f>
        <v>2315.8138262417824</v>
      </c>
      <c r="D46" s="260">
        <f>Historische_Emissionen!C61*$D$14/100*Historische_Emissionen!$K21</f>
        <v>2340.77881118081</v>
      </c>
      <c r="E46" s="260">
        <f>Historische_Emissionen!D61*$D$14/100*Historische_Emissionen!$K21</f>
        <v>2489.03992681113</v>
      </c>
      <c r="F46" s="260">
        <f>Historische_Emissionen!E61*$D$14/100*Historische_Emissionen!$K21</f>
        <v>2414.9708386337356</v>
      </c>
      <c r="G46" s="260">
        <f>Historische_Emissionen!F61*$D$14/100*Historische_Emissionen!$K21</f>
        <v>2139.0933485764463</v>
      </c>
      <c r="H46" s="260">
        <f>Historische_Emissionen!G61*$D$14/100*Historische_Emissionen!$K21</f>
        <v>2207.1223539488306</v>
      </c>
      <c r="I46" s="260">
        <f>Historische_Emissionen!H61*$D$14/100*Historische_Emissionen!$K21</f>
        <v>2167.72713051459</v>
      </c>
      <c r="J46" s="260">
        <f>Historische_Emissionen!I61*$D$14/100*Historische_Emissionen!$K21</f>
        <v>2125.5106024248903</v>
      </c>
      <c r="K46" s="264">
        <f>Historische_Emissionen!J61*$D$14/100*Historische_Emissionen!$K21</f>
        <v>2149.4252873563219</v>
      </c>
      <c r="L46" s="191">
        <f t="shared" si="14"/>
        <v>2074.6252873563217</v>
      </c>
      <c r="M46" s="191">
        <f t="shared" si="15"/>
        <v>1887.6252873563217</v>
      </c>
      <c r="N46" s="191">
        <f t="shared" si="16"/>
        <v>1651.1885057471263</v>
      </c>
      <c r="O46" s="191">
        <f t="shared" si="17"/>
        <v>1414.751724137931</v>
      </c>
      <c r="P46" s="191">
        <f t="shared" si="18"/>
        <v>1178.3149425287356</v>
      </c>
      <c r="Q46" s="191">
        <f t="shared" si="19"/>
        <v>941.87816091954028</v>
      </c>
      <c r="R46" s="191">
        <f t="shared" si="20"/>
        <v>705.44137931034493</v>
      </c>
      <c r="S46" s="208">
        <f>$K46*K$26</f>
        <v>469.00459770114958</v>
      </c>
      <c r="T46" s="207">
        <f>1-(S46/C46)</f>
        <v>0.79747741705892072</v>
      </c>
      <c r="U46" s="207"/>
    </row>
    <row r="47" spans="1:21" x14ac:dyDescent="0.25">
      <c r="B47" s="214" t="s">
        <v>161</v>
      </c>
      <c r="C47" s="210">
        <f>SUM(C40:C45)-C46</f>
        <v>0</v>
      </c>
      <c r="D47" s="210">
        <f t="shared" ref="D47:K47" si="22">SUM(D40:D45)-D46</f>
        <v>0</v>
      </c>
      <c r="E47" s="210">
        <f t="shared" si="22"/>
        <v>0</v>
      </c>
      <c r="F47" s="210">
        <f t="shared" si="22"/>
        <v>0</v>
      </c>
      <c r="G47" s="210">
        <f t="shared" si="22"/>
        <v>0</v>
      </c>
      <c r="H47" s="210">
        <f t="shared" si="22"/>
        <v>0</v>
      </c>
      <c r="I47" s="210">
        <f t="shared" si="22"/>
        <v>0</v>
      </c>
      <c r="J47" s="210">
        <f t="shared" si="22"/>
        <v>0</v>
      </c>
      <c r="K47" s="210">
        <f t="shared" si="22"/>
        <v>0</v>
      </c>
      <c r="L47" s="210">
        <f t="shared" ref="L47" si="23">SUM(L40:L45)-L46</f>
        <v>0</v>
      </c>
      <c r="M47" s="210">
        <f t="shared" ref="M47" si="24">SUM(M40:M45)-M46</f>
        <v>0</v>
      </c>
      <c r="N47" s="210">
        <f t="shared" ref="N47" si="25">SUM(N40:N45)-N46</f>
        <v>0</v>
      </c>
      <c r="O47" s="210">
        <f t="shared" ref="O47" si="26">SUM(O40:O45)-O46</f>
        <v>0</v>
      </c>
      <c r="P47" s="210">
        <f t="shared" ref="P47" si="27">SUM(P40:P45)-P46</f>
        <v>0</v>
      </c>
      <c r="Q47" s="210">
        <f t="shared" ref="Q47" si="28">SUM(Q40:Q45)-Q46</f>
        <v>0</v>
      </c>
      <c r="R47" s="210">
        <f t="shared" ref="R47" si="29">SUM(R40:R45)-R46</f>
        <v>0</v>
      </c>
      <c r="S47" s="210">
        <f t="shared" ref="S47" si="30">SUM(S40:S45)-S46</f>
        <v>0</v>
      </c>
    </row>
    <row r="49" spans="1:20" x14ac:dyDescent="0.25">
      <c r="B49" s="213" t="str">
        <f t="shared" ref="B49:S49" si="31">B39</f>
        <v/>
      </c>
      <c r="C49" s="258">
        <f t="shared" si="31"/>
        <v>2005</v>
      </c>
      <c r="D49" s="258">
        <f t="shared" si="31"/>
        <v>2006</v>
      </c>
      <c r="E49" s="258">
        <f t="shared" si="31"/>
        <v>2007</v>
      </c>
      <c r="F49" s="258">
        <f t="shared" si="31"/>
        <v>2008</v>
      </c>
      <c r="G49" s="258">
        <f t="shared" si="31"/>
        <v>2009</v>
      </c>
      <c r="H49" s="258">
        <f t="shared" si="31"/>
        <v>2010</v>
      </c>
      <c r="I49" s="258">
        <f t="shared" si="31"/>
        <v>2011</v>
      </c>
      <c r="J49" s="258">
        <f t="shared" si="31"/>
        <v>2012</v>
      </c>
      <c r="K49" s="259">
        <f t="shared" si="31"/>
        <v>2013</v>
      </c>
      <c r="L49" s="211">
        <f t="shared" si="31"/>
        <v>2015</v>
      </c>
      <c r="M49" s="211">
        <f t="shared" si="31"/>
        <v>2020</v>
      </c>
      <c r="N49" s="211">
        <f t="shared" si="31"/>
        <v>2025</v>
      </c>
      <c r="O49" s="211">
        <f t="shared" si="31"/>
        <v>2030</v>
      </c>
      <c r="P49" s="211">
        <f t="shared" si="31"/>
        <v>2035</v>
      </c>
      <c r="Q49" s="211">
        <f t="shared" si="31"/>
        <v>2040</v>
      </c>
      <c r="R49" s="211">
        <f t="shared" si="31"/>
        <v>2045</v>
      </c>
      <c r="S49" s="212">
        <f t="shared" si="31"/>
        <v>2050</v>
      </c>
    </row>
    <row r="50" spans="1:20" x14ac:dyDescent="0.25">
      <c r="A50" s="519" t="str">
        <f>A21</f>
        <v>Szenario 1 - Status Quo</v>
      </c>
      <c r="B50" s="101" t="str">
        <f t="shared" ref="B50:K50" si="32">B40</f>
        <v>EUN</v>
      </c>
      <c r="C50" s="260">
        <f t="shared" si="32"/>
        <v>579.86224147049427</v>
      </c>
      <c r="D50" s="260">
        <f t="shared" si="32"/>
        <v>606.45967730610323</v>
      </c>
      <c r="E50" s="260">
        <f t="shared" si="32"/>
        <v>607.36809255091248</v>
      </c>
      <c r="F50" s="260">
        <f t="shared" si="32"/>
        <v>611.3476521118854</v>
      </c>
      <c r="G50" s="260">
        <f t="shared" si="32"/>
        <v>545.62879232937451</v>
      </c>
      <c r="H50" s="260">
        <f t="shared" si="32"/>
        <v>580.85919585198997</v>
      </c>
      <c r="I50" s="260">
        <f t="shared" si="32"/>
        <v>534.20680446777214</v>
      </c>
      <c r="J50" s="260">
        <f t="shared" si="32"/>
        <v>525.96225893810504</v>
      </c>
      <c r="K50" s="261">
        <f t="shared" si="32"/>
        <v>545.3894217262324</v>
      </c>
      <c r="L50" s="191">
        <f>$K50*D$22</f>
        <v>526.40986985015945</v>
      </c>
      <c r="M50" s="191">
        <f t="shared" ref="M50:S50" si="33">$K50*E$22</f>
        <v>478.9609901599772</v>
      </c>
      <c r="N50" s="191">
        <f t="shared" si="33"/>
        <v>431.512110469795</v>
      </c>
      <c r="O50" s="191">
        <f t="shared" si="33"/>
        <v>384.06323077961281</v>
      </c>
      <c r="P50" s="191">
        <f t="shared" si="33"/>
        <v>336.61435108943061</v>
      </c>
      <c r="Q50" s="191">
        <f t="shared" si="33"/>
        <v>289.16547139924836</v>
      </c>
      <c r="R50" s="191">
        <f t="shared" si="33"/>
        <v>241.71659170906617</v>
      </c>
      <c r="S50" s="197">
        <f t="shared" si="33"/>
        <v>194.26771201888394</v>
      </c>
    </row>
    <row r="51" spans="1:20" x14ac:dyDescent="0.25">
      <c r="A51" s="520"/>
      <c r="B51" s="101" t="str">
        <f t="shared" ref="B51:K51" si="34">B41</f>
        <v>DEU</v>
      </c>
      <c r="C51" s="260">
        <f t="shared" si="34"/>
        <v>546.22096269860219</v>
      </c>
      <c r="D51" s="260">
        <f t="shared" si="34"/>
        <v>549.69723367164204</v>
      </c>
      <c r="E51" s="260">
        <f t="shared" si="34"/>
        <v>560.13014567809898</v>
      </c>
      <c r="F51" s="260">
        <f t="shared" si="34"/>
        <v>543.69367011289876</v>
      </c>
      <c r="G51" s="260">
        <f t="shared" si="34"/>
        <v>492.45906594314727</v>
      </c>
      <c r="H51" s="260">
        <f t="shared" si="34"/>
        <v>523.0097386450791</v>
      </c>
      <c r="I51" s="260">
        <f t="shared" si="34"/>
        <v>517.79951693400949</v>
      </c>
      <c r="J51" s="260">
        <f t="shared" si="34"/>
        <v>520.38963536323286</v>
      </c>
      <c r="K51" s="261">
        <f t="shared" si="34"/>
        <v>552.98764754050126</v>
      </c>
      <c r="L51" s="191">
        <f t="shared" ref="L51:L56" si="35">$K51*D$22</f>
        <v>533.74367740609182</v>
      </c>
      <c r="M51" s="191">
        <f t="shared" ref="M51:M56" si="36">$K51*E$22</f>
        <v>485.63375207006811</v>
      </c>
      <c r="N51" s="191">
        <f t="shared" ref="N51:N56" si="37">$K51*F$22</f>
        <v>437.52382673404452</v>
      </c>
      <c r="O51" s="191">
        <f t="shared" ref="O51:O56" si="38">$K51*G$22</f>
        <v>389.41390139802093</v>
      </c>
      <c r="P51" s="191">
        <f t="shared" ref="P51:P56" si="39">$K51*H$22</f>
        <v>341.30397606199733</v>
      </c>
      <c r="Q51" s="191">
        <f t="shared" ref="Q51:Q56" si="40">$K51*I$22</f>
        <v>293.19405072597368</v>
      </c>
      <c r="R51" s="191">
        <f t="shared" ref="R51:R56" si="41">$K51*J$22</f>
        <v>245.08412538995012</v>
      </c>
      <c r="S51" s="197">
        <f t="shared" ref="S51:S55" si="42">$K51*K$22</f>
        <v>196.9742000539265</v>
      </c>
    </row>
    <row r="52" spans="1:20" x14ac:dyDescent="0.25">
      <c r="A52" s="520"/>
      <c r="B52" s="101" t="str">
        <f t="shared" ref="B52:K52" si="43">B42</f>
        <v>EUS</v>
      </c>
      <c r="C52" s="260">
        <f t="shared" si="43"/>
        <v>612.94410807743816</v>
      </c>
      <c r="D52" s="260">
        <f t="shared" si="43"/>
        <v>605.12267804655551</v>
      </c>
      <c r="E52" s="260">
        <f t="shared" si="43"/>
        <v>613.27163147972306</v>
      </c>
      <c r="F52" s="260">
        <f t="shared" si="43"/>
        <v>575.32042510444069</v>
      </c>
      <c r="G52" s="260">
        <f t="shared" si="43"/>
        <v>493.34691446279089</v>
      </c>
      <c r="H52" s="260">
        <f t="shared" si="43"/>
        <v>473.88966678821231</v>
      </c>
      <c r="I52" s="260">
        <f t="shared" si="43"/>
        <v>484.09947806132624</v>
      </c>
      <c r="J52" s="260">
        <f t="shared" si="43"/>
        <v>477.68648409145612</v>
      </c>
      <c r="K52" s="261">
        <f t="shared" si="43"/>
        <v>450.82810024092788</v>
      </c>
      <c r="L52" s="191">
        <f t="shared" si="35"/>
        <v>435.13928235254355</v>
      </c>
      <c r="M52" s="191">
        <f t="shared" si="36"/>
        <v>395.91723763158279</v>
      </c>
      <c r="N52" s="191">
        <f t="shared" si="37"/>
        <v>356.6951929106221</v>
      </c>
      <c r="O52" s="191">
        <f t="shared" si="38"/>
        <v>317.4731481896614</v>
      </c>
      <c r="P52" s="191">
        <f t="shared" si="39"/>
        <v>278.25110346870065</v>
      </c>
      <c r="Q52" s="191">
        <f t="shared" si="40"/>
        <v>239.02905874773992</v>
      </c>
      <c r="R52" s="191">
        <f t="shared" si="41"/>
        <v>199.8070140267792</v>
      </c>
      <c r="S52" s="197">
        <f t="shared" si="42"/>
        <v>160.58496930581848</v>
      </c>
    </row>
    <row r="53" spans="1:20" x14ac:dyDescent="0.25">
      <c r="A53" s="520"/>
      <c r="B53" s="101" t="str">
        <f t="shared" ref="B53:K53" si="44">B43</f>
        <v>EUE</v>
      </c>
      <c r="C53" s="260">
        <f t="shared" si="44"/>
        <v>387.48462535164873</v>
      </c>
      <c r="D53" s="260">
        <f t="shared" si="44"/>
        <v>396.26090127132261</v>
      </c>
      <c r="E53" s="260">
        <f t="shared" si="44"/>
        <v>526.15551164670569</v>
      </c>
      <c r="F53" s="260">
        <f t="shared" si="44"/>
        <v>504.99803038335375</v>
      </c>
      <c r="G53" s="260">
        <f t="shared" si="44"/>
        <v>448.46406631268923</v>
      </c>
      <c r="H53" s="260">
        <f t="shared" si="44"/>
        <v>460.92691765740415</v>
      </c>
      <c r="I53" s="260">
        <f t="shared" si="44"/>
        <v>475.03712953839567</v>
      </c>
      <c r="J53" s="260">
        <f t="shared" si="44"/>
        <v>449.64168408798503</v>
      </c>
      <c r="K53" s="261">
        <f t="shared" si="44"/>
        <v>447.86705292638766</v>
      </c>
      <c r="L53" s="191">
        <f t="shared" si="35"/>
        <v>432.28127948454932</v>
      </c>
      <c r="M53" s="191">
        <f t="shared" si="36"/>
        <v>393.31684587995358</v>
      </c>
      <c r="N53" s="191">
        <f t="shared" si="37"/>
        <v>354.35241227535789</v>
      </c>
      <c r="O53" s="191">
        <f t="shared" si="38"/>
        <v>315.38797867076215</v>
      </c>
      <c r="P53" s="191">
        <f t="shared" si="39"/>
        <v>276.42354506616647</v>
      </c>
      <c r="Q53" s="191">
        <f t="shared" si="40"/>
        <v>237.4591114615707</v>
      </c>
      <c r="R53" s="191">
        <f t="shared" si="41"/>
        <v>198.49467785697499</v>
      </c>
      <c r="S53" s="197">
        <f t="shared" si="42"/>
        <v>159.53024425237925</v>
      </c>
    </row>
    <row r="54" spans="1:20" x14ac:dyDescent="0.25">
      <c r="A54" s="520"/>
      <c r="B54" s="101" t="str">
        <f t="shared" ref="B54:K54" si="45">B44</f>
        <v>FRA</v>
      </c>
      <c r="C54" s="260">
        <f t="shared" si="45"/>
        <v>150.92896379368821</v>
      </c>
      <c r="D54" s="260">
        <f t="shared" si="45"/>
        <v>146.00231269034992</v>
      </c>
      <c r="E54" s="260">
        <f t="shared" si="45"/>
        <v>145.60649837803263</v>
      </c>
      <c r="F54" s="260">
        <f t="shared" si="45"/>
        <v>142.7262036589583</v>
      </c>
      <c r="G54" s="260">
        <f t="shared" si="45"/>
        <v>127.73578722259359</v>
      </c>
      <c r="H54" s="260">
        <f t="shared" si="45"/>
        <v>132.88491471020797</v>
      </c>
      <c r="I54" s="260">
        <f t="shared" si="45"/>
        <v>121.40055863110543</v>
      </c>
      <c r="J54" s="260">
        <f t="shared" si="45"/>
        <v>119.19069752915497</v>
      </c>
      <c r="K54" s="261">
        <f t="shared" si="45"/>
        <v>118.03028097309513</v>
      </c>
      <c r="L54" s="191">
        <f t="shared" si="35"/>
        <v>113.92282719523142</v>
      </c>
      <c r="M54" s="191">
        <f t="shared" si="36"/>
        <v>103.65419275057212</v>
      </c>
      <c r="N54" s="191">
        <f t="shared" si="37"/>
        <v>93.385558305912852</v>
      </c>
      <c r="O54" s="191">
        <f t="shared" si="38"/>
        <v>83.116923861253582</v>
      </c>
      <c r="P54" s="191">
        <f t="shared" si="39"/>
        <v>72.848289416594312</v>
      </c>
      <c r="Q54" s="191">
        <f t="shared" si="40"/>
        <v>62.579654971935028</v>
      </c>
      <c r="R54" s="191">
        <f t="shared" si="41"/>
        <v>52.311020527275751</v>
      </c>
      <c r="S54" s="197">
        <f t="shared" si="42"/>
        <v>42.042386082616474</v>
      </c>
    </row>
    <row r="55" spans="1:20" x14ac:dyDescent="0.25">
      <c r="A55" s="521"/>
      <c r="B55" s="213" t="str">
        <f t="shared" ref="B55:K55" si="46">B45</f>
        <v>AUT</v>
      </c>
      <c r="C55" s="262">
        <f t="shared" si="46"/>
        <v>38.372924849910589</v>
      </c>
      <c r="D55" s="262">
        <f t="shared" si="46"/>
        <v>37.236008194836494</v>
      </c>
      <c r="E55" s="262">
        <f t="shared" si="46"/>
        <v>36.508047077657842</v>
      </c>
      <c r="F55" s="262">
        <f t="shared" si="46"/>
        <v>36.884857262198786</v>
      </c>
      <c r="G55" s="262">
        <f t="shared" si="46"/>
        <v>31.458722305850429</v>
      </c>
      <c r="H55" s="262">
        <f t="shared" si="46"/>
        <v>35.551920295937073</v>
      </c>
      <c r="I55" s="262">
        <f t="shared" si="46"/>
        <v>35.183642881981086</v>
      </c>
      <c r="J55" s="262">
        <f t="shared" si="46"/>
        <v>32.639842414956064</v>
      </c>
      <c r="K55" s="263">
        <f t="shared" si="46"/>
        <v>34.32278394917779</v>
      </c>
      <c r="L55" s="194">
        <f t="shared" si="35"/>
        <v>33.128351067746401</v>
      </c>
      <c r="M55" s="194">
        <f t="shared" si="36"/>
        <v>30.142268864167931</v>
      </c>
      <c r="N55" s="194">
        <f t="shared" si="37"/>
        <v>27.156186660589466</v>
      </c>
      <c r="O55" s="194">
        <f t="shared" si="38"/>
        <v>24.170104457010996</v>
      </c>
      <c r="P55" s="194">
        <f t="shared" si="39"/>
        <v>21.184022253432531</v>
      </c>
      <c r="Q55" s="194">
        <f t="shared" si="40"/>
        <v>18.197940049854061</v>
      </c>
      <c r="R55" s="194">
        <f t="shared" si="41"/>
        <v>15.211857846275594</v>
      </c>
      <c r="S55" s="198">
        <f t="shared" si="42"/>
        <v>12.225775642697126</v>
      </c>
    </row>
    <row r="56" spans="1:20" x14ac:dyDescent="0.25">
      <c r="B56" s="101" t="str">
        <f t="shared" ref="B56:K56" si="47">B46</f>
        <v>EU</v>
      </c>
      <c r="C56" s="260">
        <f t="shared" si="47"/>
        <v>2315.8138262417824</v>
      </c>
      <c r="D56" s="260">
        <f t="shared" si="47"/>
        <v>2340.77881118081</v>
      </c>
      <c r="E56" s="260">
        <f t="shared" si="47"/>
        <v>2489.03992681113</v>
      </c>
      <c r="F56" s="260">
        <f t="shared" si="47"/>
        <v>2414.9708386337356</v>
      </c>
      <c r="G56" s="260">
        <f t="shared" si="47"/>
        <v>2139.0933485764463</v>
      </c>
      <c r="H56" s="260">
        <f t="shared" si="47"/>
        <v>2207.1223539488306</v>
      </c>
      <c r="I56" s="260">
        <f t="shared" si="47"/>
        <v>2167.72713051459</v>
      </c>
      <c r="J56" s="260">
        <f t="shared" si="47"/>
        <v>2125.5106024248903</v>
      </c>
      <c r="K56" s="264">
        <f t="shared" si="47"/>
        <v>2149.4252873563219</v>
      </c>
      <c r="L56" s="191">
        <f t="shared" si="35"/>
        <v>2074.6252873563217</v>
      </c>
      <c r="M56" s="191">
        <f t="shared" si="36"/>
        <v>1887.6252873563217</v>
      </c>
      <c r="N56" s="191">
        <f t="shared" si="37"/>
        <v>1700.6252873563217</v>
      </c>
      <c r="O56" s="191">
        <f t="shared" si="38"/>
        <v>1513.6252873563217</v>
      </c>
      <c r="P56" s="191">
        <f t="shared" si="39"/>
        <v>1326.6252873563217</v>
      </c>
      <c r="Q56" s="191">
        <f t="shared" si="40"/>
        <v>1139.6252873563217</v>
      </c>
      <c r="R56" s="191">
        <f t="shared" si="41"/>
        <v>952.62528735632168</v>
      </c>
      <c r="S56" s="208">
        <f>$K56*K$22</f>
        <v>765.62528735632168</v>
      </c>
      <c r="T56" s="207">
        <f>1-(S56/C56)</f>
        <v>0.66939255708701917</v>
      </c>
    </row>
    <row r="57" spans="1:20" x14ac:dyDescent="0.25">
      <c r="B57" s="214"/>
      <c r="C57" s="210"/>
      <c r="D57" s="210"/>
      <c r="E57" s="210"/>
      <c r="F57" s="210"/>
      <c r="G57" s="210"/>
      <c r="H57" s="210"/>
      <c r="I57" s="210"/>
      <c r="J57" s="210"/>
      <c r="K57" s="210"/>
      <c r="L57" s="210"/>
      <c r="M57" s="210"/>
      <c r="N57" s="210"/>
      <c r="O57" s="210"/>
      <c r="P57" s="210"/>
      <c r="Q57" s="210"/>
      <c r="R57" s="210"/>
      <c r="S57" s="210"/>
    </row>
    <row r="59" spans="1:20" x14ac:dyDescent="0.25">
      <c r="B59" s="213" t="str">
        <f>B39</f>
        <v/>
      </c>
      <c r="C59" s="258">
        <f t="shared" ref="C59:S59" si="48">C39</f>
        <v>2005</v>
      </c>
      <c r="D59" s="258">
        <f t="shared" si="48"/>
        <v>2006</v>
      </c>
      <c r="E59" s="258">
        <f t="shared" si="48"/>
        <v>2007</v>
      </c>
      <c r="F59" s="258">
        <f t="shared" si="48"/>
        <v>2008</v>
      </c>
      <c r="G59" s="258">
        <f t="shared" si="48"/>
        <v>2009</v>
      </c>
      <c r="H59" s="258">
        <f t="shared" si="48"/>
        <v>2010</v>
      </c>
      <c r="I59" s="258">
        <f t="shared" si="48"/>
        <v>2011</v>
      </c>
      <c r="J59" s="258">
        <f t="shared" si="48"/>
        <v>2012</v>
      </c>
      <c r="K59" s="259">
        <f t="shared" si="48"/>
        <v>2013</v>
      </c>
      <c r="L59" s="211">
        <f t="shared" si="48"/>
        <v>2015</v>
      </c>
      <c r="M59" s="211">
        <f t="shared" si="48"/>
        <v>2020</v>
      </c>
      <c r="N59" s="211">
        <f t="shared" si="48"/>
        <v>2025</v>
      </c>
      <c r="O59" s="211">
        <f t="shared" si="48"/>
        <v>2030</v>
      </c>
      <c r="P59" s="211">
        <f t="shared" si="48"/>
        <v>2035</v>
      </c>
      <c r="Q59" s="211">
        <f t="shared" si="48"/>
        <v>2040</v>
      </c>
      <c r="R59" s="211">
        <f t="shared" si="48"/>
        <v>2045</v>
      </c>
      <c r="S59" s="212">
        <f t="shared" si="48"/>
        <v>2050</v>
      </c>
    </row>
    <row r="60" spans="1:20" ht="15" customHeight="1" x14ac:dyDescent="0.25">
      <c r="A60" s="501" t="s">
        <v>171</v>
      </c>
      <c r="B60" s="101" t="str">
        <f t="shared" ref="B60" si="49">B40</f>
        <v>EUN</v>
      </c>
      <c r="C60" s="260">
        <f>Historische_Emissionen!B55*$D$14/100*Historische_Emissionen!$K15</f>
        <v>579.86224147049427</v>
      </c>
      <c r="D60" s="260">
        <f>Historische_Emissionen!C55*$D$14/100*Historische_Emissionen!$K15</f>
        <v>606.45967730610323</v>
      </c>
      <c r="E60" s="260">
        <f>Historische_Emissionen!D55*$D$14/100*Historische_Emissionen!$K15</f>
        <v>607.36809255091248</v>
      </c>
      <c r="F60" s="260">
        <f>Historische_Emissionen!E55*$D$14/100*Historische_Emissionen!$K15</f>
        <v>611.3476521118854</v>
      </c>
      <c r="G60" s="260">
        <f>Historische_Emissionen!F55*$D$14/100*Historische_Emissionen!$K15</f>
        <v>545.62879232937451</v>
      </c>
      <c r="H60" s="260">
        <f>Historische_Emissionen!G55*$D$14/100*Historische_Emissionen!$K15</f>
        <v>580.85919585198997</v>
      </c>
      <c r="I60" s="260">
        <f>Historische_Emissionen!H55*$D$14/100*Historische_Emissionen!$K15</f>
        <v>534.20680446777214</v>
      </c>
      <c r="J60" s="260">
        <f>Historische_Emissionen!I55*$D$14/100*Historische_Emissionen!$K15</f>
        <v>525.96225893810504</v>
      </c>
      <c r="K60" s="261">
        <f>Historische_Emissionen!J55*$D$14/100*Historische_Emissionen!$K15</f>
        <v>545.3894217262324</v>
      </c>
      <c r="L60" s="191">
        <f t="shared" ref="L60:L66" si="50">$K40*D$30</f>
        <v>526.40986985015945</v>
      </c>
      <c r="M60" s="191">
        <f t="shared" ref="M60:S60" si="51">$K40*E$30</f>
        <v>348.0325306940199</v>
      </c>
      <c r="N60" s="191">
        <f t="shared" si="51"/>
        <v>304.13597354748765</v>
      </c>
      <c r="O60" s="191">
        <f t="shared" si="51"/>
        <v>260.23941640095546</v>
      </c>
      <c r="P60" s="191">
        <f t="shared" si="51"/>
        <v>216.34285925442327</v>
      </c>
      <c r="Q60" s="191">
        <f t="shared" si="51"/>
        <v>172.44630210789103</v>
      </c>
      <c r="R60" s="191">
        <f t="shared" si="51"/>
        <v>128.54974496135884</v>
      </c>
      <c r="S60" s="197">
        <f t="shared" si="51"/>
        <v>84.653187814826609</v>
      </c>
    </row>
    <row r="61" spans="1:20" x14ac:dyDescent="0.25">
      <c r="A61" s="502"/>
      <c r="B61" s="101" t="str">
        <f t="shared" ref="B61" si="52">B41</f>
        <v>DEU</v>
      </c>
      <c r="C61" s="260">
        <f>Historische_Emissionen!B56*$D$14/100*Historische_Emissionen!$K16</f>
        <v>546.22096269860219</v>
      </c>
      <c r="D61" s="260">
        <f>Historische_Emissionen!C56*$D$14/100*Historische_Emissionen!$K16</f>
        <v>549.69723367164204</v>
      </c>
      <c r="E61" s="260">
        <f>Historische_Emissionen!D56*$D$14/100*Historische_Emissionen!$K16</f>
        <v>560.13014567809898</v>
      </c>
      <c r="F61" s="260">
        <f>Historische_Emissionen!E56*$D$14/100*Historische_Emissionen!$K16</f>
        <v>543.69367011289876</v>
      </c>
      <c r="G61" s="260">
        <f>Historische_Emissionen!F56*$D$14/100*Historische_Emissionen!$K16</f>
        <v>492.45906594314727</v>
      </c>
      <c r="H61" s="260">
        <f>Historische_Emissionen!G56*$D$14/100*Historische_Emissionen!$K16</f>
        <v>523.0097386450791</v>
      </c>
      <c r="I61" s="260">
        <f>Historische_Emissionen!H56*$D$14/100*Historische_Emissionen!$K16</f>
        <v>517.79951693400949</v>
      </c>
      <c r="J61" s="260">
        <f>Historische_Emissionen!I56*$D$14/100*Historische_Emissionen!$K16</f>
        <v>520.38963536323286</v>
      </c>
      <c r="K61" s="261">
        <f>Historische_Emissionen!J56*$D$14/100*Historische_Emissionen!$K16</f>
        <v>552.98764754050126</v>
      </c>
      <c r="L61" s="191">
        <f t="shared" si="50"/>
        <v>533.74367740609182</v>
      </c>
      <c r="M61" s="191">
        <f t="shared" ref="M61:S66" si="53">$K41*E$30</f>
        <v>352.88123082200303</v>
      </c>
      <c r="N61" s="191">
        <f t="shared" si="53"/>
        <v>308.37311807798113</v>
      </c>
      <c r="O61" s="191">
        <f t="shared" si="53"/>
        <v>263.86500533395935</v>
      </c>
      <c r="P61" s="191">
        <f t="shared" si="53"/>
        <v>219.3568925899375</v>
      </c>
      <c r="Q61" s="191">
        <f t="shared" si="53"/>
        <v>174.84877984591563</v>
      </c>
      <c r="R61" s="191">
        <f t="shared" si="53"/>
        <v>130.34066710189379</v>
      </c>
      <c r="S61" s="197">
        <f t="shared" si="53"/>
        <v>85.832554357871956</v>
      </c>
    </row>
    <row r="62" spans="1:20" x14ac:dyDescent="0.25">
      <c r="A62" s="502"/>
      <c r="B62" s="101" t="str">
        <f t="shared" ref="B62" si="54">B42</f>
        <v>EUS</v>
      </c>
      <c r="C62" s="260">
        <f>Historische_Emissionen!B57*$D$14/100*Historische_Emissionen!$K17</f>
        <v>612.94410807743816</v>
      </c>
      <c r="D62" s="260">
        <f>Historische_Emissionen!C57*$D$14/100*Historische_Emissionen!$K17</f>
        <v>605.12267804655551</v>
      </c>
      <c r="E62" s="260">
        <f>Historische_Emissionen!D57*$D$14/100*Historische_Emissionen!$K17</f>
        <v>613.27163147972306</v>
      </c>
      <c r="F62" s="260">
        <f>Historische_Emissionen!E57*$D$14/100*Historische_Emissionen!$K17</f>
        <v>575.32042510444069</v>
      </c>
      <c r="G62" s="260">
        <f>Historische_Emissionen!F57*$D$14/100*Historische_Emissionen!$K17</f>
        <v>493.34691446279089</v>
      </c>
      <c r="H62" s="260">
        <f>Historische_Emissionen!G57*$D$14/100*Historische_Emissionen!$K17</f>
        <v>473.88966678821231</v>
      </c>
      <c r="I62" s="260">
        <f>Historische_Emissionen!H57*$D$14/100*Historische_Emissionen!$K17</f>
        <v>484.09947806132624</v>
      </c>
      <c r="J62" s="260">
        <f>Historische_Emissionen!I57*$D$14/100*Historische_Emissionen!$K17</f>
        <v>477.68648409145612</v>
      </c>
      <c r="K62" s="261">
        <f>Historische_Emissionen!J57*$D$14/100*Historische_Emissionen!$K17</f>
        <v>450.82810024092788</v>
      </c>
      <c r="L62" s="191">
        <f t="shared" si="50"/>
        <v>435.13928235254355</v>
      </c>
      <c r="M62" s="191">
        <f t="shared" si="53"/>
        <v>287.68956342829011</v>
      </c>
      <c r="N62" s="191">
        <f t="shared" si="53"/>
        <v>251.403928472535</v>
      </c>
      <c r="O62" s="191">
        <f t="shared" si="53"/>
        <v>215.11829351677991</v>
      </c>
      <c r="P62" s="191">
        <f t="shared" si="53"/>
        <v>178.8326585610248</v>
      </c>
      <c r="Q62" s="191">
        <f t="shared" si="53"/>
        <v>142.54702360526969</v>
      </c>
      <c r="R62" s="191">
        <f t="shared" si="53"/>
        <v>106.26138864951457</v>
      </c>
      <c r="S62" s="197">
        <f t="shared" si="53"/>
        <v>69.975753693759472</v>
      </c>
    </row>
    <row r="63" spans="1:20" x14ac:dyDescent="0.25">
      <c r="A63" s="502"/>
      <c r="B63" s="101" t="str">
        <f t="shared" ref="B63" si="55">B43</f>
        <v>EUE</v>
      </c>
      <c r="C63" s="260">
        <f>Historische_Emissionen!B58*$D$14/100*Historische_Emissionen!$K18</f>
        <v>387.48462535164873</v>
      </c>
      <c r="D63" s="260">
        <f>Historische_Emissionen!C58*$D$14/100*Historische_Emissionen!$K18</f>
        <v>396.26090127132261</v>
      </c>
      <c r="E63" s="260">
        <f>Historische_Emissionen!D58*$D$14/100*Historische_Emissionen!$K18</f>
        <v>526.15551164670569</v>
      </c>
      <c r="F63" s="260">
        <f>Historische_Emissionen!E58*$D$14/100*Historische_Emissionen!$K18</f>
        <v>504.99803038335375</v>
      </c>
      <c r="G63" s="260">
        <f>Historische_Emissionen!F58*$D$14/100*Historische_Emissionen!$K18</f>
        <v>448.46406631268923</v>
      </c>
      <c r="H63" s="260">
        <f>Historische_Emissionen!G58*$D$14/100*Historische_Emissionen!$K18</f>
        <v>460.92691765740415</v>
      </c>
      <c r="I63" s="260">
        <f>Historische_Emissionen!H58*$D$14/100*Historische_Emissionen!$K18</f>
        <v>475.03712953839567</v>
      </c>
      <c r="J63" s="260">
        <f>Historische_Emissionen!I58*$D$14/100*Historische_Emissionen!$K18</f>
        <v>449.64168408798503</v>
      </c>
      <c r="K63" s="261">
        <f>Historische_Emissionen!J58*$D$14/100*Historische_Emissionen!$K18</f>
        <v>447.86705292638766</v>
      </c>
      <c r="L63" s="191">
        <f t="shared" si="50"/>
        <v>432.28127948454932</v>
      </c>
      <c r="M63" s="191">
        <f t="shared" si="53"/>
        <v>285.800013045882</v>
      </c>
      <c r="N63" s="191">
        <f t="shared" si="53"/>
        <v>249.75270281275328</v>
      </c>
      <c r="O63" s="191">
        <f t="shared" si="53"/>
        <v>213.70539257962463</v>
      </c>
      <c r="P63" s="191">
        <f t="shared" si="53"/>
        <v>177.65808234649597</v>
      </c>
      <c r="Q63" s="191">
        <f t="shared" si="53"/>
        <v>141.61077211336732</v>
      </c>
      <c r="R63" s="191">
        <f t="shared" si="53"/>
        <v>105.56346188023863</v>
      </c>
      <c r="S63" s="197">
        <f t="shared" si="53"/>
        <v>69.516151647109979</v>
      </c>
    </row>
    <row r="64" spans="1:20" x14ac:dyDescent="0.25">
      <c r="A64" s="502"/>
      <c r="B64" s="101" t="str">
        <f t="shared" ref="B64" si="56">B44</f>
        <v>FRA</v>
      </c>
      <c r="C64" s="260">
        <f>Historische_Emissionen!B59*$D$14/100*Historische_Emissionen!$K19</f>
        <v>150.92896379368821</v>
      </c>
      <c r="D64" s="260">
        <f>Historische_Emissionen!C59*$D$14/100*Historische_Emissionen!$K19</f>
        <v>146.00231269034992</v>
      </c>
      <c r="E64" s="260">
        <f>Historische_Emissionen!D59*$D$14/100*Historische_Emissionen!$K19</f>
        <v>145.60649837803263</v>
      </c>
      <c r="F64" s="260">
        <f>Historische_Emissionen!E59*$D$14/100*Historische_Emissionen!$K19</f>
        <v>142.7262036589583</v>
      </c>
      <c r="G64" s="260">
        <f>Historische_Emissionen!F59*$D$14/100*Historische_Emissionen!$K19</f>
        <v>127.73578722259359</v>
      </c>
      <c r="H64" s="260">
        <f>Historische_Emissionen!G59*$D$14/100*Historische_Emissionen!$K19</f>
        <v>132.88491471020797</v>
      </c>
      <c r="I64" s="260">
        <f>Historische_Emissionen!H59*$D$14/100*Historische_Emissionen!$K19</f>
        <v>121.40055863110543</v>
      </c>
      <c r="J64" s="260">
        <f>Historische_Emissionen!I59*$D$14/100*Historische_Emissionen!$K19</f>
        <v>119.19069752915497</v>
      </c>
      <c r="K64" s="261">
        <f>Historische_Emissionen!J59*$D$14/100*Historische_Emissionen!$K19</f>
        <v>118.03028097309513</v>
      </c>
      <c r="L64" s="191">
        <f t="shared" si="50"/>
        <v>113.92282719523142</v>
      </c>
      <c r="M64" s="191">
        <f t="shared" si="53"/>
        <v>75.319351181351891</v>
      </c>
      <c r="N64" s="191">
        <f t="shared" si="53"/>
        <v>65.819491507950517</v>
      </c>
      <c r="O64" s="191">
        <f t="shared" si="53"/>
        <v>56.319631834549156</v>
      </c>
      <c r="P64" s="191">
        <f t="shared" si="53"/>
        <v>46.819772161147803</v>
      </c>
      <c r="Q64" s="191">
        <f t="shared" si="53"/>
        <v>37.319912487746436</v>
      </c>
      <c r="R64" s="191">
        <f t="shared" si="53"/>
        <v>27.820052814345072</v>
      </c>
      <c r="S64" s="197">
        <f t="shared" si="53"/>
        <v>18.320193140943708</v>
      </c>
    </row>
    <row r="65" spans="1:20" x14ac:dyDescent="0.25">
      <c r="A65" s="503"/>
      <c r="B65" s="213" t="str">
        <f t="shared" ref="B65" si="57">B45</f>
        <v>AUT</v>
      </c>
      <c r="C65" s="262">
        <f>Historische_Emissionen!B60*$D$14/100*Historische_Emissionen!$K20</f>
        <v>38.372924849910589</v>
      </c>
      <c r="D65" s="262">
        <f>Historische_Emissionen!C60*$D$14/100*Historische_Emissionen!$K20</f>
        <v>37.236008194836494</v>
      </c>
      <c r="E65" s="262">
        <f>Historische_Emissionen!D60*$D$14/100*Historische_Emissionen!$K20</f>
        <v>36.508047077657842</v>
      </c>
      <c r="F65" s="262">
        <f>Historische_Emissionen!E60*$D$14/100*Historische_Emissionen!$K20</f>
        <v>36.884857262198786</v>
      </c>
      <c r="G65" s="262">
        <f>Historische_Emissionen!F60*$D$14/100*Historische_Emissionen!$K20</f>
        <v>31.458722305850429</v>
      </c>
      <c r="H65" s="262">
        <f>Historische_Emissionen!G60*$D$14/100*Historische_Emissionen!$K20</f>
        <v>35.551920295937073</v>
      </c>
      <c r="I65" s="262">
        <f>Historische_Emissionen!H60*$D$14/100*Historische_Emissionen!$K20</f>
        <v>35.183642881981086</v>
      </c>
      <c r="J65" s="262">
        <f>Historische_Emissionen!I60*$D$14/100*Historische_Emissionen!$K20</f>
        <v>32.639842414956064</v>
      </c>
      <c r="K65" s="263">
        <f>Historische_Emissionen!J60*$D$14/100*Historische_Emissionen!$K20</f>
        <v>34.32278394917779</v>
      </c>
      <c r="L65" s="194">
        <f t="shared" si="50"/>
        <v>33.128351067746401</v>
      </c>
      <c r="M65" s="194">
        <f t="shared" si="53"/>
        <v>21.902598184774941</v>
      </c>
      <c r="N65" s="194">
        <f t="shared" si="53"/>
        <v>19.140072937614111</v>
      </c>
      <c r="O65" s="194">
        <f t="shared" si="53"/>
        <v>16.377547690453284</v>
      </c>
      <c r="P65" s="194">
        <f t="shared" si="53"/>
        <v>13.615022443292457</v>
      </c>
      <c r="Q65" s="194">
        <f t="shared" si="53"/>
        <v>10.852497196131628</v>
      </c>
      <c r="R65" s="194">
        <f t="shared" si="53"/>
        <v>8.0899719489707991</v>
      </c>
      <c r="S65" s="198">
        <f t="shared" si="53"/>
        <v>5.3274467018099703</v>
      </c>
    </row>
    <row r="66" spans="1:20" x14ac:dyDescent="0.25">
      <c r="B66" s="101" t="str">
        <f t="shared" ref="B66" si="58">B46</f>
        <v>EU</v>
      </c>
      <c r="C66" s="260">
        <f>Historische_Emissionen!B61*$D$14/100*Historische_Emissionen!$K21</f>
        <v>2315.8138262417824</v>
      </c>
      <c r="D66" s="260">
        <f>Historische_Emissionen!C61*$D$14/100*Historische_Emissionen!$K21</f>
        <v>2340.77881118081</v>
      </c>
      <c r="E66" s="260">
        <f>Historische_Emissionen!D61*$D$14/100*Historische_Emissionen!$K21</f>
        <v>2489.03992681113</v>
      </c>
      <c r="F66" s="260">
        <f>Historische_Emissionen!E61*$D$14/100*Historische_Emissionen!$K21</f>
        <v>2414.9708386337356</v>
      </c>
      <c r="G66" s="260">
        <f>Historische_Emissionen!F61*$D$14/100*Historische_Emissionen!$K21</f>
        <v>2139.0933485764463</v>
      </c>
      <c r="H66" s="260">
        <f>Historische_Emissionen!G61*$D$14/100*Historische_Emissionen!$K21</f>
        <v>2207.1223539488306</v>
      </c>
      <c r="I66" s="260">
        <f>Historische_Emissionen!H61*$D$14/100*Historische_Emissionen!$K21</f>
        <v>2167.72713051459</v>
      </c>
      <c r="J66" s="260">
        <f>Historische_Emissionen!I61*$D$14/100*Historische_Emissionen!$K21</f>
        <v>2125.5106024248903</v>
      </c>
      <c r="K66" s="264">
        <f>Historische_Emissionen!J61*$D$14/100*Historische_Emissionen!$K21</f>
        <v>2149.4252873563219</v>
      </c>
      <c r="L66" s="191">
        <f t="shared" si="50"/>
        <v>2074.6252873563217</v>
      </c>
      <c r="M66" s="191">
        <f t="shared" si="53"/>
        <v>1371.6252873563217</v>
      </c>
      <c r="N66" s="191">
        <f t="shared" si="53"/>
        <v>1198.6252873563217</v>
      </c>
      <c r="O66" s="191">
        <f t="shared" si="53"/>
        <v>1025.6252873563217</v>
      </c>
      <c r="P66" s="191">
        <f t="shared" si="53"/>
        <v>852.62528735632168</v>
      </c>
      <c r="Q66" s="191">
        <f t="shared" si="53"/>
        <v>679.62528735632168</v>
      </c>
      <c r="R66" s="191">
        <f t="shared" si="53"/>
        <v>506.62528735632168</v>
      </c>
      <c r="S66" s="208">
        <f t="shared" si="53"/>
        <v>333.62528735632168</v>
      </c>
      <c r="T66" s="207">
        <f>1-(S66/C66)</f>
        <v>0.85593604996402262</v>
      </c>
    </row>
    <row r="67" spans="1:20" x14ac:dyDescent="0.25">
      <c r="B67" s="214" t="s">
        <v>161</v>
      </c>
      <c r="C67" s="210">
        <f>SUM(C60:C65)-C66</f>
        <v>0</v>
      </c>
      <c r="D67" s="210">
        <f t="shared" ref="D67" si="59">SUM(D60:D65)-D66</f>
        <v>0</v>
      </c>
      <c r="E67" s="210">
        <f t="shared" ref="E67" si="60">SUM(E60:E65)-E66</f>
        <v>0</v>
      </c>
      <c r="F67" s="210">
        <f t="shared" ref="F67" si="61">SUM(F60:F65)-F66</f>
        <v>0</v>
      </c>
      <c r="G67" s="210">
        <f t="shared" ref="G67" si="62">SUM(G60:G65)-G66</f>
        <v>0</v>
      </c>
      <c r="H67" s="210">
        <f t="shared" ref="H67" si="63">SUM(H60:H65)-H66</f>
        <v>0</v>
      </c>
      <c r="I67" s="210">
        <f t="shared" ref="I67" si="64">SUM(I60:I65)-I66</f>
        <v>0</v>
      </c>
      <c r="J67" s="210">
        <f t="shared" ref="J67" si="65">SUM(J60:J65)-J66</f>
        <v>0</v>
      </c>
      <c r="K67" s="210">
        <f t="shared" ref="K67" si="66">SUM(K60:K65)-K66</f>
        <v>0</v>
      </c>
      <c r="L67" s="210">
        <f t="shared" ref="L67" si="67">SUM(L60:L65)-L66</f>
        <v>0</v>
      </c>
      <c r="M67" s="210">
        <f t="shared" ref="M67" si="68">SUM(M60:M65)-M66</f>
        <v>0</v>
      </c>
      <c r="N67" s="210">
        <f t="shared" ref="N67" si="69">SUM(N60:N65)-N66</f>
        <v>0</v>
      </c>
      <c r="O67" s="210">
        <f t="shared" ref="O67" si="70">SUM(O60:O65)-O66</f>
        <v>0</v>
      </c>
      <c r="P67" s="210">
        <f t="shared" ref="P67" si="71">SUM(P60:P65)-P66</f>
        <v>0</v>
      </c>
      <c r="Q67" s="210">
        <f t="shared" ref="Q67" si="72">SUM(Q60:Q65)-Q66</f>
        <v>0</v>
      </c>
      <c r="R67" s="210">
        <f t="shared" ref="R67" si="73">SUM(R60:R65)-R66</f>
        <v>0</v>
      </c>
      <c r="S67" s="210">
        <f t="shared" ref="S67" si="74">SUM(S60:S65)-S66</f>
        <v>0</v>
      </c>
    </row>
    <row r="68" spans="1:20" x14ac:dyDescent="0.25">
      <c r="B68" s="214"/>
      <c r="C68" s="210"/>
      <c r="D68" s="210"/>
      <c r="E68" s="210"/>
      <c r="F68" s="210"/>
      <c r="G68" s="210"/>
      <c r="H68" s="210"/>
      <c r="I68" s="210"/>
      <c r="J68" s="210"/>
      <c r="K68" s="210"/>
      <c r="L68" s="210"/>
      <c r="M68" s="210"/>
      <c r="N68" s="210"/>
      <c r="O68" s="210"/>
      <c r="P68" s="210"/>
      <c r="Q68" s="210"/>
      <c r="R68" s="210"/>
      <c r="S68" s="210"/>
    </row>
    <row r="70" spans="1:20" s="266" customFormat="1" x14ac:dyDescent="0.25">
      <c r="A70" s="265" t="s">
        <v>181</v>
      </c>
    </row>
    <row r="71" spans="1:20" x14ac:dyDescent="0.25">
      <c r="B71" s="214"/>
      <c r="C71" s="210"/>
      <c r="D71" s="210"/>
      <c r="E71" s="210"/>
      <c r="F71" s="210"/>
      <c r="G71" s="210"/>
      <c r="H71" s="210"/>
      <c r="I71" s="210"/>
      <c r="J71" s="210"/>
      <c r="K71" s="210"/>
      <c r="L71" s="210"/>
      <c r="M71" s="210"/>
      <c r="N71" s="210"/>
      <c r="O71" s="210"/>
      <c r="P71" s="210"/>
      <c r="Q71" s="210"/>
      <c r="R71" s="210"/>
      <c r="S71" s="210"/>
    </row>
    <row r="72" spans="1:20" x14ac:dyDescent="0.25">
      <c r="B72" s="267"/>
      <c r="C72" s="268">
        <v>2007</v>
      </c>
      <c r="D72" s="268">
        <v>2010</v>
      </c>
      <c r="E72" s="268">
        <v>2015</v>
      </c>
      <c r="F72" s="268">
        <v>2020</v>
      </c>
      <c r="G72" s="268">
        <v>2025</v>
      </c>
      <c r="H72" s="268">
        <v>2030</v>
      </c>
      <c r="I72" s="268">
        <v>2035</v>
      </c>
      <c r="J72" s="268">
        <v>2040</v>
      </c>
      <c r="K72" s="268">
        <v>2045</v>
      </c>
      <c r="L72" s="268">
        <v>2050</v>
      </c>
      <c r="M72" s="528" t="s">
        <v>182</v>
      </c>
    </row>
    <row r="73" spans="1:20" ht="15" customHeight="1" x14ac:dyDescent="0.25">
      <c r="A73" s="498" t="s">
        <v>170</v>
      </c>
      <c r="B73" s="269" t="str">
        <f t="shared" ref="B73:B79" si="75">B40</f>
        <v>EUN</v>
      </c>
      <c r="C73" s="270">
        <f t="shared" ref="C73:C79" si="76">E40/$E40</f>
        <v>1</v>
      </c>
      <c r="D73" s="271">
        <f t="shared" ref="D73:D79" si="77">H40/$E40</f>
        <v>0.95635447922924854</v>
      </c>
      <c r="E73" s="271">
        <f t="shared" ref="E73:L79" si="78">L40/$E40</f>
        <v>0.8667064936507729</v>
      </c>
      <c r="F73" s="271">
        <f t="shared" si="78"/>
        <v>0.78858437911739399</v>
      </c>
      <c r="G73" s="271">
        <f t="shared" si="78"/>
        <v>0.68980929177634043</v>
      </c>
      <c r="H73" s="271">
        <f t="shared" si="78"/>
        <v>0.59103420443528676</v>
      </c>
      <c r="I73" s="271">
        <f t="shared" si="78"/>
        <v>0.49225911709423303</v>
      </c>
      <c r="J73" s="271">
        <f t="shared" si="78"/>
        <v>0.39348402975317937</v>
      </c>
      <c r="K73" s="271">
        <f t="shared" si="78"/>
        <v>0.2947089424121257</v>
      </c>
      <c r="L73" s="271">
        <f t="shared" si="78"/>
        <v>0.19593385507107203</v>
      </c>
      <c r="M73" s="529"/>
    </row>
    <row r="74" spans="1:20" x14ac:dyDescent="0.25">
      <c r="A74" s="499"/>
      <c r="B74" s="269" t="str">
        <f t="shared" si="75"/>
        <v>DEU</v>
      </c>
      <c r="C74" s="270">
        <f t="shared" si="76"/>
        <v>1</v>
      </c>
      <c r="D74" s="271">
        <f t="shared" si="77"/>
        <v>0.93372896045778508</v>
      </c>
      <c r="E74" s="271">
        <f t="shared" si="78"/>
        <v>0.95289225463831539</v>
      </c>
      <c r="F74" s="271">
        <f t="shared" si="78"/>
        <v>0.86700163491853344</v>
      </c>
      <c r="G74" s="271">
        <f t="shared" si="78"/>
        <v>0.75840429964064848</v>
      </c>
      <c r="H74" s="271">
        <f t="shared" si="78"/>
        <v>0.64980696436276342</v>
      </c>
      <c r="I74" s="271">
        <f t="shared" si="78"/>
        <v>0.54120962908487835</v>
      </c>
      <c r="J74" s="271">
        <f t="shared" si="78"/>
        <v>0.43261229380699323</v>
      </c>
      <c r="K74" s="271">
        <f t="shared" si="78"/>
        <v>0.32401495852910811</v>
      </c>
      <c r="L74" s="271">
        <f t="shared" si="78"/>
        <v>0.21541762325122304</v>
      </c>
      <c r="M74" s="529"/>
    </row>
    <row r="75" spans="1:20" x14ac:dyDescent="0.25">
      <c r="A75" s="499"/>
      <c r="B75" s="269" t="str">
        <f t="shared" si="75"/>
        <v>EUS</v>
      </c>
      <c r="C75" s="270">
        <f t="shared" si="76"/>
        <v>1</v>
      </c>
      <c r="D75" s="271">
        <f t="shared" si="77"/>
        <v>0.7727239325334434</v>
      </c>
      <c r="E75" s="271">
        <f t="shared" si="78"/>
        <v>0.70953760131154997</v>
      </c>
      <c r="F75" s="271">
        <f t="shared" si="78"/>
        <v>0.64558218138396517</v>
      </c>
      <c r="G75" s="271">
        <f t="shared" si="78"/>
        <v>0.564719006762881</v>
      </c>
      <c r="H75" s="271">
        <f t="shared" si="78"/>
        <v>0.48385583214179678</v>
      </c>
      <c r="I75" s="271">
        <f t="shared" si="78"/>
        <v>0.40299265752071256</v>
      </c>
      <c r="J75" s="271">
        <f t="shared" si="78"/>
        <v>0.32212948289962834</v>
      </c>
      <c r="K75" s="271">
        <f t="shared" si="78"/>
        <v>0.24126630827854409</v>
      </c>
      <c r="L75" s="271">
        <f t="shared" si="78"/>
        <v>0.16040313365745987</v>
      </c>
      <c r="M75" s="529"/>
    </row>
    <row r="76" spans="1:20" x14ac:dyDescent="0.25">
      <c r="A76" s="499"/>
      <c r="B76" s="269" t="str">
        <f t="shared" si="75"/>
        <v>EUE</v>
      </c>
      <c r="C76" s="270">
        <f t="shared" si="76"/>
        <v>1</v>
      </c>
      <c r="D76" s="271">
        <f t="shared" si="77"/>
        <v>0.87602791846624206</v>
      </c>
      <c r="E76" s="271">
        <f t="shared" si="78"/>
        <v>0.82158462643799213</v>
      </c>
      <c r="F76" s="271">
        <f t="shared" si="78"/>
        <v>0.74752965078516853</v>
      </c>
      <c r="G76" s="271">
        <f t="shared" si="78"/>
        <v>0.65389692294826529</v>
      </c>
      <c r="H76" s="271">
        <f t="shared" si="78"/>
        <v>0.56026419511136194</v>
      </c>
      <c r="I76" s="271">
        <f t="shared" si="78"/>
        <v>0.46663146727445853</v>
      </c>
      <c r="J76" s="271">
        <f t="shared" si="78"/>
        <v>0.37299873943755513</v>
      </c>
      <c r="K76" s="271">
        <f t="shared" si="78"/>
        <v>0.27936601160065178</v>
      </c>
      <c r="L76" s="271">
        <f t="shared" si="78"/>
        <v>0.1857332837637484</v>
      </c>
      <c r="M76" s="529"/>
    </row>
    <row r="77" spans="1:20" x14ac:dyDescent="0.25">
      <c r="A77" s="499"/>
      <c r="B77" s="269" t="str">
        <f t="shared" si="75"/>
        <v>FRA</v>
      </c>
      <c r="C77" s="270">
        <f t="shared" si="76"/>
        <v>1</v>
      </c>
      <c r="D77" s="271">
        <f t="shared" si="77"/>
        <v>0.91263038525384976</v>
      </c>
      <c r="E77" s="271">
        <f t="shared" si="78"/>
        <v>0.78240208001883205</v>
      </c>
      <c r="F77" s="271">
        <f t="shared" si="78"/>
        <v>0.71187889211825339</v>
      </c>
      <c r="G77" s="271">
        <f t="shared" si="78"/>
        <v>0.62271164304855653</v>
      </c>
      <c r="H77" s="271">
        <f t="shared" si="78"/>
        <v>0.53354439397885955</v>
      </c>
      <c r="I77" s="271">
        <f t="shared" si="78"/>
        <v>0.44437714490916264</v>
      </c>
      <c r="J77" s="271">
        <f t="shared" si="78"/>
        <v>0.35520989583946566</v>
      </c>
      <c r="K77" s="271">
        <f t="shared" si="78"/>
        <v>0.26604264676976869</v>
      </c>
      <c r="L77" s="271">
        <f t="shared" si="78"/>
        <v>0.17687539770007168</v>
      </c>
      <c r="M77" s="529"/>
    </row>
    <row r="78" spans="1:20" x14ac:dyDescent="0.25">
      <c r="A78" s="500"/>
      <c r="B78" s="267" t="str">
        <f t="shared" si="75"/>
        <v>AUT</v>
      </c>
      <c r="C78" s="272">
        <f t="shared" si="76"/>
        <v>1</v>
      </c>
      <c r="D78" s="273">
        <f t="shared" si="77"/>
        <v>0.97381051964551946</v>
      </c>
      <c r="E78" s="273">
        <f t="shared" si="78"/>
        <v>0.90742599836352944</v>
      </c>
      <c r="F78" s="273">
        <f t="shared" si="78"/>
        <v>0.82563355963826301</v>
      </c>
      <c r="G78" s="273">
        <f t="shared" si="78"/>
        <v>0.72221783251436311</v>
      </c>
      <c r="H78" s="273">
        <f t="shared" si="78"/>
        <v>0.61880210539046321</v>
      </c>
      <c r="I78" s="273">
        <f t="shared" si="78"/>
        <v>0.51538637826656331</v>
      </c>
      <c r="J78" s="273">
        <f t="shared" si="78"/>
        <v>0.41197065114266335</v>
      </c>
      <c r="K78" s="273">
        <f t="shared" si="78"/>
        <v>0.30855492401876339</v>
      </c>
      <c r="L78" s="273">
        <f t="shared" si="78"/>
        <v>0.20513919689486343</v>
      </c>
      <c r="M78" s="530"/>
    </row>
    <row r="79" spans="1:20" x14ac:dyDescent="0.25">
      <c r="B79" s="101" t="str">
        <f t="shared" si="75"/>
        <v>EU</v>
      </c>
      <c r="C79" s="191">
        <f t="shared" si="76"/>
        <v>1</v>
      </c>
      <c r="D79" s="192">
        <f t="shared" si="77"/>
        <v>0.88673642000452668</v>
      </c>
      <c r="E79" s="192">
        <f t="shared" si="78"/>
        <v>0.83350422185242257</v>
      </c>
      <c r="F79" s="192">
        <f t="shared" si="78"/>
        <v>0.75837485249771808</v>
      </c>
      <c r="G79" s="192">
        <f t="shared" si="78"/>
        <v>0.66338369584234458</v>
      </c>
      <c r="H79" s="192">
        <f t="shared" si="78"/>
        <v>0.56839253918697108</v>
      </c>
      <c r="I79" s="192">
        <f t="shared" si="78"/>
        <v>0.47340138253159769</v>
      </c>
      <c r="J79" s="192">
        <f t="shared" si="78"/>
        <v>0.37841022587622419</v>
      </c>
      <c r="K79" s="192">
        <f t="shared" si="78"/>
        <v>0.28341906922085075</v>
      </c>
      <c r="L79" s="192">
        <f t="shared" si="78"/>
        <v>0.18842791256547728</v>
      </c>
    </row>
    <row r="80" spans="1:20" x14ac:dyDescent="0.25">
      <c r="B80" s="214"/>
      <c r="C80" s="210"/>
      <c r="D80" s="210"/>
      <c r="E80" s="210"/>
      <c r="F80" s="210"/>
      <c r="G80" s="210"/>
      <c r="H80" s="210"/>
      <c r="I80" s="210"/>
      <c r="J80" s="210"/>
      <c r="K80" s="210"/>
      <c r="L80" s="210"/>
      <c r="M80" s="210"/>
    </row>
    <row r="81" spans="1:13" x14ac:dyDescent="0.25">
      <c r="B81" s="274"/>
      <c r="C81" s="275">
        <f t="shared" ref="C81:L81" si="79">C72</f>
        <v>2007</v>
      </c>
      <c r="D81" s="275">
        <f t="shared" si="79"/>
        <v>2010</v>
      </c>
      <c r="E81" s="275">
        <f t="shared" si="79"/>
        <v>2015</v>
      </c>
      <c r="F81" s="275">
        <f t="shared" si="79"/>
        <v>2020</v>
      </c>
      <c r="G81" s="275">
        <f t="shared" si="79"/>
        <v>2025</v>
      </c>
      <c r="H81" s="275">
        <f t="shared" si="79"/>
        <v>2030</v>
      </c>
      <c r="I81" s="275">
        <f t="shared" si="79"/>
        <v>2035</v>
      </c>
      <c r="J81" s="275">
        <f t="shared" si="79"/>
        <v>2040</v>
      </c>
      <c r="K81" s="275">
        <f t="shared" si="79"/>
        <v>2045</v>
      </c>
      <c r="L81" s="275">
        <f t="shared" si="79"/>
        <v>2050</v>
      </c>
      <c r="M81" s="531" t="s">
        <v>182</v>
      </c>
    </row>
    <row r="82" spans="1:13" ht="15" customHeight="1" x14ac:dyDescent="0.25">
      <c r="A82" s="501" t="s">
        <v>171</v>
      </c>
      <c r="B82" s="276" t="str">
        <f t="shared" ref="B82" si="80">B73</f>
        <v>EUN</v>
      </c>
      <c r="C82" s="277">
        <f>E60/$E60</f>
        <v>1</v>
      </c>
      <c r="D82" s="278">
        <f>H60/$E60</f>
        <v>0.95635447922924854</v>
      </c>
      <c r="E82" s="278">
        <f>L60/$E60</f>
        <v>0.8667064936507729</v>
      </c>
      <c r="F82" s="278">
        <f t="shared" ref="F82:L88" si="81">M60/$E60</f>
        <v>0.57301747484347176</v>
      </c>
      <c r="G82" s="278">
        <f t="shared" si="81"/>
        <v>0.50074407476713723</v>
      </c>
      <c r="H82" s="278">
        <f t="shared" si="81"/>
        <v>0.42847067469080286</v>
      </c>
      <c r="I82" s="278">
        <f t="shared" si="81"/>
        <v>0.35619727461446848</v>
      </c>
      <c r="J82" s="278">
        <f t="shared" si="81"/>
        <v>0.283923874538134</v>
      </c>
      <c r="K82" s="278">
        <f t="shared" si="81"/>
        <v>0.2116504744617996</v>
      </c>
      <c r="L82" s="278">
        <f t="shared" si="81"/>
        <v>0.13937707438546515</v>
      </c>
      <c r="M82" s="532"/>
    </row>
    <row r="83" spans="1:13" x14ac:dyDescent="0.25">
      <c r="A83" s="502"/>
      <c r="B83" s="276" t="str">
        <f t="shared" ref="B83" si="82">B74</f>
        <v>DEU</v>
      </c>
      <c r="C83" s="277">
        <f>E61/$E61</f>
        <v>1</v>
      </c>
      <c r="D83" s="278">
        <f t="shared" ref="D83:D88" si="83">H61/$E61</f>
        <v>0.93372896045778508</v>
      </c>
      <c r="E83" s="278">
        <f t="shared" ref="E83:E88" si="84">L61/$E61</f>
        <v>0.95289225463831539</v>
      </c>
      <c r="F83" s="278">
        <f t="shared" si="81"/>
        <v>0.62999864146715689</v>
      </c>
      <c r="G83" s="278">
        <f t="shared" si="81"/>
        <v>0.55053833552318743</v>
      </c>
      <c r="H83" s="278">
        <f t="shared" si="81"/>
        <v>0.47107802957921824</v>
      </c>
      <c r="I83" s="278">
        <f t="shared" si="81"/>
        <v>0.39161772363524894</v>
      </c>
      <c r="J83" s="278">
        <f t="shared" si="81"/>
        <v>0.31215741769127958</v>
      </c>
      <c r="K83" s="278">
        <f t="shared" si="81"/>
        <v>0.23269711174731028</v>
      </c>
      <c r="L83" s="278">
        <f t="shared" si="81"/>
        <v>0.15323680580334101</v>
      </c>
      <c r="M83" s="532"/>
    </row>
    <row r="84" spans="1:13" x14ac:dyDescent="0.25">
      <c r="A84" s="502"/>
      <c r="B84" s="276" t="str">
        <f t="shared" ref="B84" si="85">B75</f>
        <v>EUS</v>
      </c>
      <c r="C84" s="277">
        <f t="shared" ref="C84:C87" si="86">E62/$E62</f>
        <v>1</v>
      </c>
      <c r="D84" s="278">
        <f t="shared" si="83"/>
        <v>0.7727239325334434</v>
      </c>
      <c r="E84" s="278">
        <f t="shared" si="84"/>
        <v>0.70953760131154997</v>
      </c>
      <c r="F84" s="278">
        <f t="shared" si="81"/>
        <v>0.46910626329501459</v>
      </c>
      <c r="G84" s="278">
        <f t="shared" si="81"/>
        <v>0.40993894967216871</v>
      </c>
      <c r="H84" s="278">
        <f t="shared" si="81"/>
        <v>0.35077163604932293</v>
      </c>
      <c r="I84" s="278">
        <f t="shared" si="81"/>
        <v>0.2916043224264771</v>
      </c>
      <c r="J84" s="278">
        <f t="shared" si="81"/>
        <v>0.23243700880363125</v>
      </c>
      <c r="K84" s="278">
        <f t="shared" si="81"/>
        <v>0.17326969518078542</v>
      </c>
      <c r="L84" s="278">
        <f t="shared" si="81"/>
        <v>0.11410238155793959</v>
      </c>
      <c r="M84" s="532"/>
    </row>
    <row r="85" spans="1:13" x14ac:dyDescent="0.25">
      <c r="A85" s="502"/>
      <c r="B85" s="276" t="str">
        <f t="shared" ref="B85" si="87">B76</f>
        <v>EUE</v>
      </c>
      <c r="C85" s="277">
        <f t="shared" si="86"/>
        <v>1</v>
      </c>
      <c r="D85" s="278">
        <f t="shared" si="83"/>
        <v>0.87602791846624206</v>
      </c>
      <c r="E85" s="278">
        <f t="shared" si="84"/>
        <v>0.82158462643799213</v>
      </c>
      <c r="F85" s="278">
        <f t="shared" si="81"/>
        <v>0.54318543989288537</v>
      </c>
      <c r="G85" s="278">
        <f t="shared" si="81"/>
        <v>0.47467468701620891</v>
      </c>
      <c r="H85" s="278">
        <f t="shared" si="81"/>
        <v>0.40616393413953256</v>
      </c>
      <c r="I85" s="278">
        <f t="shared" si="81"/>
        <v>0.33765318126285621</v>
      </c>
      <c r="J85" s="278">
        <f t="shared" si="81"/>
        <v>0.26914242838617985</v>
      </c>
      <c r="K85" s="278">
        <f t="shared" si="81"/>
        <v>0.20063167550950348</v>
      </c>
      <c r="L85" s="278">
        <f t="shared" si="81"/>
        <v>0.13212092263282713</v>
      </c>
      <c r="M85" s="532"/>
    </row>
    <row r="86" spans="1:13" x14ac:dyDescent="0.25">
      <c r="A86" s="502"/>
      <c r="B86" s="276" t="str">
        <f t="shared" ref="B86" si="88">B77</f>
        <v>FRA</v>
      </c>
      <c r="C86" s="277">
        <f t="shared" si="86"/>
        <v>1</v>
      </c>
      <c r="D86" s="278">
        <f t="shared" si="83"/>
        <v>0.91263038525384976</v>
      </c>
      <c r="E86" s="278">
        <f t="shared" si="84"/>
        <v>0.78240208001883205</v>
      </c>
      <c r="F86" s="278">
        <f t="shared" si="81"/>
        <v>0.51728014903430419</v>
      </c>
      <c r="G86" s="278">
        <f t="shared" si="81"/>
        <v>0.45203677199259246</v>
      </c>
      <c r="H86" s="278">
        <f t="shared" si="81"/>
        <v>0.38679339495088078</v>
      </c>
      <c r="I86" s="278">
        <f t="shared" si="81"/>
        <v>0.32155001790916915</v>
      </c>
      <c r="J86" s="278">
        <f t="shared" si="81"/>
        <v>0.25630664086745747</v>
      </c>
      <c r="K86" s="278">
        <f t="shared" si="81"/>
        <v>0.19106326382574579</v>
      </c>
      <c r="L86" s="278">
        <f t="shared" si="81"/>
        <v>0.12581988678403408</v>
      </c>
      <c r="M86" s="532"/>
    </row>
    <row r="87" spans="1:13" x14ac:dyDescent="0.25">
      <c r="A87" s="503"/>
      <c r="B87" s="274" t="str">
        <f t="shared" ref="B87" si="89">B78</f>
        <v>AUT</v>
      </c>
      <c r="C87" s="279">
        <f t="shared" si="86"/>
        <v>1</v>
      </c>
      <c r="D87" s="280">
        <f t="shared" si="83"/>
        <v>0.97381051964551946</v>
      </c>
      <c r="E87" s="280">
        <f t="shared" si="84"/>
        <v>0.90742599836352944</v>
      </c>
      <c r="F87" s="280">
        <f t="shared" si="81"/>
        <v>0.59993891588298276</v>
      </c>
      <c r="G87" s="280">
        <f t="shared" si="81"/>
        <v>0.52426997524409991</v>
      </c>
      <c r="H87" s="280">
        <f t="shared" si="81"/>
        <v>0.44860103460521716</v>
      </c>
      <c r="I87" s="280">
        <f t="shared" si="81"/>
        <v>0.37293209396633448</v>
      </c>
      <c r="J87" s="280">
        <f t="shared" si="81"/>
        <v>0.29726315332745168</v>
      </c>
      <c r="K87" s="280">
        <f t="shared" si="81"/>
        <v>0.22159421268856894</v>
      </c>
      <c r="L87" s="280">
        <f t="shared" si="81"/>
        <v>0.14592527204968617</v>
      </c>
      <c r="M87" s="533"/>
    </row>
    <row r="88" spans="1:13" x14ac:dyDescent="0.25">
      <c r="B88" s="101" t="str">
        <f t="shared" ref="B88" si="90">B79</f>
        <v>EU</v>
      </c>
      <c r="C88" s="191">
        <f>E66/$E66</f>
        <v>1</v>
      </c>
      <c r="D88" s="192">
        <f t="shared" si="83"/>
        <v>0.88673642000452668</v>
      </c>
      <c r="E88" s="192">
        <f t="shared" si="84"/>
        <v>0.83350422185242257</v>
      </c>
      <c r="F88" s="192">
        <f t="shared" si="81"/>
        <v>0.55106600443874743</v>
      </c>
      <c r="G88" s="192">
        <f t="shared" si="81"/>
        <v>0.48156129375230955</v>
      </c>
      <c r="H88" s="192">
        <f t="shared" si="81"/>
        <v>0.41205658306587173</v>
      </c>
      <c r="I88" s="192">
        <f t="shared" si="81"/>
        <v>0.34255187237943391</v>
      </c>
      <c r="J88" s="192">
        <f t="shared" si="81"/>
        <v>0.27304716169299603</v>
      </c>
      <c r="K88" s="192">
        <f t="shared" si="81"/>
        <v>0.20354245100655821</v>
      </c>
      <c r="L88" s="192">
        <f>S66/$E66</f>
        <v>0.13403774032012039</v>
      </c>
    </row>
    <row r="90" spans="1:13" x14ac:dyDescent="0.25">
      <c r="B90" s="281"/>
      <c r="C90" s="282">
        <f t="shared" ref="C90:L90" si="91">C81</f>
        <v>2007</v>
      </c>
      <c r="D90" s="282">
        <f t="shared" si="91"/>
        <v>2010</v>
      </c>
      <c r="E90" s="282">
        <f t="shared" si="91"/>
        <v>2015</v>
      </c>
      <c r="F90" s="282">
        <f t="shared" si="91"/>
        <v>2020</v>
      </c>
      <c r="G90" s="282">
        <f t="shared" si="91"/>
        <v>2025</v>
      </c>
      <c r="H90" s="282">
        <f t="shared" si="91"/>
        <v>2030</v>
      </c>
      <c r="I90" s="282">
        <f t="shared" si="91"/>
        <v>2035</v>
      </c>
      <c r="J90" s="282">
        <f t="shared" si="91"/>
        <v>2040</v>
      </c>
      <c r="K90" s="282">
        <f t="shared" si="91"/>
        <v>2045</v>
      </c>
      <c r="L90" s="282">
        <f t="shared" si="91"/>
        <v>2050</v>
      </c>
      <c r="M90" s="516" t="s">
        <v>182</v>
      </c>
    </row>
    <row r="91" spans="1:13" ht="15" customHeight="1" x14ac:dyDescent="0.25">
      <c r="A91" s="519" t="str">
        <f>A50</f>
        <v>Szenario 1 - Status Quo</v>
      </c>
      <c r="B91" s="283" t="str">
        <f t="shared" ref="B91:B97" si="92">B82</f>
        <v>EUN</v>
      </c>
      <c r="C91" s="284">
        <f>E50/$E50</f>
        <v>1</v>
      </c>
      <c r="D91" s="285">
        <f>H50/$E50</f>
        <v>0.95635447922924854</v>
      </c>
      <c r="E91" s="285">
        <f>L50/$E50</f>
        <v>0.8667064936507729</v>
      </c>
      <c r="F91" s="285">
        <f t="shared" ref="F91:L91" si="93">M50/$E50</f>
        <v>0.78858437911739399</v>
      </c>
      <c r="G91" s="285">
        <f t="shared" si="93"/>
        <v>0.71046226458401518</v>
      </c>
      <c r="H91" s="285">
        <f t="shared" si="93"/>
        <v>0.63234015005063637</v>
      </c>
      <c r="I91" s="285">
        <f t="shared" si="93"/>
        <v>0.55421803551725757</v>
      </c>
      <c r="J91" s="285">
        <f t="shared" si="93"/>
        <v>0.47609592098387871</v>
      </c>
      <c r="K91" s="285">
        <f t="shared" si="93"/>
        <v>0.3979738064504999</v>
      </c>
      <c r="L91" s="285">
        <f t="shared" si="93"/>
        <v>0.31985169191712109</v>
      </c>
      <c r="M91" s="517"/>
    </row>
    <row r="92" spans="1:13" x14ac:dyDescent="0.25">
      <c r="A92" s="520"/>
      <c r="B92" s="283" t="str">
        <f t="shared" si="92"/>
        <v>DEU</v>
      </c>
      <c r="C92" s="284">
        <f t="shared" ref="C92:C97" si="94">E51/$E51</f>
        <v>1</v>
      </c>
      <c r="D92" s="285">
        <f t="shared" ref="D92:D97" si="95">H51/$E51</f>
        <v>0.93372896045778508</v>
      </c>
      <c r="E92" s="285">
        <f t="shared" ref="E92:E97" si="96">L51/$E51</f>
        <v>0.95289225463831539</v>
      </c>
      <c r="F92" s="285">
        <f t="shared" ref="F92:F97" si="97">M51/$E51</f>
        <v>0.86700163491853344</v>
      </c>
      <c r="G92" s="285">
        <f t="shared" ref="G92:G97" si="98">N51/$E51</f>
        <v>0.78111101519875159</v>
      </c>
      <c r="H92" s="285">
        <f t="shared" ref="H92:H97" si="99">O51/$E51</f>
        <v>0.69522039547896974</v>
      </c>
      <c r="I92" s="285">
        <f t="shared" ref="I92:I97" si="100">P51/$E51</f>
        <v>0.6093297757591879</v>
      </c>
      <c r="J92" s="285">
        <f t="shared" ref="J92:J97" si="101">Q51/$E51</f>
        <v>0.52343915603940605</v>
      </c>
      <c r="K92" s="285">
        <f t="shared" ref="K92:K97" si="102">R51/$E51</f>
        <v>0.43754853631962426</v>
      </c>
      <c r="L92" s="285">
        <f t="shared" ref="L92:L97" si="103">S51/$E51</f>
        <v>0.35165791659984236</v>
      </c>
      <c r="M92" s="517"/>
    </row>
    <row r="93" spans="1:13" x14ac:dyDescent="0.25">
      <c r="A93" s="520"/>
      <c r="B93" s="283" t="str">
        <f t="shared" si="92"/>
        <v>EUS</v>
      </c>
      <c r="C93" s="284">
        <f t="shared" si="94"/>
        <v>1</v>
      </c>
      <c r="D93" s="285">
        <f t="shared" si="95"/>
        <v>0.7727239325334434</v>
      </c>
      <c r="E93" s="285">
        <f t="shared" si="96"/>
        <v>0.70953760131154997</v>
      </c>
      <c r="F93" s="285">
        <f t="shared" si="97"/>
        <v>0.64558218138396517</v>
      </c>
      <c r="G93" s="285">
        <f t="shared" si="98"/>
        <v>0.58162676145638037</v>
      </c>
      <c r="H93" s="285">
        <f t="shared" si="99"/>
        <v>0.51767134152879557</v>
      </c>
      <c r="I93" s="285">
        <f t="shared" si="100"/>
        <v>0.45371592160121077</v>
      </c>
      <c r="J93" s="285">
        <f t="shared" si="101"/>
        <v>0.38976050167362597</v>
      </c>
      <c r="K93" s="285">
        <f t="shared" si="102"/>
        <v>0.32580508174604117</v>
      </c>
      <c r="L93" s="285">
        <f t="shared" si="103"/>
        <v>0.26184966181845637</v>
      </c>
      <c r="M93" s="517"/>
    </row>
    <row r="94" spans="1:13" x14ac:dyDescent="0.25">
      <c r="A94" s="520"/>
      <c r="B94" s="283" t="str">
        <f t="shared" si="92"/>
        <v>EUE</v>
      </c>
      <c r="C94" s="284">
        <f t="shared" si="94"/>
        <v>1</v>
      </c>
      <c r="D94" s="285">
        <f t="shared" si="95"/>
        <v>0.87602791846624206</v>
      </c>
      <c r="E94" s="285">
        <f t="shared" si="96"/>
        <v>0.82158462643799213</v>
      </c>
      <c r="F94" s="285">
        <f t="shared" si="97"/>
        <v>0.74752965078516853</v>
      </c>
      <c r="G94" s="285">
        <f t="shared" si="98"/>
        <v>0.67347467513234505</v>
      </c>
      <c r="H94" s="285">
        <f t="shared" si="99"/>
        <v>0.59941969947952145</v>
      </c>
      <c r="I94" s="285">
        <f t="shared" si="100"/>
        <v>0.52536472382669785</v>
      </c>
      <c r="J94" s="285">
        <f t="shared" si="101"/>
        <v>0.45130974817387426</v>
      </c>
      <c r="K94" s="285">
        <f t="shared" si="102"/>
        <v>0.37725477252105066</v>
      </c>
      <c r="L94" s="285">
        <f t="shared" si="103"/>
        <v>0.30319979686822707</v>
      </c>
      <c r="M94" s="517"/>
    </row>
    <row r="95" spans="1:13" x14ac:dyDescent="0.25">
      <c r="A95" s="520"/>
      <c r="B95" s="283" t="str">
        <f t="shared" si="92"/>
        <v>FRA</v>
      </c>
      <c r="C95" s="284">
        <f t="shared" si="94"/>
        <v>1</v>
      </c>
      <c r="D95" s="285">
        <f t="shared" si="95"/>
        <v>0.91263038525384976</v>
      </c>
      <c r="E95" s="285">
        <f t="shared" si="96"/>
        <v>0.78240208001883205</v>
      </c>
      <c r="F95" s="285">
        <f t="shared" si="97"/>
        <v>0.71187889211825339</v>
      </c>
      <c r="G95" s="285">
        <f t="shared" si="98"/>
        <v>0.64135570421767485</v>
      </c>
      <c r="H95" s="285">
        <f t="shared" si="99"/>
        <v>0.57083251631709642</v>
      </c>
      <c r="I95" s="285">
        <f t="shared" si="100"/>
        <v>0.50030932841651798</v>
      </c>
      <c r="J95" s="285">
        <f t="shared" si="101"/>
        <v>0.42978614051593939</v>
      </c>
      <c r="K95" s="285">
        <f t="shared" si="102"/>
        <v>0.35926295261536084</v>
      </c>
      <c r="L95" s="285">
        <f t="shared" si="103"/>
        <v>0.2887397647147823</v>
      </c>
      <c r="M95" s="517"/>
    </row>
    <row r="96" spans="1:13" x14ac:dyDescent="0.25">
      <c r="A96" s="521"/>
      <c r="B96" s="281" t="str">
        <f t="shared" si="92"/>
        <v>AUT</v>
      </c>
      <c r="C96" s="286">
        <f t="shared" si="94"/>
        <v>1</v>
      </c>
      <c r="D96" s="287">
        <f t="shared" si="95"/>
        <v>0.97381051964551946</v>
      </c>
      <c r="E96" s="287">
        <f t="shared" si="96"/>
        <v>0.90742599836352944</v>
      </c>
      <c r="F96" s="287">
        <f t="shared" si="97"/>
        <v>0.82563355963826301</v>
      </c>
      <c r="G96" s="287">
        <f t="shared" si="98"/>
        <v>0.74384112091299681</v>
      </c>
      <c r="H96" s="287">
        <f t="shared" si="99"/>
        <v>0.66204868218773039</v>
      </c>
      <c r="I96" s="287">
        <f t="shared" si="100"/>
        <v>0.58025624346246407</v>
      </c>
      <c r="J96" s="287">
        <f t="shared" si="101"/>
        <v>0.49846380473719776</v>
      </c>
      <c r="K96" s="287">
        <f t="shared" si="102"/>
        <v>0.41667136601193139</v>
      </c>
      <c r="L96" s="287">
        <f t="shared" si="103"/>
        <v>0.33487892728666507</v>
      </c>
      <c r="M96" s="518"/>
    </row>
    <row r="97" spans="1:12" x14ac:dyDescent="0.25">
      <c r="B97" s="101" t="str">
        <f t="shared" si="92"/>
        <v>EU</v>
      </c>
      <c r="C97" s="191">
        <f t="shared" si="94"/>
        <v>1</v>
      </c>
      <c r="D97" s="192">
        <f t="shared" si="95"/>
        <v>0.88673642000452668</v>
      </c>
      <c r="E97" s="192">
        <f t="shared" si="96"/>
        <v>0.83350422185242257</v>
      </c>
      <c r="F97" s="192">
        <f t="shared" si="97"/>
        <v>0.75837485249771808</v>
      </c>
      <c r="G97" s="192">
        <f t="shared" si="98"/>
        <v>0.68324548314301359</v>
      </c>
      <c r="H97" s="192">
        <f t="shared" si="99"/>
        <v>0.6081161137883091</v>
      </c>
      <c r="I97" s="192">
        <f t="shared" si="100"/>
        <v>0.53298674443360461</v>
      </c>
      <c r="J97" s="192">
        <f t="shared" si="101"/>
        <v>0.45785737507890012</v>
      </c>
      <c r="K97" s="192">
        <f t="shared" si="102"/>
        <v>0.38272800572419563</v>
      </c>
      <c r="L97" s="192">
        <f t="shared" si="103"/>
        <v>0.30759863636949114</v>
      </c>
    </row>
    <row r="107" spans="1:12" x14ac:dyDescent="0.25">
      <c r="B107">
        <v>2005</v>
      </c>
      <c r="C107" s="45">
        <f>G115/H115</f>
        <v>2285.1784633998845</v>
      </c>
    </row>
    <row r="108" spans="1:12" x14ac:dyDescent="0.25">
      <c r="B108">
        <v>2010</v>
      </c>
      <c r="C108" s="45">
        <f>D113/D114*(-1)</f>
        <v>2149.4252873563273</v>
      </c>
    </row>
    <row r="109" spans="1:12" x14ac:dyDescent="0.25">
      <c r="B109">
        <v>2013</v>
      </c>
    </row>
    <row r="110" spans="1:12" x14ac:dyDescent="0.25">
      <c r="D110">
        <f>(D112-C112)/2</f>
        <v>-37.400000000000091</v>
      </c>
    </row>
    <row r="111" spans="1:12" x14ac:dyDescent="0.25">
      <c r="B111" s="35"/>
      <c r="C111" s="35">
        <f>C20</f>
        <v>2013</v>
      </c>
      <c r="D111" s="35">
        <f>D20</f>
        <v>2015</v>
      </c>
      <c r="E111" s="35">
        <f>E20</f>
        <v>2020</v>
      </c>
      <c r="F111" s="35">
        <f>F20</f>
        <v>2025</v>
      </c>
      <c r="G111" s="35">
        <f>G20</f>
        <v>2030</v>
      </c>
    </row>
    <row r="112" spans="1:12" x14ac:dyDescent="0.25">
      <c r="A112" s="494" t="s">
        <v>185</v>
      </c>
      <c r="B112" s="289" t="s">
        <v>186</v>
      </c>
      <c r="C112" s="290">
        <f>C108+3*D113</f>
        <v>2037.225287356327</v>
      </c>
      <c r="D112" s="290">
        <f>$C$108+5*$D$113</f>
        <v>1962.4252873563269</v>
      </c>
      <c r="E112" s="290">
        <f>D112+5*$D$113</f>
        <v>1775.4252873563264</v>
      </c>
      <c r="F112" s="290">
        <f t="shared" ref="F112:G112" si="104">E112+5*$D$113</f>
        <v>1588.425287356326</v>
      </c>
      <c r="G112" s="290">
        <f t="shared" si="104"/>
        <v>1401.4252873563255</v>
      </c>
      <c r="H112" s="291">
        <f>G112/C107</f>
        <v>0.61326732673267337</v>
      </c>
      <c r="I112" s="131">
        <f>1-H112</f>
        <v>0.38673267326732663</v>
      </c>
    </row>
    <row r="113" spans="1:9" x14ac:dyDescent="0.25">
      <c r="A113" s="495"/>
      <c r="B113" s="292" t="s">
        <v>187</v>
      </c>
      <c r="C113" s="293"/>
      <c r="D113" s="293">
        <f>D23</f>
        <v>-37.400000000000091</v>
      </c>
      <c r="E113" s="293">
        <f t="shared" ref="E113:G113" si="105">(E112-D112)/(E111-D111)</f>
        <v>-37.400000000000091</v>
      </c>
      <c r="F113" s="293">
        <f t="shared" si="105"/>
        <v>-37.400000000000091</v>
      </c>
      <c r="G113" s="293">
        <f t="shared" si="105"/>
        <v>-37.400000000000091</v>
      </c>
    </row>
    <row r="114" spans="1:9" x14ac:dyDescent="0.25">
      <c r="A114" s="495"/>
      <c r="B114" s="292" t="s">
        <v>188</v>
      </c>
      <c r="C114" s="293"/>
      <c r="D114" s="294">
        <f>D11</f>
        <v>1.7399999999999999E-2</v>
      </c>
      <c r="E114" s="294">
        <f>E113/$C$108</f>
        <v>-1.7399999999999999E-2</v>
      </c>
      <c r="F114" s="294">
        <f t="shared" ref="F114:G114" si="106">F113/$C$108</f>
        <v>-1.7399999999999999E-2</v>
      </c>
      <c r="G114" s="294">
        <f t="shared" si="106"/>
        <v>-1.7399999999999999E-2</v>
      </c>
    </row>
    <row r="115" spans="1:9" x14ac:dyDescent="0.25">
      <c r="A115" s="494" t="s">
        <v>189</v>
      </c>
      <c r="B115" s="289" t="s">
        <v>186</v>
      </c>
      <c r="C115" s="290">
        <f>C112</f>
        <v>2037.225287356327</v>
      </c>
      <c r="D115" s="290">
        <f>$C$108+5*$D$113</f>
        <v>1962.4252873563269</v>
      </c>
      <c r="E115" s="290">
        <f>D115+5*$D$113</f>
        <v>1775.4252873563264</v>
      </c>
      <c r="F115" s="290">
        <f>E115-5*$D$12*$C$108</f>
        <v>1538.9885057471304</v>
      </c>
      <c r="G115" s="290">
        <f>F115-5*$D$12*$C$108</f>
        <v>1302.5517241379343</v>
      </c>
      <c r="H115" s="291">
        <f>1-I115</f>
        <v>0.57000000000000006</v>
      </c>
      <c r="I115" s="189">
        <v>0.43</v>
      </c>
    </row>
    <row r="116" spans="1:9" x14ac:dyDescent="0.25">
      <c r="A116" s="495"/>
      <c r="B116" s="292" t="s">
        <v>187</v>
      </c>
      <c r="C116" s="293"/>
      <c r="D116" s="293">
        <f>(D115-C115)/(D111-C111)</f>
        <v>-37.400000000000091</v>
      </c>
      <c r="E116" s="293">
        <f>(E115-D115)/(E111-D111)</f>
        <v>-37.400000000000091</v>
      </c>
      <c r="F116" s="74">
        <f t="shared" ref="F116:G116" si="107">(F115-E115)/(F111-E111)</f>
        <v>-47.287356321839205</v>
      </c>
      <c r="G116" s="74">
        <f t="shared" si="107"/>
        <v>-47.287356321839205</v>
      </c>
      <c r="H116" s="52"/>
    </row>
    <row r="117" spans="1:9" x14ac:dyDescent="0.25">
      <c r="A117" s="496"/>
      <c r="B117" s="193" t="s">
        <v>188</v>
      </c>
      <c r="C117" s="38"/>
      <c r="D117" s="295">
        <f>D116/$C$108</f>
        <v>-1.7399999999999999E-2</v>
      </c>
      <c r="E117" s="295">
        <f>E116/$C$108</f>
        <v>-1.7399999999999999E-2</v>
      </c>
      <c r="F117" s="295">
        <f>F116/$C$108</f>
        <v>-2.2000000000000002E-2</v>
      </c>
      <c r="G117" s="295">
        <f>G116/$C$108</f>
        <v>-2.2000000000000002E-2</v>
      </c>
    </row>
    <row r="118" spans="1:9" x14ac:dyDescent="0.25">
      <c r="C118" s="32"/>
      <c r="D118" s="32"/>
      <c r="E118" s="32"/>
      <c r="F118" s="32"/>
      <c r="G118" s="32"/>
    </row>
    <row r="119" spans="1:9" x14ac:dyDescent="0.25">
      <c r="D119" s="293"/>
    </row>
  </sheetData>
  <mergeCells count="20">
    <mergeCell ref="L21:M24"/>
    <mergeCell ref="L25:M28"/>
    <mergeCell ref="M90:M96"/>
    <mergeCell ref="A91:A96"/>
    <mergeCell ref="A50:A55"/>
    <mergeCell ref="A21:A24"/>
    <mergeCell ref="A25:A28"/>
    <mergeCell ref="A29:A32"/>
    <mergeCell ref="L29:M32"/>
    <mergeCell ref="M72:M78"/>
    <mergeCell ref="M81:M87"/>
    <mergeCell ref="A40:A45"/>
    <mergeCell ref="A60:A65"/>
    <mergeCell ref="C37:K38"/>
    <mergeCell ref="A112:A114"/>
    <mergeCell ref="A115:A117"/>
    <mergeCell ref="H10:J10"/>
    <mergeCell ref="E6:E11"/>
    <mergeCell ref="A73:A78"/>
    <mergeCell ref="A82:A87"/>
  </mergeCells>
  <conditionalFormatting sqref="C47:S47">
    <cfRule type="cellIs" dxfId="4" priority="7" operator="notEqual">
      <formula>0</formula>
    </cfRule>
  </conditionalFormatting>
  <conditionalFormatting sqref="C80:M80">
    <cfRule type="cellIs" dxfId="3" priority="3" operator="notEqual">
      <formula>0</formula>
    </cfRule>
  </conditionalFormatting>
  <conditionalFormatting sqref="C67:S68">
    <cfRule type="cellIs" dxfId="2" priority="5" operator="notEqual">
      <formula>0</formula>
    </cfRule>
  </conditionalFormatting>
  <conditionalFormatting sqref="C71:S71">
    <cfRule type="cellIs" dxfId="1" priority="2" operator="notEqual">
      <formula>0</formula>
    </cfRule>
  </conditionalFormatting>
  <conditionalFormatting sqref="C57:S57">
    <cfRule type="cellIs" dxfId="0" priority="1" operator="notEqual">
      <formula>0</formula>
    </cfRule>
  </conditionalFormatting>
  <hyperlinks>
    <hyperlink ref="B2" r:id="rId1"/>
    <hyperlink ref="I5" r:id="rId2"/>
  </hyperlinks>
  <pageMargins left="0.7" right="0.7" top="0.78740157499999996" bottom="0.78740157499999996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I57"/>
  <sheetViews>
    <sheetView workbookViewId="0">
      <selection activeCell="G24" sqref="G24"/>
    </sheetView>
  </sheetViews>
  <sheetFormatPr defaultColWidth="11.42578125" defaultRowHeight="15" x14ac:dyDescent="0.25"/>
  <cols>
    <col min="2" max="2" width="12.85546875" bestFit="1" customWidth="1"/>
    <col min="3" max="3" width="13.5703125" bestFit="1" customWidth="1"/>
    <col min="4" max="4" width="13.5703125" customWidth="1"/>
    <col min="5" max="5" width="12.85546875" bestFit="1" customWidth="1"/>
    <col min="6" max="6" width="32.7109375" customWidth="1"/>
    <col min="8" max="8" width="12.7109375" bestFit="1" customWidth="1"/>
  </cols>
  <sheetData>
    <row r="1" spans="1:9" x14ac:dyDescent="0.25">
      <c r="A1" t="s">
        <v>197</v>
      </c>
    </row>
    <row r="2" spans="1:9" x14ac:dyDescent="0.25">
      <c r="A2" s="314">
        <v>42170</v>
      </c>
      <c r="C2" t="s">
        <v>136</v>
      </c>
      <c r="D2" s="190" t="s">
        <v>213</v>
      </c>
    </row>
    <row r="3" spans="1:9" s="308" customFormat="1" ht="9" customHeight="1" x14ac:dyDescent="0.25"/>
    <row r="4" spans="1:9" x14ac:dyDescent="0.25">
      <c r="A4" s="217" t="s">
        <v>192</v>
      </c>
    </row>
    <row r="5" spans="1:9" ht="30.75" customHeight="1" x14ac:dyDescent="0.25">
      <c r="B5" s="309" t="s">
        <v>194</v>
      </c>
      <c r="C5" s="309" t="s">
        <v>193</v>
      </c>
      <c r="D5" s="309" t="s">
        <v>214</v>
      </c>
      <c r="E5" s="309" t="s">
        <v>195</v>
      </c>
      <c r="F5" s="309" t="s">
        <v>216</v>
      </c>
      <c r="H5" t="str">
        <f>C25</f>
        <v>Effektiver Emissonspfad</v>
      </c>
      <c r="I5" s="309" t="s">
        <v>215</v>
      </c>
    </row>
    <row r="6" spans="1:9" x14ac:dyDescent="0.25">
      <c r="B6" s="310">
        <v>2013</v>
      </c>
      <c r="C6" s="311">
        <f>[4]Tabelle1!C4/10^6</f>
        <v>2199.4292489999998</v>
      </c>
      <c r="D6" s="311">
        <f>[4]Tabelle1!D4/10^6</f>
        <v>1959.7103279999999</v>
      </c>
      <c r="E6" s="311">
        <f>[4]Tabelle1!E4/10^6</f>
        <v>-400</v>
      </c>
      <c r="F6" s="311">
        <f>[4]Tabelle1!F4/10^6</f>
        <v>3759.1395769999999</v>
      </c>
      <c r="G6" s="312">
        <f>F6/D6</f>
        <v>1.9182118516650488</v>
      </c>
      <c r="I6" s="32">
        <f>F6</f>
        <v>3759.1395769999999</v>
      </c>
    </row>
    <row r="7" spans="1:9" x14ac:dyDescent="0.25">
      <c r="B7" s="310">
        <v>2014</v>
      </c>
      <c r="C7" s="311">
        <f>[4]Tabelle1!C5/10^6</f>
        <v>2025.942022</v>
      </c>
      <c r="D7" s="311">
        <f>[4]Tabelle1!D5/10^6</f>
        <v>1812</v>
      </c>
      <c r="E7" s="311">
        <f>[4]Tabelle1!E5/10^6</f>
        <v>-400</v>
      </c>
      <c r="F7" s="311">
        <f>[4]Tabelle1!F5/10^6</f>
        <v>3437.9420220000002</v>
      </c>
      <c r="G7" s="148">
        <f t="shared" ref="G7:G22" si="0">F7/D7</f>
        <v>1.8973189966887418</v>
      </c>
    </row>
    <row r="8" spans="1:9" x14ac:dyDescent="0.25">
      <c r="B8" s="310">
        <v>2015</v>
      </c>
      <c r="C8" s="311">
        <f>[4]Tabelle1!C6/10^6</f>
        <v>1874.728824</v>
      </c>
      <c r="D8" s="311">
        <f>[4]Tabelle1!D6/10^6</f>
        <v>1988.21</v>
      </c>
      <c r="E8" s="311">
        <f>[4]Tabelle1!E6/10^6</f>
        <v>-400</v>
      </c>
      <c r="F8" s="311">
        <f>[4]Tabelle1!F6/10^6</f>
        <v>3462.9388239999998</v>
      </c>
      <c r="G8" s="312">
        <f>F8/D8</f>
        <v>1.7417369513280789</v>
      </c>
      <c r="H8" s="32">
        <f>C26</f>
        <v>3304.0550377999998</v>
      </c>
      <c r="I8" s="32">
        <f>F8</f>
        <v>3462.9388239999998</v>
      </c>
    </row>
    <row r="9" spans="1:9" x14ac:dyDescent="0.25">
      <c r="B9" s="310">
        <v>2016</v>
      </c>
      <c r="C9" s="311">
        <f>[4]Tabelle1!C7/10^6</f>
        <v>1464.3386599999999</v>
      </c>
      <c r="D9" s="311">
        <f>[4]Tabelle1!D7/10^6</f>
        <v>1983.2919999999999</v>
      </c>
      <c r="E9" s="311">
        <f>[4]Tabelle1!E7/10^6</f>
        <v>-400</v>
      </c>
      <c r="F9" s="311">
        <f>[4]Tabelle1!F7/10^6</f>
        <v>3047.6306599999998</v>
      </c>
      <c r="G9" s="148">
        <f t="shared" si="0"/>
        <v>1.536652525195483</v>
      </c>
    </row>
    <row r="10" spans="1:9" x14ac:dyDescent="0.25">
      <c r="B10" s="310">
        <v>2017</v>
      </c>
      <c r="C10" s="311">
        <f>[4]Tabelle1!C8/10^6</f>
        <v>1234.250106</v>
      </c>
      <c r="D10" s="311">
        <f>[4]Tabelle1!D8/10^6</f>
        <v>1978.374</v>
      </c>
      <c r="E10" s="311">
        <f>[4]Tabelle1!E8/10^6</f>
        <v>-400</v>
      </c>
      <c r="F10" s="311">
        <f>[4]Tabelle1!F8/10^6</f>
        <v>2812.6241060000002</v>
      </c>
      <c r="G10" s="148">
        <f t="shared" si="0"/>
        <v>1.4216847299853315</v>
      </c>
    </row>
    <row r="11" spans="1:9" x14ac:dyDescent="0.25">
      <c r="B11" s="310">
        <v>2018</v>
      </c>
      <c r="C11" s="311">
        <f>[4]Tabelle1!C9/10^6</f>
        <v>984.53421100000003</v>
      </c>
      <c r="D11" s="311">
        <f>[4]Tabelle1!D9/10^6</f>
        <v>1973.4559999999999</v>
      </c>
      <c r="E11" s="311">
        <f>[4]Tabelle1!E9/10^6</f>
        <v>-400</v>
      </c>
      <c r="F11" s="311">
        <f>[4]Tabelle1!F9/10^6</f>
        <v>2557.9902109999998</v>
      </c>
      <c r="G11" s="148">
        <f t="shared" si="0"/>
        <v>1.2961982486561645</v>
      </c>
    </row>
    <row r="12" spans="1:9" x14ac:dyDescent="0.25">
      <c r="B12" s="310">
        <v>2019</v>
      </c>
      <c r="C12" s="311">
        <f>[4]Tabelle1!C10/10^6</f>
        <v>596.89391499999999</v>
      </c>
      <c r="D12" s="311">
        <f>[4]Tabelle1!D10/10^6</f>
        <v>1968.538</v>
      </c>
      <c r="E12" s="311">
        <f>[4]Tabelle1!E10/10^6</f>
        <v>-400</v>
      </c>
      <c r="F12" s="311">
        <f>[4]Tabelle1!F10/10^6</f>
        <v>2165.4319150000001</v>
      </c>
      <c r="G12" s="148">
        <f t="shared" si="0"/>
        <v>1.1000203780673781</v>
      </c>
    </row>
    <row r="13" spans="1:9" x14ac:dyDescent="0.25">
      <c r="B13" s="310">
        <v>2020</v>
      </c>
      <c r="C13" s="311">
        <f>[4]Tabelle1!C11/10^6</f>
        <v>307.71187400000002</v>
      </c>
      <c r="D13" s="311">
        <f>[4]Tabelle1!D11/10^6</f>
        <v>1963.62</v>
      </c>
      <c r="E13" s="311">
        <f>[4]Tabelle1!E11/10^6</f>
        <v>-400</v>
      </c>
      <c r="F13" s="311">
        <f>[4]Tabelle1!F11/10^6</f>
        <v>1871.331874</v>
      </c>
      <c r="G13" s="312">
        <f t="shared" si="0"/>
        <v>0.95300102565669531</v>
      </c>
      <c r="H13" s="32">
        <f>C27</f>
        <v>2012.1835694000001</v>
      </c>
      <c r="I13" s="32">
        <f>F13</f>
        <v>1871.331874</v>
      </c>
    </row>
    <row r="14" spans="1:9" x14ac:dyDescent="0.25">
      <c r="B14" s="310">
        <v>2021</v>
      </c>
      <c r="C14" s="311">
        <f>[4]Tabelle1!C12/10^6</f>
        <v>270.68793399999998</v>
      </c>
      <c r="D14" s="311">
        <f>[4]Tabelle1!D12/10^6</f>
        <v>1905.096</v>
      </c>
      <c r="E14" s="311">
        <f>[4]Tabelle1!E12/10^6</f>
        <v>-400</v>
      </c>
      <c r="F14" s="311">
        <f>[4]Tabelle1!F12/10^6</f>
        <v>1775.783934</v>
      </c>
      <c r="G14" s="148">
        <f t="shared" si="0"/>
        <v>0.93212307096335301</v>
      </c>
    </row>
    <row r="15" spans="1:9" x14ac:dyDescent="0.25">
      <c r="B15" s="310">
        <v>2022</v>
      </c>
      <c r="C15" s="311">
        <f>[4]Tabelle1!C13/10^6</f>
        <v>243.80791300000001</v>
      </c>
      <c r="D15" s="311">
        <f>[4]Tabelle1!D13/10^6</f>
        <v>1846.5719999999999</v>
      </c>
      <c r="E15" s="311">
        <f>[4]Tabelle1!E13/10^6</f>
        <v>-400</v>
      </c>
      <c r="F15" s="311">
        <f>[4]Tabelle1!F13/10^6</f>
        <v>1690.379913</v>
      </c>
      <c r="G15" s="148">
        <f t="shared" si="0"/>
        <v>0.91541511135227871</v>
      </c>
    </row>
    <row r="16" spans="1:9" x14ac:dyDescent="0.25">
      <c r="B16" s="310">
        <v>2023</v>
      </c>
      <c r="C16" s="311">
        <f>[4]Tabelle1!C14/10^6</f>
        <v>227.071811</v>
      </c>
      <c r="D16" s="311">
        <f>[4]Tabelle1!D14/10^6</f>
        <v>1788.048</v>
      </c>
      <c r="E16" s="311">
        <f>[4]Tabelle1!E14/10^6</f>
        <v>-400</v>
      </c>
      <c r="F16" s="311">
        <f>[4]Tabelle1!F14/10^6</f>
        <v>1615.119811</v>
      </c>
      <c r="G16" s="148">
        <f t="shared" si="0"/>
        <v>0.90328660695909735</v>
      </c>
    </row>
    <row r="17" spans="1:9" x14ac:dyDescent="0.25">
      <c r="B17" s="310">
        <v>2024</v>
      </c>
      <c r="C17" s="311">
        <f>[4]Tabelle1!C15/10^6</f>
        <v>220.47962799999999</v>
      </c>
      <c r="D17" s="311">
        <f>[4]Tabelle1!D15/10^6</f>
        <v>1729.5239999999999</v>
      </c>
      <c r="E17" s="311">
        <f>[4]Tabelle1!E15/10^6</f>
        <v>-400</v>
      </c>
      <c r="F17" s="311">
        <f>[4]Tabelle1!F15/10^6</f>
        <v>1550.0036279999999</v>
      </c>
      <c r="G17" s="148">
        <f t="shared" si="0"/>
        <v>0.89620243951514988</v>
      </c>
    </row>
    <row r="18" spans="1:9" x14ac:dyDescent="0.25">
      <c r="B18" s="310">
        <v>2025</v>
      </c>
      <c r="C18" s="311">
        <f>[4]Tabelle1!C16/10^6</f>
        <v>224.031364</v>
      </c>
      <c r="D18" s="311">
        <f>[4]Tabelle1!D16/10^6</f>
        <v>1671</v>
      </c>
      <c r="E18" s="311">
        <f>[4]Tabelle1!E16/10^6</f>
        <v>-400</v>
      </c>
      <c r="F18" s="311">
        <f>[4]Tabelle1!F16/10^6</f>
        <v>1495.0313639999999</v>
      </c>
      <c r="G18" s="312">
        <f t="shared" si="0"/>
        <v>0.89469261759425489</v>
      </c>
      <c r="H18" s="32">
        <f>C28</f>
        <v>1504.2704829999998</v>
      </c>
      <c r="I18" s="32">
        <f>F18</f>
        <v>1495.0313639999999</v>
      </c>
    </row>
    <row r="19" spans="1:9" x14ac:dyDescent="0.25">
      <c r="B19" s="310">
        <v>2026</v>
      </c>
      <c r="C19" s="311">
        <f>[4]Tabelle1!C17/10^6</f>
        <v>233.20301900000001</v>
      </c>
      <c r="D19" s="311">
        <f>[4]Tabelle1!D17/10^6</f>
        <v>1617</v>
      </c>
      <c r="E19" s="311">
        <f>[4]Tabelle1!E17/10^6</f>
        <v>-400</v>
      </c>
      <c r="F19" s="311">
        <f>[4]Tabelle1!F17/10^6</f>
        <v>1450.203019</v>
      </c>
      <c r="G19" s="148">
        <f t="shared" si="0"/>
        <v>0.89684787816944966</v>
      </c>
    </row>
    <row r="20" spans="1:9" x14ac:dyDescent="0.25">
      <c r="B20" s="310">
        <v>2027</v>
      </c>
      <c r="C20" s="311">
        <f>[4]Tabelle1!C18/10^6</f>
        <v>247.99459300000001</v>
      </c>
      <c r="D20" s="311">
        <f>[4]Tabelle1!D18/10^6</f>
        <v>1563</v>
      </c>
      <c r="E20" s="311">
        <f>[4]Tabelle1!E18/10^6</f>
        <v>-400</v>
      </c>
      <c r="F20" s="311">
        <f>[4]Tabelle1!F18/10^6</f>
        <v>1410.9945929999999</v>
      </c>
      <c r="G20" s="148">
        <f t="shared" si="0"/>
        <v>0.90274766026871389</v>
      </c>
    </row>
    <row r="21" spans="1:9" x14ac:dyDescent="0.25">
      <c r="B21" s="310">
        <v>2028</v>
      </c>
      <c r="C21" s="311">
        <f>[4]Tabelle1!C19/10^6</f>
        <v>268.40608600000002</v>
      </c>
      <c r="D21" s="311">
        <f>[4]Tabelle1!D19/10^6</f>
        <v>1509</v>
      </c>
      <c r="E21" s="311">
        <f>[4]Tabelle1!E19/10^6</f>
        <v>-400</v>
      </c>
      <c r="F21" s="311">
        <f>[4]Tabelle1!F19/10^6</f>
        <v>1377.406086</v>
      </c>
      <c r="G21" s="148">
        <f t="shared" si="0"/>
        <v>0.91279396023856851</v>
      </c>
    </row>
    <row r="22" spans="1:9" x14ac:dyDescent="0.25">
      <c r="B22" s="310">
        <v>2029</v>
      </c>
      <c r="C22" s="311">
        <f>[4]Tabelle1!C20/10^6</f>
        <v>294.43749800000001</v>
      </c>
      <c r="D22" s="311">
        <f>[4]Tabelle1!D20/10^6</f>
        <v>1455</v>
      </c>
      <c r="E22" s="311">
        <f>[4]Tabelle1!E20/10^6</f>
        <v>-400</v>
      </c>
      <c r="F22" s="311">
        <f>[4]Tabelle1!F20/10^6</f>
        <v>1349.437498</v>
      </c>
      <c r="G22" s="148">
        <f t="shared" si="0"/>
        <v>0.927448452233677</v>
      </c>
    </row>
    <row r="23" spans="1:9" x14ac:dyDescent="0.25">
      <c r="B23" s="310">
        <v>2030</v>
      </c>
      <c r="C23" s="311">
        <f>[4]Tabelle1!C21/10^6</f>
        <v>326.08882899999998</v>
      </c>
      <c r="D23" s="311">
        <f>[4]Tabelle1!D21/10^6</f>
        <v>1401</v>
      </c>
      <c r="E23" s="311">
        <f>[4]Tabelle1!E21/10^6</f>
        <v>-400</v>
      </c>
      <c r="F23" s="311">
        <f>[4]Tabelle1!F21/10^6</f>
        <v>1327.088829</v>
      </c>
      <c r="G23" s="312">
        <f>F23/D23</f>
        <v>0.94724398929336195</v>
      </c>
      <c r="H23" s="32">
        <f>C29</f>
        <v>1351.3108043333334</v>
      </c>
      <c r="I23" s="32">
        <f>F23</f>
        <v>1327.088829</v>
      </c>
    </row>
    <row r="24" spans="1:9" x14ac:dyDescent="0.25">
      <c r="G24" s="313"/>
    </row>
    <row r="25" spans="1:9" x14ac:dyDescent="0.25">
      <c r="C25" s="35" t="s">
        <v>196</v>
      </c>
    </row>
    <row r="26" spans="1:9" x14ac:dyDescent="0.25">
      <c r="B26" s="310">
        <v>2015</v>
      </c>
      <c r="C26" s="311">
        <f>AVERAGE(F6:F10)</f>
        <v>3304.0550377999998</v>
      </c>
      <c r="D26">
        <f>C26/C$26</f>
        <v>1</v>
      </c>
    </row>
    <row r="27" spans="1:9" x14ac:dyDescent="0.25">
      <c r="B27" s="310">
        <v>2020</v>
      </c>
      <c r="C27" s="32">
        <f>AVERAGE(F11:F15)</f>
        <v>2012.1835694000001</v>
      </c>
      <c r="D27" s="68">
        <f t="shared" ref="D27:D29" si="1">C27/C$26</f>
        <v>0.60900425276808023</v>
      </c>
    </row>
    <row r="28" spans="1:9" x14ac:dyDescent="0.25">
      <c r="B28" s="310">
        <v>2025</v>
      </c>
      <c r="C28" s="32">
        <f>AVERAGE(F16:F20)</f>
        <v>1504.2704829999998</v>
      </c>
      <c r="D28" s="68">
        <f t="shared" si="1"/>
        <v>0.4552800924289736</v>
      </c>
    </row>
    <row r="29" spans="1:9" x14ac:dyDescent="0.25">
      <c r="B29" s="310">
        <v>2030</v>
      </c>
      <c r="C29" s="32">
        <f>AVERAGE(F21:F23)</f>
        <v>1351.3108043333334</v>
      </c>
      <c r="D29" s="68">
        <f t="shared" si="1"/>
        <v>0.40898556134013486</v>
      </c>
    </row>
    <row r="31" spans="1:9" s="308" customFormat="1" ht="9" customHeight="1" x14ac:dyDescent="0.25"/>
    <row r="32" spans="1:9" x14ac:dyDescent="0.25">
      <c r="A32" s="217" t="s">
        <v>212</v>
      </c>
    </row>
    <row r="33" spans="2:9" ht="28.5" customHeight="1" x14ac:dyDescent="0.25">
      <c r="B33" s="309" t="str">
        <f>B5</f>
        <v>Jahr</v>
      </c>
      <c r="C33" s="309" t="str">
        <f t="shared" ref="C33:F33" si="2">C5</f>
        <v>Umlaufmenge</v>
      </c>
      <c r="D33" s="309" t="str">
        <f t="shared" si="2"/>
        <v>Emissionspfad TIMES-PanEU</v>
      </c>
      <c r="E33" s="309" t="str">
        <f t="shared" si="2"/>
        <v>Korrektur Knappheit</v>
      </c>
      <c r="F33" s="309" t="str">
        <f t="shared" si="2"/>
        <v>Effektives CO2-Cap (=Emissionen + Umlaufmenge - Knappheitskorrektur)</v>
      </c>
      <c r="H33" t="str">
        <f>C53</f>
        <v>Effektiver Emissonspfad</v>
      </c>
      <c r="I33" s="309" t="s">
        <v>215</v>
      </c>
    </row>
    <row r="34" spans="2:9" x14ac:dyDescent="0.25">
      <c r="B34" s="310">
        <v>2013</v>
      </c>
      <c r="C34" s="311">
        <f>[4]Tabelle1!C4/10^6</f>
        <v>2199.4292489999998</v>
      </c>
      <c r="D34" s="311">
        <f>[4]Tabelle1!D4/10^6</f>
        <v>1959.7103279999999</v>
      </c>
      <c r="E34" s="311">
        <f>[4]Tabelle1!E4/10^6</f>
        <v>-400</v>
      </c>
      <c r="F34" s="311">
        <f>[4]Tabelle1!F4/10^6</f>
        <v>3759.1395769999999</v>
      </c>
      <c r="G34" s="312">
        <f>F34/D34</f>
        <v>1.9182118516650488</v>
      </c>
      <c r="I34" s="32">
        <f>F34</f>
        <v>3759.1395769999999</v>
      </c>
    </row>
    <row r="35" spans="2:9" x14ac:dyDescent="0.25">
      <c r="B35" s="310">
        <v>2014</v>
      </c>
      <c r="C35" s="311">
        <f>[4]Tabelle1!C5/10^6</f>
        <v>2025.942022</v>
      </c>
      <c r="D35" s="311">
        <f>[4]Tabelle1!D5/10^6</f>
        <v>1812</v>
      </c>
      <c r="E35" s="311">
        <f>[4]Tabelle1!E5/10^6</f>
        <v>-400</v>
      </c>
      <c r="F35" s="311">
        <f>[4]Tabelle1!F5/10^6</f>
        <v>3437.9420220000002</v>
      </c>
      <c r="G35" s="148">
        <f t="shared" ref="G35" si="3">F35/D35</f>
        <v>1.8973189966887418</v>
      </c>
    </row>
    <row r="36" spans="2:9" x14ac:dyDescent="0.25">
      <c r="B36" s="310">
        <v>2015</v>
      </c>
      <c r="C36" s="311">
        <f>[4]Tabelle1!C6/10^6</f>
        <v>1874.728824</v>
      </c>
      <c r="D36" s="311">
        <f>[4]Tabelle1!D6/10^6</f>
        <v>1988.21</v>
      </c>
      <c r="E36" s="311">
        <f>[4]Tabelle1!E6/10^6</f>
        <v>-400</v>
      </c>
      <c r="F36" s="311">
        <f>[4]Tabelle1!F6/10^6</f>
        <v>3462.9388239999998</v>
      </c>
      <c r="G36" s="312">
        <f>F36/D36</f>
        <v>1.7417369513280789</v>
      </c>
      <c r="H36" s="32">
        <f>C54</f>
        <v>3304.0550377999998</v>
      </c>
      <c r="I36" s="32">
        <f>F36</f>
        <v>3462.9388239999998</v>
      </c>
    </row>
    <row r="37" spans="2:9" x14ac:dyDescent="0.25">
      <c r="B37" s="310">
        <v>2016</v>
      </c>
      <c r="C37" s="311">
        <f>[4]Tabelle1!C7/10^6</f>
        <v>1464.3386599999999</v>
      </c>
      <c r="D37" s="311">
        <f>[4]Tabelle1!D7/10^6</f>
        <v>1983.2919999999999</v>
      </c>
      <c r="E37" s="311">
        <f>[4]Tabelle1!E7/10^6</f>
        <v>-400</v>
      </c>
      <c r="F37" s="311">
        <f>[4]Tabelle1!F7/10^6</f>
        <v>3047.6306599999998</v>
      </c>
      <c r="G37" s="148">
        <f t="shared" ref="G37:G50" si="4">F37/D37</f>
        <v>1.536652525195483</v>
      </c>
    </row>
    <row r="38" spans="2:9" x14ac:dyDescent="0.25">
      <c r="B38" s="310">
        <v>2017</v>
      </c>
      <c r="C38" s="311">
        <f>[4]Tabelle1!C8/10^6</f>
        <v>1234.250106</v>
      </c>
      <c r="D38" s="311">
        <f>[4]Tabelle1!D8/10^6</f>
        <v>1978.374</v>
      </c>
      <c r="E38" s="311">
        <f>[4]Tabelle1!E8/10^6</f>
        <v>-400</v>
      </c>
      <c r="F38" s="311">
        <f>[4]Tabelle1!F8/10^6</f>
        <v>2812.6241060000002</v>
      </c>
      <c r="G38" s="148">
        <f t="shared" si="4"/>
        <v>1.4216847299853315</v>
      </c>
    </row>
    <row r="39" spans="2:9" x14ac:dyDescent="0.25">
      <c r="B39" s="310">
        <v>2018</v>
      </c>
      <c r="C39" s="311">
        <f>[4]Tabelle1!C9/10^6</f>
        <v>984.53421100000003</v>
      </c>
      <c r="D39" s="311">
        <f>[4]Tabelle1!D9/10^6</f>
        <v>1973.4559999999999</v>
      </c>
      <c r="E39" s="311">
        <f>[4]Tabelle1!E9/10^6</f>
        <v>-400</v>
      </c>
      <c r="F39" s="311">
        <f>[4]Tabelle1!F9/10^6</f>
        <v>2557.9902109999998</v>
      </c>
      <c r="G39" s="148">
        <f t="shared" si="4"/>
        <v>1.2961982486561645</v>
      </c>
    </row>
    <row r="40" spans="2:9" x14ac:dyDescent="0.25">
      <c r="B40" s="310">
        <v>2019</v>
      </c>
      <c r="C40" s="311">
        <f>[4]Tabelle1!C10/10^6</f>
        <v>596.89391499999999</v>
      </c>
      <c r="D40" s="311">
        <f>[4]Tabelle1!D10/10^6</f>
        <v>1968.538</v>
      </c>
      <c r="E40" s="311">
        <f>[4]Tabelle1!E10/10^6</f>
        <v>-400</v>
      </c>
      <c r="F40" s="311">
        <f>[4]Tabelle1!F10/10^6</f>
        <v>2165.4319150000001</v>
      </c>
      <c r="G40" s="148">
        <f t="shared" si="4"/>
        <v>1.1000203780673781</v>
      </c>
    </row>
    <row r="41" spans="2:9" x14ac:dyDescent="0.25">
      <c r="B41" s="310">
        <v>2020</v>
      </c>
      <c r="C41" s="311">
        <f>[4]Tabelle1!C11/10^6</f>
        <v>307.71187400000002</v>
      </c>
      <c r="D41" s="311">
        <f>[4]Tabelle1!D11/10^6</f>
        <v>1963.62</v>
      </c>
      <c r="E41" s="311">
        <f>[4]Tabelle1!E11/10^6</f>
        <v>-400</v>
      </c>
      <c r="F41" s="311">
        <f>[4]Tabelle1!F11/10^6</f>
        <v>1871.331874</v>
      </c>
      <c r="G41" s="312">
        <f t="shared" si="4"/>
        <v>0.95300102565669531</v>
      </c>
      <c r="H41" s="32">
        <f>C55</f>
        <v>2012.1835694000001</v>
      </c>
      <c r="I41" s="32">
        <f>F41</f>
        <v>1871.331874</v>
      </c>
    </row>
    <row r="42" spans="2:9" x14ac:dyDescent="0.25">
      <c r="B42" s="310">
        <v>2021</v>
      </c>
      <c r="C42" s="311">
        <f>[4]Tabelle1!C12/10^6</f>
        <v>270.68793399999998</v>
      </c>
      <c r="D42" s="311">
        <f>[4]Tabelle1!D12/10^6</f>
        <v>1905.096</v>
      </c>
      <c r="E42" s="311">
        <f>[4]Tabelle1!E12/10^6</f>
        <v>-400</v>
      </c>
      <c r="F42" s="311">
        <f>[4]Tabelle1!F12/10^6</f>
        <v>1775.783934</v>
      </c>
      <c r="G42" s="148">
        <f t="shared" si="4"/>
        <v>0.93212307096335301</v>
      </c>
    </row>
    <row r="43" spans="2:9" x14ac:dyDescent="0.25">
      <c r="B43" s="310">
        <v>2022</v>
      </c>
      <c r="C43" s="311">
        <f>[4]Tabelle1!C13/10^6</f>
        <v>243.80791300000001</v>
      </c>
      <c r="D43" s="311">
        <f>[4]Tabelle1!D13/10^6</f>
        <v>1846.5719999999999</v>
      </c>
      <c r="E43" s="311">
        <f>[4]Tabelle1!E13/10^6</f>
        <v>-400</v>
      </c>
      <c r="F43" s="311">
        <f>[4]Tabelle1!F13/10^6</f>
        <v>1690.379913</v>
      </c>
      <c r="G43" s="148">
        <f t="shared" si="4"/>
        <v>0.91541511135227871</v>
      </c>
    </row>
    <row r="44" spans="2:9" x14ac:dyDescent="0.25">
      <c r="B44" s="310">
        <v>2023</v>
      </c>
      <c r="C44" s="311">
        <f>[4]Tabelle1!C14/10^6</f>
        <v>227.071811</v>
      </c>
      <c r="D44" s="311">
        <f>[4]Tabelle1!D14/10^6</f>
        <v>1788.048</v>
      </c>
      <c r="E44" s="311">
        <f>[4]Tabelle1!E14/10^6</f>
        <v>-400</v>
      </c>
      <c r="F44" s="311">
        <f>[4]Tabelle1!F14/10^6</f>
        <v>1615.119811</v>
      </c>
      <c r="G44" s="148">
        <f t="shared" si="4"/>
        <v>0.90328660695909735</v>
      </c>
    </row>
    <row r="45" spans="2:9" x14ac:dyDescent="0.25">
      <c r="B45" s="310">
        <v>2024</v>
      </c>
      <c r="C45" s="311">
        <f>[4]Tabelle1!C15/10^6</f>
        <v>220.47962799999999</v>
      </c>
      <c r="D45" s="311">
        <f>[4]Tabelle1!D15/10^6</f>
        <v>1729.5239999999999</v>
      </c>
      <c r="E45" s="311">
        <f>[4]Tabelle1!E15/10^6</f>
        <v>-400</v>
      </c>
      <c r="F45" s="311">
        <f>[4]Tabelle1!F15/10^6</f>
        <v>1550.0036279999999</v>
      </c>
      <c r="G45" s="148">
        <f t="shared" si="4"/>
        <v>0.89620243951514988</v>
      </c>
    </row>
    <row r="46" spans="2:9" x14ac:dyDescent="0.25">
      <c r="B46" s="310">
        <v>2025</v>
      </c>
      <c r="C46" s="311">
        <f>[4]Tabelle1!C16/10^6</f>
        <v>224.031364</v>
      </c>
      <c r="D46" s="311">
        <f>[4]Tabelle1!D16/10^6</f>
        <v>1671</v>
      </c>
      <c r="E46" s="311">
        <f>[4]Tabelle1!E16/10^6</f>
        <v>-400</v>
      </c>
      <c r="F46" s="311">
        <f>[4]Tabelle1!F16/10^6</f>
        <v>1495.0313639999999</v>
      </c>
      <c r="G46" s="312">
        <f t="shared" si="4"/>
        <v>0.89469261759425489</v>
      </c>
      <c r="H46" s="32">
        <f>C56</f>
        <v>1504.2704829999998</v>
      </c>
      <c r="I46" s="32">
        <f>F46</f>
        <v>1495.0313639999999</v>
      </c>
    </row>
    <row r="47" spans="2:9" x14ac:dyDescent="0.25">
      <c r="B47" s="310">
        <v>2026</v>
      </c>
      <c r="C47" s="311">
        <f>[4]Tabelle1!C17/10^6</f>
        <v>233.20301900000001</v>
      </c>
      <c r="D47" s="311">
        <f>[4]Tabelle1!D17/10^6</f>
        <v>1617</v>
      </c>
      <c r="E47" s="311">
        <f>[4]Tabelle1!E17/10^6</f>
        <v>-400</v>
      </c>
      <c r="F47" s="311">
        <f>[4]Tabelle1!F17/10^6</f>
        <v>1450.203019</v>
      </c>
      <c r="G47" s="148">
        <f t="shared" si="4"/>
        <v>0.89684787816944966</v>
      </c>
    </row>
    <row r="48" spans="2:9" x14ac:dyDescent="0.25">
      <c r="B48" s="310">
        <v>2027</v>
      </c>
      <c r="C48" s="311">
        <f>[4]Tabelle1!C18/10^6</f>
        <v>247.99459300000001</v>
      </c>
      <c r="D48" s="311">
        <f>[4]Tabelle1!D18/10^6</f>
        <v>1563</v>
      </c>
      <c r="E48" s="311">
        <f>[4]Tabelle1!E18/10^6</f>
        <v>-400</v>
      </c>
      <c r="F48" s="311">
        <f>[4]Tabelle1!F18/10^6</f>
        <v>1410.9945929999999</v>
      </c>
      <c r="G48" s="148">
        <f t="shared" si="4"/>
        <v>0.90274766026871389</v>
      </c>
    </row>
    <row r="49" spans="2:9" x14ac:dyDescent="0.25">
      <c r="B49" s="310">
        <v>2028</v>
      </c>
      <c r="C49" s="311">
        <f>[4]Tabelle1!C19/10^6</f>
        <v>268.40608600000002</v>
      </c>
      <c r="D49" s="311">
        <f>[4]Tabelle1!D19/10^6</f>
        <v>1509</v>
      </c>
      <c r="E49" s="311">
        <f>[4]Tabelle1!E19/10^6</f>
        <v>-400</v>
      </c>
      <c r="F49" s="311">
        <f>[4]Tabelle1!F19/10^6</f>
        <v>1377.406086</v>
      </c>
      <c r="G49" s="148">
        <f t="shared" si="4"/>
        <v>0.91279396023856851</v>
      </c>
    </row>
    <row r="50" spans="2:9" x14ac:dyDescent="0.25">
      <c r="B50" s="310">
        <v>2029</v>
      </c>
      <c r="C50" s="311">
        <f>[4]Tabelle1!C20/10^6</f>
        <v>294.43749800000001</v>
      </c>
      <c r="D50" s="311">
        <f>[4]Tabelle1!D20/10^6</f>
        <v>1455</v>
      </c>
      <c r="E50" s="311">
        <f>[4]Tabelle1!E20/10^6</f>
        <v>-400</v>
      </c>
      <c r="F50" s="311">
        <f>[4]Tabelle1!F20/10^6</f>
        <v>1349.437498</v>
      </c>
      <c r="G50" s="148">
        <f t="shared" si="4"/>
        <v>0.927448452233677</v>
      </c>
    </row>
    <row r="51" spans="2:9" x14ac:dyDescent="0.25">
      <c r="B51" s="310">
        <v>2030</v>
      </c>
      <c r="C51" s="311">
        <f>[4]Tabelle1!C21/10^6</f>
        <v>326.08882899999998</v>
      </c>
      <c r="D51" s="311">
        <f>[4]Tabelle1!D21/10^6</f>
        <v>1401</v>
      </c>
      <c r="E51" s="311">
        <f>[4]Tabelle1!E21/10^6</f>
        <v>-400</v>
      </c>
      <c r="F51" s="311">
        <f>[4]Tabelle1!F21/10^6</f>
        <v>1327.088829</v>
      </c>
      <c r="G51" s="312">
        <f>F51/D51</f>
        <v>0.94724398929336195</v>
      </c>
      <c r="H51" s="32">
        <f>C57</f>
        <v>1351.3108043333334</v>
      </c>
      <c r="I51" s="32">
        <f>F51</f>
        <v>1327.088829</v>
      </c>
    </row>
    <row r="52" spans="2:9" x14ac:dyDescent="0.25">
      <c r="G52" s="313"/>
    </row>
    <row r="53" spans="2:9" x14ac:dyDescent="0.25">
      <c r="C53" s="35" t="s">
        <v>196</v>
      </c>
    </row>
    <row r="54" spans="2:9" x14ac:dyDescent="0.25">
      <c r="B54" s="310">
        <v>2015</v>
      </c>
      <c r="C54" s="311">
        <f>AVERAGE(F34:F38)</f>
        <v>3304.0550377999998</v>
      </c>
      <c r="D54">
        <f>C54/C$26</f>
        <v>1</v>
      </c>
    </row>
    <row r="55" spans="2:9" x14ac:dyDescent="0.25">
      <c r="B55" s="310">
        <v>2020</v>
      </c>
      <c r="C55" s="32">
        <f>AVERAGE(F39:F43)</f>
        <v>2012.1835694000001</v>
      </c>
      <c r="D55" s="68">
        <f t="shared" ref="D55:D57" si="5">C55/C$26</f>
        <v>0.60900425276808023</v>
      </c>
    </row>
    <row r="56" spans="2:9" x14ac:dyDescent="0.25">
      <c r="B56" s="310">
        <v>2025</v>
      </c>
      <c r="C56" s="32">
        <f>AVERAGE(F44:F48)</f>
        <v>1504.2704829999998</v>
      </c>
      <c r="D56" s="68">
        <f t="shared" si="5"/>
        <v>0.4552800924289736</v>
      </c>
    </row>
    <row r="57" spans="2:9" x14ac:dyDescent="0.25">
      <c r="B57" s="310">
        <v>2030</v>
      </c>
      <c r="C57" s="32">
        <f>AVERAGE(F49:F51)</f>
        <v>1351.3108043333334</v>
      </c>
      <c r="D57" s="68">
        <f t="shared" si="5"/>
        <v>0.40898556134013486</v>
      </c>
    </row>
  </sheetData>
  <hyperlinks>
    <hyperlink ref="D2" r:id="rId1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W160"/>
  <sheetViews>
    <sheetView zoomScale="85" zoomScaleNormal="85" workbookViewId="0">
      <selection activeCell="C59" sqref="C59"/>
    </sheetView>
  </sheetViews>
  <sheetFormatPr defaultColWidth="11.42578125" defaultRowHeight="15" x14ac:dyDescent="0.25"/>
  <cols>
    <col min="1" max="1" width="26" customWidth="1"/>
    <col min="2" max="5" width="12.85546875" customWidth="1"/>
    <col min="6" max="6" width="14.28515625" customWidth="1"/>
    <col min="7" max="12" width="12.85546875" customWidth="1"/>
  </cols>
  <sheetData>
    <row r="1" spans="1:13" x14ac:dyDescent="0.25">
      <c r="A1" s="324" t="s">
        <v>136</v>
      </c>
      <c r="B1" s="190" t="s">
        <v>198</v>
      </c>
    </row>
    <row r="2" spans="1:13" x14ac:dyDescent="0.25">
      <c r="B2" s="130" t="s">
        <v>204</v>
      </c>
    </row>
    <row r="3" spans="1:13" x14ac:dyDescent="0.25">
      <c r="A3" s="266"/>
      <c r="B3" s="324" t="str">
        <f>[5]Tabelle1!A1</f>
        <v>bis 2013 mit Daten von:</v>
      </c>
      <c r="C3" s="190" t="s">
        <v>184</v>
      </c>
    </row>
    <row r="4" spans="1:13" x14ac:dyDescent="0.25">
      <c r="A4" s="35" t="str">
        <f>[5]Tabelle1!A15</f>
        <v>Angepasste Reduktionsfaktoren, zur Zielerreichung in 2020 und 2030</v>
      </c>
    </row>
    <row r="5" spans="1:13" x14ac:dyDescent="0.25">
      <c r="C5" s="322" t="s">
        <v>202</v>
      </c>
      <c r="E5" t="s">
        <v>203</v>
      </c>
      <c r="J5" t="str">
        <f>[5]Tabelle1!I16</f>
        <v>Reduktionsfaktor nach 2030 2,2%</v>
      </c>
    </row>
    <row r="6" spans="1:13" x14ac:dyDescent="0.25">
      <c r="B6" s="35">
        <f>[5]Tabelle1!B17</f>
        <v>2005</v>
      </c>
      <c r="C6" s="316">
        <v>2007</v>
      </c>
      <c r="D6" s="35">
        <f>[5]Tabelle1!C17</f>
        <v>2010</v>
      </c>
      <c r="E6" s="35">
        <f>[5]Tabelle1!D17</f>
        <v>2013</v>
      </c>
      <c r="F6" s="35">
        <f>[5]Tabelle1!E17</f>
        <v>2015</v>
      </c>
      <c r="G6" s="35">
        <f>[5]Tabelle1!F17</f>
        <v>2020</v>
      </c>
      <c r="H6" s="35">
        <f>[5]Tabelle1!G17</f>
        <v>2025</v>
      </c>
      <c r="I6" s="35">
        <f>[5]Tabelle1!H17</f>
        <v>2030</v>
      </c>
      <c r="J6" s="35">
        <f>[5]Tabelle1!I17</f>
        <v>2035</v>
      </c>
      <c r="K6" s="35">
        <f>[5]Tabelle1!J17</f>
        <v>2040</v>
      </c>
      <c r="L6" s="35">
        <f>[5]Tabelle1!K17</f>
        <v>2045</v>
      </c>
      <c r="M6" s="35">
        <f>[5]Tabelle1!L17</f>
        <v>2050</v>
      </c>
    </row>
    <row r="7" spans="1:13" x14ac:dyDescent="0.25">
      <c r="A7" s="35" t="str">
        <f>[5]Tabelle1!A18</f>
        <v>Mio. t</v>
      </c>
      <c r="B7" s="32">
        <f>[5]Tabelle1!B18</f>
        <v>2457.7354636981117</v>
      </c>
      <c r="C7" s="323">
        <f>2194.583+234.761</f>
        <v>2429.3440000000001</v>
      </c>
      <c r="D7" s="32">
        <f>[5]Tabelle1!C18</f>
        <v>2196.647019286122</v>
      </c>
      <c r="E7" s="32">
        <f>[5]Tabelle1!D18</f>
        <v>2113.3295069999999</v>
      </c>
      <c r="F7" s="347">
        <f>E7-2*B14</f>
        <v>2064.2670810918594</v>
      </c>
      <c r="G7" s="347">
        <f>B7*(1-G10)</f>
        <v>1941.6110163215083</v>
      </c>
      <c r="H7" s="347">
        <f>G7-5*C14</f>
        <v>1671.2601153147161</v>
      </c>
      <c r="I7" s="347">
        <f>B7*(1-I10)</f>
        <v>1400.9092143079238</v>
      </c>
      <c r="J7" s="347">
        <f>I7-5*$C$16</f>
        <v>1159.2780421864504</v>
      </c>
      <c r="K7" s="347">
        <f t="shared" ref="K7:M7" si="0">J7-5*$C$16</f>
        <v>917.64687006497707</v>
      </c>
      <c r="L7" s="347">
        <f t="shared" si="0"/>
        <v>676.01569794350371</v>
      </c>
      <c r="M7" s="347">
        <f t="shared" si="0"/>
        <v>434.3845258220303</v>
      </c>
    </row>
    <row r="8" spans="1:13" x14ac:dyDescent="0.25">
      <c r="A8" s="35" t="str">
        <f>[5]Tabelle1!A19</f>
        <v>t</v>
      </c>
      <c r="B8" s="32">
        <f>B7*10^6</f>
        <v>2457735463.6981115</v>
      </c>
      <c r="C8" s="323">
        <f xml:space="preserve"> 2194583373+234761120</f>
        <v>2429344493</v>
      </c>
      <c r="D8" s="32">
        <f t="shared" ref="D8:M8" si="1">D7*10^6</f>
        <v>2196647019.2861218</v>
      </c>
      <c r="E8" s="32">
        <f t="shared" si="1"/>
        <v>2113329507</v>
      </c>
      <c r="F8" s="32">
        <f t="shared" si="1"/>
        <v>2064267081.0918593</v>
      </c>
      <c r="G8" s="32">
        <f t="shared" si="1"/>
        <v>1941611016.3215082</v>
      </c>
      <c r="H8" s="32">
        <f t="shared" si="1"/>
        <v>1671260115.3147161</v>
      </c>
      <c r="I8" s="32">
        <f t="shared" si="1"/>
        <v>1400909214.3079238</v>
      </c>
      <c r="J8" s="32">
        <f t="shared" si="1"/>
        <v>1159278042.1864505</v>
      </c>
      <c r="K8" s="32">
        <f t="shared" si="1"/>
        <v>917646870.06497705</v>
      </c>
      <c r="L8" s="32">
        <f t="shared" si="1"/>
        <v>676015697.94350374</v>
      </c>
      <c r="M8" s="32">
        <f t="shared" si="1"/>
        <v>434384525.82203031</v>
      </c>
    </row>
    <row r="9" spans="1:13" x14ac:dyDescent="0.25">
      <c r="A9" s="35"/>
      <c r="B9" s="206" t="str">
        <f>[5]Tabelle1!B20</f>
        <v>Veränderung geg. 2010</v>
      </c>
      <c r="C9" s="40"/>
      <c r="D9" s="320">
        <f>1-D7/$D$7</f>
        <v>0</v>
      </c>
      <c r="E9" s="320">
        <f t="shared" ref="E9:M9" si="2">1-E7/$D$7</f>
        <v>3.7929404021042501E-2</v>
      </c>
      <c r="F9" s="320">
        <f t="shared" si="2"/>
        <v>6.0264547299585747E-2</v>
      </c>
      <c r="G9" s="320">
        <f t="shared" si="2"/>
        <v>0.11610240549594386</v>
      </c>
      <c r="H9" s="320">
        <f t="shared" si="2"/>
        <v>0.23917675409777439</v>
      </c>
      <c r="I9" s="320">
        <f t="shared" si="2"/>
        <v>0.36225110269960503</v>
      </c>
      <c r="J9" s="320">
        <f t="shared" si="2"/>
        <v>0.47225110269960502</v>
      </c>
      <c r="K9" s="320">
        <f t="shared" si="2"/>
        <v>0.58225110269960489</v>
      </c>
      <c r="L9" s="320">
        <f t="shared" si="2"/>
        <v>0.69225110269960499</v>
      </c>
      <c r="M9" s="320">
        <f t="shared" si="2"/>
        <v>0.80225110269960487</v>
      </c>
    </row>
    <row r="10" spans="1:13" x14ac:dyDescent="0.25">
      <c r="A10" s="35"/>
      <c r="B10" s="206" t="str">
        <f>[5]Tabelle1!B21</f>
        <v>Veränderung geg. 2005</v>
      </c>
      <c r="C10" s="40"/>
      <c r="D10" s="320">
        <f>1-D7/$B$7</f>
        <v>0.10623130449488427</v>
      </c>
      <c r="E10" s="315">
        <f t="shared" ref="E10:M10" si="3">1-E7/$B$7</f>
        <v>0.14013141844805799</v>
      </c>
      <c r="F10" s="315">
        <f t="shared" si="3"/>
        <v>0.16009387032004141</v>
      </c>
      <c r="G10" s="321">
        <v>0.21</v>
      </c>
      <c r="H10" s="315">
        <f t="shared" si="3"/>
        <v>0.31999999999999995</v>
      </c>
      <c r="I10" s="321">
        <v>0.43</v>
      </c>
      <c r="J10" s="315">
        <f t="shared" si="3"/>
        <v>0.52831455650556269</v>
      </c>
      <c r="K10" s="315">
        <f t="shared" si="3"/>
        <v>0.62662911301112545</v>
      </c>
      <c r="L10" s="315">
        <f t="shared" si="3"/>
        <v>0.72494366951668809</v>
      </c>
      <c r="M10" s="315">
        <f t="shared" si="3"/>
        <v>0.82325822602225074</v>
      </c>
    </row>
    <row r="11" spans="1:13" x14ac:dyDescent="0.25">
      <c r="A11" s="35"/>
      <c r="B11" s="206" t="s">
        <v>199</v>
      </c>
      <c r="C11" s="40"/>
      <c r="D11" s="320">
        <f>1-D7/$C$7</f>
        <v>9.5785932627852621E-2</v>
      </c>
      <c r="E11" s="320">
        <f t="shared" ref="E11:M11" si="4">1-E7/$C$7</f>
        <v>0.130082233310721</v>
      </c>
      <c r="F11" s="320">
        <f t="shared" si="4"/>
        <v>0.1502779840599523</v>
      </c>
      <c r="G11" s="320">
        <f t="shared" si="4"/>
        <v>0.20076736093303038</v>
      </c>
      <c r="H11" s="320">
        <f t="shared" si="4"/>
        <v>0.31205291827146908</v>
      </c>
      <c r="I11" s="320">
        <f t="shared" si="4"/>
        <v>0.423338475609908</v>
      </c>
      <c r="J11" s="320">
        <f t="shared" si="4"/>
        <v>0.52280202302084411</v>
      </c>
      <c r="K11" s="320">
        <f t="shared" si="4"/>
        <v>0.62226557043178032</v>
      </c>
      <c r="L11" s="320">
        <f t="shared" si="4"/>
        <v>0.72172911784271654</v>
      </c>
      <c r="M11" s="320">
        <f t="shared" si="4"/>
        <v>0.82119266525365275</v>
      </c>
    </row>
    <row r="12" spans="1:13" x14ac:dyDescent="0.25">
      <c r="A12" s="35"/>
    </row>
    <row r="13" spans="1:13" x14ac:dyDescent="0.25">
      <c r="A13" s="35" t="str">
        <f>[5]Tabelle1!A23</f>
        <v>Reduktionsfaktor</v>
      </c>
      <c r="B13" s="349">
        <f>[5]Tabelle1!B23</f>
        <v>1.1167571639271621E-2</v>
      </c>
      <c r="C13" s="349">
        <f>[5]Tabelle1!C23</f>
        <v>2.4614869720366115E-2</v>
      </c>
      <c r="D13" t="s">
        <v>210</v>
      </c>
    </row>
    <row r="14" spans="1:13" x14ac:dyDescent="0.25">
      <c r="B14" s="350">
        <f>[5]Tabelle1!B24</f>
        <v>24.531212954070238</v>
      </c>
      <c r="C14" s="350">
        <f>[5]Tabelle1!C24</f>
        <v>54.070180201358447</v>
      </c>
    </row>
    <row r="15" spans="1:13" x14ac:dyDescent="0.25">
      <c r="B15" s="348">
        <v>1.7399999999999999E-2</v>
      </c>
      <c r="C15" s="348">
        <v>2.1999999999999999E-2</v>
      </c>
      <c r="D15" t="s">
        <v>211</v>
      </c>
    </row>
    <row r="16" spans="1:13" x14ac:dyDescent="0.25">
      <c r="B16" s="138">
        <f>D7*B15</f>
        <v>38.221658135578522</v>
      </c>
      <c r="C16" s="138">
        <f>D7*C15</f>
        <v>48.326234424294682</v>
      </c>
    </row>
    <row r="17" spans="1:18" x14ac:dyDescent="0.25">
      <c r="G17" s="131">
        <f>G20/B20-1</f>
        <v>-0.20999999999999996</v>
      </c>
      <c r="I17" s="131">
        <f>I20/B20-1</f>
        <v>-0.42999999999999994</v>
      </c>
      <c r="M17" s="131">
        <f>M20/B20-1</f>
        <v>-0.82325822602225074</v>
      </c>
    </row>
    <row r="18" spans="1:18" x14ac:dyDescent="0.25">
      <c r="A18" s="112"/>
      <c r="B18" s="317">
        <f>B6</f>
        <v>2005</v>
      </c>
      <c r="C18" s="317">
        <f t="shared" ref="C18:M18" si="5">C6</f>
        <v>2007</v>
      </c>
      <c r="D18" s="317">
        <v>2011</v>
      </c>
      <c r="E18" s="65">
        <f t="shared" si="5"/>
        <v>2013</v>
      </c>
      <c r="F18" s="317">
        <f t="shared" si="5"/>
        <v>2015</v>
      </c>
      <c r="G18" s="317">
        <f t="shared" si="5"/>
        <v>2020</v>
      </c>
      <c r="H18" s="317">
        <f t="shared" si="5"/>
        <v>2025</v>
      </c>
      <c r="I18" s="317">
        <f t="shared" si="5"/>
        <v>2030</v>
      </c>
      <c r="J18" s="317">
        <f t="shared" si="5"/>
        <v>2035</v>
      </c>
      <c r="K18" s="317">
        <f t="shared" si="5"/>
        <v>2040</v>
      </c>
      <c r="L18" s="317">
        <f t="shared" si="5"/>
        <v>2045</v>
      </c>
      <c r="M18" s="317">
        <f t="shared" si="5"/>
        <v>2050</v>
      </c>
      <c r="P18" t="s">
        <v>247</v>
      </c>
    </row>
    <row r="19" spans="1:18" x14ac:dyDescent="0.25">
      <c r="A19" s="319" t="s">
        <v>205</v>
      </c>
      <c r="B19" s="326">
        <f>B7</f>
        <v>2457.7354636981117</v>
      </c>
      <c r="C19" s="326">
        <f>C7</f>
        <v>2429.3440000000001</v>
      </c>
      <c r="D19" s="326">
        <f>D7</f>
        <v>2196.647019286122</v>
      </c>
      <c r="E19" s="329">
        <f t="shared" ref="E19:M19" si="6">E7</f>
        <v>2113.3295069999999</v>
      </c>
      <c r="F19" s="326">
        <f t="shared" si="6"/>
        <v>2064.2670810918594</v>
      </c>
      <c r="G19" s="326">
        <f t="shared" si="6"/>
        <v>1941.6110163215083</v>
      </c>
      <c r="H19" s="326">
        <f t="shared" si="6"/>
        <v>1671.2601153147161</v>
      </c>
      <c r="I19" s="326">
        <f t="shared" si="6"/>
        <v>1400.9092143079238</v>
      </c>
      <c r="J19" s="326">
        <f t="shared" si="6"/>
        <v>1159.2780421864504</v>
      </c>
      <c r="K19" s="326">
        <f t="shared" si="6"/>
        <v>917.64687006497707</v>
      </c>
      <c r="L19" s="326">
        <f t="shared" si="6"/>
        <v>676.01569794350371</v>
      </c>
      <c r="M19" s="326">
        <f t="shared" si="6"/>
        <v>434.3845258220303</v>
      </c>
      <c r="P19" t="s">
        <v>247</v>
      </c>
    </row>
    <row r="20" spans="1:18" x14ac:dyDescent="0.25">
      <c r="A20" s="319" t="s">
        <v>250</v>
      </c>
      <c r="B20" s="318">
        <f t="shared" ref="B20:C20" si="7">B19/$D19</f>
        <v>1.1188577145620964</v>
      </c>
      <c r="C20" s="112">
        <f t="shared" si="7"/>
        <v>1.1059328051666222</v>
      </c>
      <c r="D20" s="318">
        <f>D19/$D19</f>
        <v>1</v>
      </c>
      <c r="E20" s="330">
        <f t="shared" ref="E20:M20" si="8">E19/$D19</f>
        <v>0.9620705959789575</v>
      </c>
      <c r="F20" s="318">
        <f t="shared" si="8"/>
        <v>0.93973545270041425</v>
      </c>
      <c r="G20" s="318">
        <f t="shared" si="8"/>
        <v>0.88389759450405614</v>
      </c>
      <c r="H20" s="318">
        <f t="shared" si="8"/>
        <v>0.76082324590222561</v>
      </c>
      <c r="I20" s="318">
        <f t="shared" si="8"/>
        <v>0.63774889730039497</v>
      </c>
      <c r="J20" s="318">
        <f t="shared" si="8"/>
        <v>0.52774889730039498</v>
      </c>
      <c r="K20" s="318">
        <f t="shared" si="8"/>
        <v>0.41774889730039505</v>
      </c>
      <c r="L20" s="318">
        <f t="shared" si="8"/>
        <v>0.30774889730039506</v>
      </c>
      <c r="M20" s="318">
        <f t="shared" si="8"/>
        <v>0.19774889730039508</v>
      </c>
    </row>
    <row r="21" spans="1:18" s="40" customFormat="1" x14ac:dyDescent="0.25">
      <c r="A21" s="325" t="s">
        <v>251</v>
      </c>
      <c r="B21" s="97"/>
      <c r="D21" s="97"/>
      <c r="E21" s="97"/>
      <c r="F21" s="97"/>
      <c r="G21" s="97"/>
      <c r="H21" s="97"/>
      <c r="I21" s="97"/>
      <c r="J21" s="97"/>
      <c r="K21" s="97"/>
      <c r="L21" s="97"/>
      <c r="M21" s="97"/>
    </row>
    <row r="22" spans="1:18" s="40" customFormat="1" x14ac:dyDescent="0.25">
      <c r="A22" s="325"/>
      <c r="B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O22" s="40" t="s">
        <v>243</v>
      </c>
    </row>
    <row r="23" spans="1:18" s="40" customFormat="1" x14ac:dyDescent="0.25">
      <c r="A23" s="353" t="s">
        <v>226</v>
      </c>
      <c r="B23" s="361" t="s">
        <v>231</v>
      </c>
      <c r="C23" s="361"/>
      <c r="D23" s="362"/>
      <c r="E23" s="362"/>
      <c r="F23" s="365" t="s">
        <v>248</v>
      </c>
      <c r="G23" s="366"/>
      <c r="H23" s="366"/>
      <c r="I23" s="366"/>
      <c r="N23" s="372" t="s">
        <v>226</v>
      </c>
      <c r="O23" s="371">
        <f>F26-F25</f>
        <v>14.385309886994037</v>
      </c>
      <c r="P23" s="371">
        <f t="shared" ref="P23:R23" si="9">G26-G25</f>
        <v>-22.742500538478907</v>
      </c>
      <c r="Q23" s="371">
        <f t="shared" si="9"/>
        <v>-0.27399528071305213</v>
      </c>
      <c r="R23" s="371">
        <f t="shared" si="9"/>
        <v>8.631185932197468</v>
      </c>
    </row>
    <row r="24" spans="1:18" s="40" customFormat="1" x14ac:dyDescent="0.25">
      <c r="A24" s="356" t="s">
        <v>232</v>
      </c>
      <c r="B24" s="359">
        <v>2005</v>
      </c>
      <c r="C24" s="359">
        <v>2007</v>
      </c>
      <c r="D24" s="359">
        <v>2010</v>
      </c>
      <c r="E24" s="359">
        <v>2013</v>
      </c>
      <c r="F24" s="355">
        <v>2015</v>
      </c>
      <c r="G24" s="355">
        <v>2020</v>
      </c>
      <c r="H24" s="355">
        <v>2025</v>
      </c>
      <c r="I24" s="355">
        <v>2030</v>
      </c>
      <c r="N24" s="372" t="s">
        <v>193</v>
      </c>
      <c r="O24" s="371">
        <f>F50-F49</f>
        <v>0</v>
      </c>
      <c r="P24" s="371">
        <f t="shared" ref="P24:Q24" si="10">G50-G49</f>
        <v>-14.385309886994492</v>
      </c>
      <c r="Q24" s="371">
        <f t="shared" si="10"/>
        <v>-9.416740918004507E-2</v>
      </c>
      <c r="R24" s="371">
        <f>I50-I49</f>
        <v>8.6311859321972406</v>
      </c>
    </row>
    <row r="25" spans="1:18" s="40" customFormat="1" x14ac:dyDescent="0.25">
      <c r="A25" s="357">
        <v>1</v>
      </c>
      <c r="B25" s="360">
        <f>B$7</f>
        <v>2457.7354636981117</v>
      </c>
      <c r="C25" s="360">
        <f>C$7</f>
        <v>2429.3440000000001</v>
      </c>
      <c r="D25" s="360">
        <f>D$7</f>
        <v>2196.647019286122</v>
      </c>
      <c r="E25" s="360">
        <f>E$7</f>
        <v>2113.3295069999999</v>
      </c>
      <c r="F25" s="354">
        <f>SUMPRODUCT((F$24=[6]Szenarien!$A$5:$A$20)*($A25=[6]Szenarien!$D$1:$H$1)*([6]Szenarien!$D$5:$H$20))/1000000</f>
        <v>2483.7078077777001</v>
      </c>
      <c r="G25" s="354">
        <f>SUMPRODUCT((G$24=[6]Szenarien!$A$5:$A$20)*($A25=[6]Szenarien!$D$1:$H$1)*([6]Szenarien!$D$5:$H$20))/1000000</f>
        <v>2394.0982428977995</v>
      </c>
      <c r="H25" s="354">
        <f>SUMPRODUCT((H$24=[6]Szenarien!$A$5:$A$20)*($A25=[6]Szenarien!$D$1:$H$1)*([6]Szenarien!$D$5:$H$20))/1000000</f>
        <v>1846.7489593460225</v>
      </c>
      <c r="I25" s="354">
        <f>SUMPRODUCT((I$24=[6]Szenarien!$A$5:$A$20)*($A25=[6]Szenarien!$D$1:$H$1)*([6]Szenarien!$D$5:$H$20))/1000000</f>
        <v>1284.8093345206096</v>
      </c>
      <c r="J25" s="40" t="s">
        <v>244</v>
      </c>
      <c r="O25" s="40" t="s">
        <v>245</v>
      </c>
      <c r="R25" s="371"/>
    </row>
    <row r="26" spans="1:18" s="40" customFormat="1" x14ac:dyDescent="0.25">
      <c r="A26" s="358" t="s">
        <v>227</v>
      </c>
      <c r="B26" s="360">
        <f>B$7</f>
        <v>2457.7354636981117</v>
      </c>
      <c r="C26" s="360">
        <f t="shared" ref="B26:E29" si="11">C$7</f>
        <v>2429.3440000000001</v>
      </c>
      <c r="D26" s="360">
        <f t="shared" si="11"/>
        <v>2196.647019286122</v>
      </c>
      <c r="E26" s="360">
        <f t="shared" si="11"/>
        <v>2113.3295069999999</v>
      </c>
      <c r="F26" s="354">
        <f>SUMPRODUCT((F$24=[6]Szenarien!$A$5:$A$20)*($A26=[6]Szenarien!$D$1:$H$1)*([6]Szenarien!$D$5:$H$20))/1000000</f>
        <v>2498.0931176646941</v>
      </c>
      <c r="G26" s="354">
        <f>SUMPRODUCT((G$24=[6]Szenarien!$A$5:$A$20)*($A26=[6]Szenarien!$D$1:$H$1)*([6]Szenarien!$D$5:$H$20))/1000000</f>
        <v>2371.3557423593206</v>
      </c>
      <c r="H26" s="354">
        <f>SUMPRODUCT((H$24=[6]Szenarien!$A$5:$A$20)*($A26=[6]Szenarien!$D$1:$H$1)*([6]Szenarien!$D$5:$H$20))/1000000</f>
        <v>1846.4749640653095</v>
      </c>
      <c r="I26" s="354">
        <f>SUMPRODUCT((I$24=[6]Szenarien!$A$5:$A$20)*($A26=[6]Szenarien!$D$1:$H$1)*([6]Szenarien!$D$5:$H$20))/1000000</f>
        <v>1293.440520452807</v>
      </c>
      <c r="J26" s="40" t="s">
        <v>246</v>
      </c>
      <c r="N26" s="372" t="s">
        <v>226</v>
      </c>
      <c r="O26" s="371">
        <f>F28-F25</f>
        <v>0</v>
      </c>
      <c r="P26" s="371">
        <f t="shared" ref="P26:R26" si="12">G28-G25</f>
        <v>0</v>
      </c>
      <c r="Q26" s="371">
        <f t="shared" si="12"/>
        <v>0</v>
      </c>
      <c r="R26" s="371">
        <f t="shared" si="12"/>
        <v>0</v>
      </c>
    </row>
    <row r="27" spans="1:18" s="40" customFormat="1" x14ac:dyDescent="0.25">
      <c r="A27" s="358" t="s">
        <v>228</v>
      </c>
      <c r="B27" s="360">
        <f t="shared" si="11"/>
        <v>2457.7354636981117</v>
      </c>
      <c r="C27" s="360">
        <f t="shared" si="11"/>
        <v>2429.3440000000001</v>
      </c>
      <c r="D27" s="360">
        <f t="shared" si="11"/>
        <v>2196.647019286122</v>
      </c>
      <c r="E27" s="360">
        <f t="shared" si="11"/>
        <v>2113.3295069999999</v>
      </c>
      <c r="F27" s="354">
        <f>SUMPRODUCT((F$24=[6]Szenarien!$A$5:$A$20)*($A27=[6]Szenarien!$D$1:$H$1)*([6]Szenarien!$D$5:$H$20))/1000000</f>
        <v>2622.3605447267291</v>
      </c>
      <c r="G27" s="354">
        <f>SUMPRODUCT((G$24=[6]Szenarien!$A$5:$A$20)*($A27=[6]Szenarien!$D$1:$H$1)*([6]Szenarien!$D$5:$H$20))/1000000</f>
        <v>2270.8579574607602</v>
      </c>
      <c r="H27" s="354">
        <f>SUMPRODUCT((H$24=[6]Szenarien!$A$5:$A$20)*($A27=[6]Szenarien!$D$1:$H$1)*([6]Szenarien!$D$5:$H$20))/1000000</f>
        <v>1592.1508577288625</v>
      </c>
      <c r="I27" s="354">
        <f>SUMPRODUCT((I$24=[6]Szenarien!$A$5:$A$20)*($A27=[6]Szenarien!$D$1:$H$1)*([6]Szenarien!$D$5:$H$20))/1000000</f>
        <v>1413.8282114188089</v>
      </c>
      <c r="N27" s="372" t="s">
        <v>193</v>
      </c>
      <c r="O27" s="371">
        <f>F52-F49</f>
        <v>0</v>
      </c>
      <c r="P27" s="371">
        <f t="shared" ref="P27:Q27" si="13">G52-G49</f>
        <v>0</v>
      </c>
      <c r="Q27" s="371">
        <f t="shared" si="13"/>
        <v>0</v>
      </c>
      <c r="R27" s="371">
        <f>I52-I49</f>
        <v>0</v>
      </c>
    </row>
    <row r="28" spans="1:18" s="40" customFormat="1" x14ac:dyDescent="0.25">
      <c r="A28" s="358" t="s">
        <v>229</v>
      </c>
      <c r="B28" s="360">
        <f t="shared" si="11"/>
        <v>2457.7354636981117</v>
      </c>
      <c r="C28" s="360">
        <f t="shared" si="11"/>
        <v>2429.3440000000001</v>
      </c>
      <c r="D28" s="360">
        <f t="shared" si="11"/>
        <v>2196.647019286122</v>
      </c>
      <c r="E28" s="360">
        <f t="shared" si="11"/>
        <v>2113.3295069999999</v>
      </c>
      <c r="F28" s="354">
        <f>SUMPRODUCT((F$24=[6]Szenarien!$A$5:$A$20)*($A28=[6]Szenarien!$D$1:$H$1)*([6]Szenarien!$D$5:$H$20))/1000000</f>
        <v>2483.7078077777001</v>
      </c>
      <c r="G28" s="354">
        <f>SUMPRODUCT((G$24=[6]Szenarien!$A$5:$A$20)*($A28=[6]Szenarien!$D$1:$H$1)*([6]Szenarien!$D$5:$H$20))/1000000</f>
        <v>2394.0982428977995</v>
      </c>
      <c r="H28" s="354">
        <f>SUMPRODUCT((H$24=[6]Szenarien!$A$5:$A$20)*($A28=[6]Szenarien!$D$1:$H$1)*([6]Szenarien!$D$5:$H$20))/1000000</f>
        <v>1846.7489593460225</v>
      </c>
      <c r="I28" s="354">
        <f>SUMPRODUCT((I$24=[6]Szenarien!$A$5:$A$20)*($A28=[6]Szenarien!$D$1:$H$1)*([6]Szenarien!$D$5:$H$20))/1000000</f>
        <v>1284.8093345206096</v>
      </c>
    </row>
    <row r="29" spans="1:18" x14ac:dyDescent="0.25">
      <c r="A29" s="358" t="s">
        <v>230</v>
      </c>
      <c r="B29" s="360">
        <f t="shared" si="11"/>
        <v>2457.7354636981117</v>
      </c>
      <c r="C29" s="360">
        <f t="shared" si="11"/>
        <v>2429.3440000000001</v>
      </c>
      <c r="D29" s="360">
        <f t="shared" si="11"/>
        <v>2196.647019286122</v>
      </c>
      <c r="E29" s="360">
        <f t="shared" si="11"/>
        <v>2113.3295069999999</v>
      </c>
      <c r="F29" s="354">
        <f>SUMPRODUCT((F$24=[6]Szenarien!$A$5:$A$20)*($A29=[6]Szenarien!$D$1:$H$1)*([6]Szenarien!$D$5:$H$20))/1000000</f>
        <v>2592.9867738127659</v>
      </c>
      <c r="G29" s="354">
        <f>SUMPRODUCT((G$24=[6]Szenarien!$A$5:$A$20)*($A29=[6]Szenarien!$D$1:$H$1)*([6]Szenarien!$D$5:$H$20))/1000000</f>
        <v>2222.9122305063224</v>
      </c>
      <c r="H29" s="354">
        <f>SUMPRODUCT((H$24=[6]Szenarien!$A$5:$A$20)*($A29=[6]Szenarien!$D$1:$H$1)*([6]Szenarien!$D$5:$H$20))/1000000</f>
        <v>1776.575523424448</v>
      </c>
      <c r="I29" s="354">
        <f>SUMPRODUCT((I$24=[6]Szenarien!$A$5:$A$20)*($A29=[6]Szenarien!$D$1:$H$1)*([6]Szenarien!$D$5:$H$20))/1000000</f>
        <v>1341.5633643467631</v>
      </c>
      <c r="J29" s="40"/>
      <c r="K29" s="40"/>
      <c r="L29" s="40"/>
      <c r="M29" s="40"/>
      <c r="N29" s="40"/>
    </row>
    <row r="31" spans="1:18" x14ac:dyDescent="0.25">
      <c r="A31" s="353" t="s">
        <v>233</v>
      </c>
      <c r="B31" s="361" t="str">
        <f>B23</f>
        <v>Historisches CAP</v>
      </c>
      <c r="C31" s="361"/>
      <c r="D31" s="362"/>
      <c r="E31" s="362"/>
      <c r="F31" s="365" t="str">
        <f>F23</f>
        <v>Quelle: Datenübergabe-IER_2015-07-24_V2_ob.xlsx</v>
      </c>
      <c r="G31" s="366"/>
      <c r="H31" s="366"/>
      <c r="I31" s="366"/>
    </row>
    <row r="32" spans="1:18" x14ac:dyDescent="0.25">
      <c r="A32" s="356"/>
      <c r="B32" s="359">
        <f>B24</f>
        <v>2005</v>
      </c>
      <c r="C32" s="359">
        <f t="shared" ref="C32:I32" si="14">C24</f>
        <v>2007</v>
      </c>
      <c r="D32" s="359">
        <f t="shared" si="14"/>
        <v>2010</v>
      </c>
      <c r="E32" s="359">
        <f t="shared" si="14"/>
        <v>2013</v>
      </c>
      <c r="F32" s="355">
        <f t="shared" si="14"/>
        <v>2015</v>
      </c>
      <c r="G32" s="355">
        <f t="shared" si="14"/>
        <v>2020</v>
      </c>
      <c r="H32" s="355">
        <f t="shared" si="14"/>
        <v>2025</v>
      </c>
      <c r="I32" s="355">
        <f t="shared" si="14"/>
        <v>2030</v>
      </c>
    </row>
    <row r="33" spans="1:13" x14ac:dyDescent="0.25">
      <c r="A33" s="357">
        <f>A25</f>
        <v>1</v>
      </c>
      <c r="B33" s="363">
        <f>B25/$D25</f>
        <v>1.1188577145620964</v>
      </c>
      <c r="C33" s="360">
        <f t="shared" ref="C33:I33" si="15">C25/$D25</f>
        <v>1.1059328051666222</v>
      </c>
      <c r="D33" s="363">
        <f t="shared" si="15"/>
        <v>1</v>
      </c>
      <c r="E33" s="363">
        <f t="shared" si="15"/>
        <v>0.9620705959789575</v>
      </c>
      <c r="F33" s="364">
        <f t="shared" si="15"/>
        <v>1.1306813456924312</v>
      </c>
      <c r="G33" s="364">
        <f t="shared" si="15"/>
        <v>1.0898875522002831</v>
      </c>
      <c r="H33" s="364">
        <f t="shared" si="15"/>
        <v>0.84071266030997949</v>
      </c>
      <c r="I33" s="364">
        <f t="shared" si="15"/>
        <v>0.58489567201295445</v>
      </c>
    </row>
    <row r="34" spans="1:13" x14ac:dyDescent="0.25">
      <c r="A34" s="358" t="str">
        <f t="shared" ref="A34:A37" si="16">A26</f>
        <v>2.1</v>
      </c>
      <c r="B34" s="363">
        <f t="shared" ref="B34:B37" si="17">B26/$D26</f>
        <v>1.1188577145620964</v>
      </c>
      <c r="C34" s="360">
        <f t="shared" ref="C34:I34" si="18">C26/$D26</f>
        <v>1.1059328051666222</v>
      </c>
      <c r="D34" s="363">
        <f t="shared" si="18"/>
        <v>1</v>
      </c>
      <c r="E34" s="363">
        <f t="shared" si="18"/>
        <v>0.9620705959789575</v>
      </c>
      <c r="F34" s="364">
        <f t="shared" si="18"/>
        <v>1.137230103759018</v>
      </c>
      <c r="G34" s="364">
        <f t="shared" si="18"/>
        <v>1.0795342727071264</v>
      </c>
      <c r="H34" s="364">
        <f t="shared" si="18"/>
        <v>0.84058792689659656</v>
      </c>
      <c r="I34" s="364">
        <f t="shared" si="18"/>
        <v>0.58882492685290699</v>
      </c>
    </row>
    <row r="35" spans="1:13" x14ac:dyDescent="0.25">
      <c r="A35" s="358" t="str">
        <f t="shared" si="16"/>
        <v>3.1</v>
      </c>
      <c r="B35" s="363">
        <f t="shared" si="17"/>
        <v>1.1188577145620964</v>
      </c>
      <c r="C35" s="360">
        <f t="shared" ref="C35:I35" si="19">C27/$D27</f>
        <v>1.1059328051666222</v>
      </c>
      <c r="D35" s="363">
        <f t="shared" si="19"/>
        <v>1</v>
      </c>
      <c r="E35" s="363">
        <f t="shared" si="19"/>
        <v>0.9620705959789575</v>
      </c>
      <c r="F35" s="364">
        <f t="shared" si="19"/>
        <v>1.1938015173593788</v>
      </c>
      <c r="G35" s="364">
        <f t="shared" si="19"/>
        <v>1.0337837338102485</v>
      </c>
      <c r="H35" s="364">
        <f t="shared" si="19"/>
        <v>0.72480960470667155</v>
      </c>
      <c r="I35" s="364">
        <f t="shared" si="19"/>
        <v>0.64363013219952026</v>
      </c>
    </row>
    <row r="36" spans="1:13" x14ac:dyDescent="0.25">
      <c r="A36" s="358" t="str">
        <f t="shared" si="16"/>
        <v>4.1</v>
      </c>
      <c r="B36" s="363">
        <f t="shared" si="17"/>
        <v>1.1188577145620964</v>
      </c>
      <c r="C36" s="360">
        <f t="shared" ref="C36:I36" si="20">C28/$D28</f>
        <v>1.1059328051666222</v>
      </c>
      <c r="D36" s="363">
        <f t="shared" si="20"/>
        <v>1</v>
      </c>
      <c r="E36" s="363">
        <f t="shared" si="20"/>
        <v>0.9620705959789575</v>
      </c>
      <c r="F36" s="364">
        <f t="shared" si="20"/>
        <v>1.1306813456924312</v>
      </c>
      <c r="G36" s="364">
        <f t="shared" si="20"/>
        <v>1.0898875522002831</v>
      </c>
      <c r="H36" s="364">
        <f t="shared" si="20"/>
        <v>0.84071266030997949</v>
      </c>
      <c r="I36" s="364">
        <f t="shared" si="20"/>
        <v>0.58489567201295445</v>
      </c>
    </row>
    <row r="37" spans="1:13" x14ac:dyDescent="0.25">
      <c r="A37" s="358" t="str">
        <f t="shared" si="16"/>
        <v>5.1</v>
      </c>
      <c r="B37" s="363">
        <f t="shared" si="17"/>
        <v>1.1188577145620964</v>
      </c>
      <c r="C37" s="360">
        <f t="shared" ref="C37:I37" si="21">C29/$D29</f>
        <v>1.1059328051666222</v>
      </c>
      <c r="D37" s="363">
        <f t="shared" si="21"/>
        <v>1</v>
      </c>
      <c r="E37" s="363">
        <f t="shared" si="21"/>
        <v>0.9620705959789575</v>
      </c>
      <c r="F37" s="364">
        <f t="shared" si="21"/>
        <v>1.1804294231375638</v>
      </c>
      <c r="G37" s="364">
        <f t="shared" si="21"/>
        <v>1.0119569557555661</v>
      </c>
      <c r="H37" s="364">
        <f t="shared" si="21"/>
        <v>0.80876695610467675</v>
      </c>
      <c r="I37" s="364">
        <f t="shared" si="21"/>
        <v>0.61073233549500894</v>
      </c>
    </row>
    <row r="39" spans="1:13" x14ac:dyDescent="0.25">
      <c r="A39" s="353" t="s">
        <v>234</v>
      </c>
      <c r="B39" s="361" t="str">
        <f>B31</f>
        <v>Historisches CAP</v>
      </c>
      <c r="C39" s="361"/>
      <c r="D39" s="362"/>
      <c r="E39" s="362"/>
      <c r="F39" s="365" t="str">
        <f>F31</f>
        <v>Quelle: Datenübergabe-IER_2015-07-24_V2_ob.xlsx</v>
      </c>
      <c r="G39" s="366"/>
      <c r="H39" s="366"/>
      <c r="I39" s="366"/>
    </row>
    <row r="40" spans="1:13" x14ac:dyDescent="0.25">
      <c r="A40" s="356"/>
      <c r="B40" s="359">
        <f>B32</f>
        <v>2005</v>
      </c>
      <c r="C40" s="359">
        <f t="shared" ref="C40:I40" si="22">C32</f>
        <v>2007</v>
      </c>
      <c r="D40" s="359">
        <f t="shared" si="22"/>
        <v>2010</v>
      </c>
      <c r="E40" s="359">
        <f t="shared" si="22"/>
        <v>2013</v>
      </c>
      <c r="F40" s="355">
        <f t="shared" si="22"/>
        <v>2015</v>
      </c>
      <c r="G40" s="355">
        <f t="shared" si="22"/>
        <v>2020</v>
      </c>
      <c r="H40" s="355">
        <f t="shared" si="22"/>
        <v>2025</v>
      </c>
      <c r="I40" s="355">
        <f t="shared" si="22"/>
        <v>2030</v>
      </c>
    </row>
    <row r="41" spans="1:13" x14ac:dyDescent="0.25">
      <c r="A41" s="357">
        <f>A33</f>
        <v>1</v>
      </c>
      <c r="B41" s="360">
        <f>B$7</f>
        <v>2457.7354636981117</v>
      </c>
      <c r="C41" s="360">
        <f>C$7</f>
        <v>2429.3440000000001</v>
      </c>
      <c r="D41" s="360">
        <f>D$7</f>
        <v>2196.647019286122</v>
      </c>
      <c r="E41" s="360">
        <f>E$7</f>
        <v>2113.3295069999999</v>
      </c>
      <c r="F41" s="364">
        <f>SUMPRODUCT((F$24=[6]Szenarien!$A$5:$A$20)*($A25=[6]Szenarien!$D$1:$H$1)*([6]Szenarien!$J$5:$N$20))/1000000</f>
        <v>1812.347896</v>
      </c>
      <c r="G41" s="364">
        <f>SUMPRODUCT((G$24=[6]Szenarien!$A$5:$A$20)*($A25=[6]Szenarien!$D$1:$H$1)*([6]Szenarien!$J$5:$N$20))/1000000</f>
        <v>1812.347896</v>
      </c>
      <c r="H41" s="364">
        <f>SUMPRODUCT((H$24=[6]Szenarien!$A$5:$A$20)*($A25=[6]Szenarien!$D$1:$H$1)*([6]Szenarien!$J$5:$N$20))/1000000</f>
        <v>1606.1739480000006</v>
      </c>
      <c r="I41" s="364">
        <f>SUMPRODUCT((I$24=[6]Szenarien!$A$5:$A$20)*($A25=[6]Szenarien!$D$1:$H$1)*([6]Szenarien!$J$5:$N$20))/1000000</f>
        <v>1400</v>
      </c>
    </row>
    <row r="42" spans="1:13" x14ac:dyDescent="0.25">
      <c r="A42" s="358" t="str">
        <f t="shared" ref="A42:A45" si="23">A34</f>
        <v>2.1</v>
      </c>
      <c r="B42" s="360">
        <f t="shared" ref="B42:E45" si="24">B$7</f>
        <v>2457.7354636981117</v>
      </c>
      <c r="C42" s="360">
        <f t="shared" si="24"/>
        <v>2429.3440000000001</v>
      </c>
      <c r="D42" s="360">
        <f t="shared" si="24"/>
        <v>2196.647019286122</v>
      </c>
      <c r="E42" s="360">
        <f t="shared" si="24"/>
        <v>2113.3295069999999</v>
      </c>
      <c r="F42" s="364">
        <f>SUMPRODUCT((F$24=[6]Szenarien!$A$5:$A$20)*($A26=[6]Szenarien!$D$1:$H$1)*([6]Szenarien!$J$5:$N$20))/1000000</f>
        <v>1812.347896</v>
      </c>
      <c r="G42" s="364">
        <f>SUMPRODUCT((G$24=[6]Szenarien!$A$5:$A$20)*($A26=[6]Szenarien!$D$1:$H$1)*([6]Szenarien!$J$5:$N$20))/1000000</f>
        <v>1812.347896</v>
      </c>
      <c r="H42" s="364">
        <f>SUMPRODUCT((H$24=[6]Szenarien!$A$5:$A$20)*($A26=[6]Szenarien!$D$1:$H$1)*([6]Szenarien!$J$5:$N$20))/1000000</f>
        <v>1606.1739480000006</v>
      </c>
      <c r="I42" s="364">
        <f>SUMPRODUCT((I$24=[6]Szenarien!$A$5:$A$20)*($A26=[6]Szenarien!$D$1:$H$1)*([6]Szenarien!$J$5:$N$20))/1000000</f>
        <v>1400</v>
      </c>
    </row>
    <row r="43" spans="1:13" x14ac:dyDescent="0.25">
      <c r="A43" s="358" t="str">
        <f t="shared" si="23"/>
        <v>3.1</v>
      </c>
      <c r="B43" s="360">
        <f t="shared" si="24"/>
        <v>2457.7354636981117</v>
      </c>
      <c r="C43" s="360">
        <f t="shared" si="24"/>
        <v>2429.3440000000001</v>
      </c>
      <c r="D43" s="360">
        <f t="shared" si="24"/>
        <v>2196.647019286122</v>
      </c>
      <c r="E43" s="360">
        <f t="shared" si="24"/>
        <v>2113.3295069999999</v>
      </c>
      <c r="F43" s="364">
        <f>SUMPRODUCT((F$24=[6]Szenarien!$A$5:$A$20)*($A27=[6]Szenarien!$D$1:$H$1)*([6]Szenarien!$J$5:$N$20))/1000000</f>
        <v>1812.347896</v>
      </c>
      <c r="G43" s="364">
        <f>SUMPRODUCT((G$24=[6]Szenarien!$A$5:$A$20)*($A27=[6]Szenarien!$D$1:$H$1)*([6]Szenarien!$J$5:$N$20))/1000000</f>
        <v>1812.347896</v>
      </c>
      <c r="H43" s="364">
        <f>SUMPRODUCT((H$24=[6]Szenarien!$A$5:$A$20)*($A27=[6]Szenarien!$D$1:$H$1)*([6]Szenarien!$J$5:$N$20))/1000000</f>
        <v>1606.1739480000006</v>
      </c>
      <c r="I43" s="364">
        <f>SUMPRODUCT((I$24=[6]Szenarien!$A$5:$A$20)*($A27=[6]Szenarien!$D$1:$H$1)*([6]Szenarien!$J$5:$N$20))/1000000</f>
        <v>1400</v>
      </c>
      <c r="K43" s="131"/>
      <c r="L43">
        <f>I25/G25-1</f>
        <v>-0.46334310284381419</v>
      </c>
    </row>
    <row r="44" spans="1:13" x14ac:dyDescent="0.25">
      <c r="A44" s="358" t="str">
        <f t="shared" si="23"/>
        <v>4.1</v>
      </c>
      <c r="B44" s="360">
        <f t="shared" si="24"/>
        <v>2457.7354636981117</v>
      </c>
      <c r="C44" s="360">
        <f t="shared" si="24"/>
        <v>2429.3440000000001</v>
      </c>
      <c r="D44" s="360">
        <f t="shared" si="24"/>
        <v>2196.647019286122</v>
      </c>
      <c r="E44" s="360">
        <f t="shared" si="24"/>
        <v>2113.3295069999999</v>
      </c>
      <c r="F44" s="364">
        <f>SUMPRODUCT((F$24=[6]Szenarien!$A$5:$A$20)*($A28=[6]Szenarien!$D$1:$H$1)*([6]Szenarien!$J$5:$N$20))/1000000</f>
        <v>1812.347896</v>
      </c>
      <c r="G44" s="364">
        <f>SUMPRODUCT((G$24=[6]Szenarien!$A$5:$A$20)*($A28=[6]Szenarien!$D$1:$H$1)*([6]Szenarien!$J$5:$N$20))/1000000</f>
        <v>1812.347896</v>
      </c>
      <c r="H44" s="364">
        <f>SUMPRODUCT((H$24=[6]Szenarien!$A$5:$A$20)*($A28=[6]Szenarien!$D$1:$H$1)*([6]Szenarien!$J$5:$N$20))/1000000</f>
        <v>1606.1739480000006</v>
      </c>
      <c r="I44" s="364">
        <f>SUMPRODUCT((I$24=[6]Szenarien!$A$5:$A$20)*($A28=[6]Szenarien!$D$1:$H$1)*([6]Szenarien!$J$5:$N$20))/1000000</f>
        <v>1400</v>
      </c>
      <c r="L44">
        <f>(G25/F25)^(1/10)-1</f>
        <v>-3.6678453624509055E-3</v>
      </c>
    </row>
    <row r="45" spans="1:13" x14ac:dyDescent="0.25">
      <c r="A45" s="358" t="str">
        <f t="shared" si="23"/>
        <v>5.1</v>
      </c>
      <c r="B45" s="360">
        <f t="shared" si="24"/>
        <v>2457.7354636981117</v>
      </c>
      <c r="C45" s="360">
        <f t="shared" si="24"/>
        <v>2429.3440000000001</v>
      </c>
      <c r="D45" s="360">
        <f t="shared" si="24"/>
        <v>2196.647019286122</v>
      </c>
      <c r="E45" s="360">
        <f t="shared" si="24"/>
        <v>2113.3295069999999</v>
      </c>
      <c r="F45" s="364">
        <f>SUMPRODUCT((F$24=[6]Szenarien!$A$5:$A$20)*($A29=[6]Szenarien!$D$1:$H$1)*([6]Szenarien!$J$5:$N$20))/1000000</f>
        <v>1812.347896</v>
      </c>
      <c r="G45" s="364">
        <f>SUMPRODUCT((G$24=[6]Szenarien!$A$5:$A$20)*($A29=[6]Szenarien!$D$1:$H$1)*([6]Szenarien!$J$5:$N$20))/1000000</f>
        <v>1812.347896</v>
      </c>
      <c r="H45" s="364">
        <f>SUMPRODUCT((H$24=[6]Szenarien!$A$5:$A$20)*($A29=[6]Szenarien!$D$1:$H$1)*([6]Szenarien!$J$5:$N$20))/1000000</f>
        <v>1606.1739480000006</v>
      </c>
      <c r="I45" s="364">
        <f>SUMPRODUCT((I$24=[6]Szenarien!$A$5:$A$20)*($A29=[6]Szenarien!$D$1:$H$1)*([6]Szenarien!$J$5:$N$20))/1000000</f>
        <v>1400</v>
      </c>
      <c r="K45" s="131"/>
      <c r="L45" s="131"/>
      <c r="M45" s="131"/>
    </row>
    <row r="47" spans="1:13" x14ac:dyDescent="0.25">
      <c r="A47" s="353" t="s">
        <v>193</v>
      </c>
      <c r="B47" s="361"/>
      <c r="C47" s="361"/>
      <c r="D47" s="362"/>
      <c r="E47" s="362"/>
      <c r="F47" s="365" t="str">
        <f>F39</f>
        <v>Quelle: Datenübergabe-IER_2015-07-24_V2_ob.xlsx</v>
      </c>
      <c r="G47" s="366"/>
      <c r="H47" s="366"/>
      <c r="I47" s="366"/>
    </row>
    <row r="48" spans="1:13" x14ac:dyDescent="0.25">
      <c r="A48" s="356"/>
      <c r="B48" s="359"/>
      <c r="C48" s="359"/>
      <c r="D48" s="359"/>
      <c r="E48" s="359"/>
      <c r="F48" s="355">
        <f t="shared" ref="F48:I48" si="25">F40</f>
        <v>2015</v>
      </c>
      <c r="G48" s="355">
        <f t="shared" si="25"/>
        <v>2020</v>
      </c>
      <c r="H48" s="355">
        <f t="shared" si="25"/>
        <v>2025</v>
      </c>
      <c r="I48" s="355">
        <f t="shared" si="25"/>
        <v>2030</v>
      </c>
    </row>
    <row r="49" spans="1:12" x14ac:dyDescent="0.25">
      <c r="A49" s="357">
        <f>A41</f>
        <v>1</v>
      </c>
      <c r="B49" s="360"/>
      <c r="C49" s="360"/>
      <c r="D49" s="360"/>
      <c r="E49" s="360"/>
      <c r="F49" s="364">
        <f>SUMPRODUCT((F$24=[6]Szenarien!$A$5:$A$20)*($A33=[6]Szenarien!$D$1:$H$1)*([6]Szenarien!$P$5:$T$20))/1000000</f>
        <v>1907.1958658933333</v>
      </c>
      <c r="G49" s="364">
        <f>SUMPRODUCT((G$24=[6]Szenarien!$A$5:$A$20)*($A33=[6]Szenarien!$D$1:$H$1)*([6]Szenarien!$P$5:$T$20))/1000000</f>
        <v>1252.0972292356332</v>
      </c>
      <c r="H49" s="364">
        <f>SUMPRODUCT((H$24=[6]Szenarien!$A$5:$A$20)*($A33=[6]Szenarien!$D$1:$H$1)*([6]Szenarien!$P$5:$T$20))/1000000</f>
        <v>624.35522689663378</v>
      </c>
      <c r="I49" s="364">
        <f>SUMPRODUCT((I$24=[6]Szenarien!$A$5:$A$20)*($A33=[6]Szenarien!$D$1:$H$1)*([6]Szenarien!$P$5:$T$20))/1000000</f>
        <v>352.15800354061054</v>
      </c>
    </row>
    <row r="50" spans="1:12" x14ac:dyDescent="0.25">
      <c r="A50" s="358" t="str">
        <f t="shared" ref="A50:A53" si="26">A42</f>
        <v>2.1</v>
      </c>
      <c r="B50" s="360"/>
      <c r="C50" s="360"/>
      <c r="D50" s="360"/>
      <c r="E50" s="360"/>
      <c r="F50" s="364">
        <f>SUMPRODUCT((F$24=[6]Szenarien!$A$5:$A$20)*($A34=[6]Szenarien!$D$1:$H$1)*([6]Szenarien!$P$5:$T$20))/1000000</f>
        <v>1907.1958658933333</v>
      </c>
      <c r="G50" s="364">
        <f>SUMPRODUCT((G$24=[6]Szenarien!$A$5:$A$20)*($A34=[6]Szenarien!$D$1:$H$1)*([6]Szenarien!$P$5:$T$20))/1000000</f>
        <v>1237.7119193486387</v>
      </c>
      <c r="H50" s="364">
        <f>SUMPRODUCT((H$24=[6]Szenarien!$A$5:$A$20)*($A34=[6]Szenarien!$D$1:$H$1)*([6]Szenarien!$P$5:$T$20))/1000000</f>
        <v>624.26105948745374</v>
      </c>
      <c r="I50" s="364">
        <f>SUMPRODUCT((I$24=[6]Szenarien!$A$5:$A$20)*($A34=[6]Szenarien!$D$1:$H$1)*([6]Szenarien!$P$5:$T$20))/1000000</f>
        <v>360.78918947280778</v>
      </c>
    </row>
    <row r="51" spans="1:12" x14ac:dyDescent="0.25">
      <c r="A51" s="358" t="str">
        <f t="shared" si="26"/>
        <v>3.1</v>
      </c>
      <c r="B51" s="360"/>
      <c r="C51" s="360"/>
      <c r="D51" s="360"/>
      <c r="E51" s="360"/>
      <c r="F51" s="364">
        <f>SUMPRODUCT((F$24=[6]Szenarien!$A$5:$A$20)*($A35=[6]Szenarien!$D$1:$H$1)*([6]Szenarien!$P$5:$T$20))/1000000</f>
        <v>1857.1958658933333</v>
      </c>
      <c r="G51" s="364">
        <f>SUMPRODUCT((G$24=[6]Szenarien!$A$5:$A$20)*($A35=[6]Szenarien!$D$1:$H$1)*([6]Szenarien!$P$5:$T$20))/1000000</f>
        <v>1038.4444922866041</v>
      </c>
      <c r="H51" s="364">
        <f>SUMPRODUCT((H$24=[6]Szenarien!$A$5:$A$20)*($A35=[6]Szenarien!$D$1:$H$1)*([6]Szenarien!$P$5:$T$20))/1000000</f>
        <v>486.12487908719407</v>
      </c>
      <c r="I51" s="364">
        <f>SUMPRODUCT((I$24=[6]Szenarien!$A$5:$A$20)*($A35=[6]Szenarien!$D$1:$H$1)*([6]Szenarien!$P$5:$T$20))/1000000</f>
        <v>448.7538796417831</v>
      </c>
    </row>
    <row r="52" spans="1:12" x14ac:dyDescent="0.25">
      <c r="A52" s="358" t="str">
        <f t="shared" si="26"/>
        <v>4.1</v>
      </c>
      <c r="B52" s="360"/>
      <c r="C52" s="360"/>
      <c r="D52" s="360"/>
      <c r="E52" s="360"/>
      <c r="F52" s="364">
        <f>SUMPRODUCT((F$24=[6]Szenarien!$A$5:$A$20)*($A36=[6]Szenarien!$D$1:$H$1)*([6]Szenarien!$P$5:$T$20))/1000000</f>
        <v>1907.1958658933333</v>
      </c>
      <c r="G52" s="364">
        <f>SUMPRODUCT((G$24=[6]Szenarien!$A$5:$A$20)*($A36=[6]Szenarien!$D$1:$H$1)*([6]Szenarien!$P$5:$T$20))/1000000</f>
        <v>1252.0972292356332</v>
      </c>
      <c r="H52" s="364">
        <f>SUMPRODUCT((H$24=[6]Szenarien!$A$5:$A$20)*($A36=[6]Szenarien!$D$1:$H$1)*([6]Szenarien!$P$5:$T$20))/1000000</f>
        <v>624.35522689663378</v>
      </c>
      <c r="I52" s="364">
        <f>SUMPRODUCT((I$24=[6]Szenarien!$A$5:$A$20)*($A36=[6]Szenarien!$D$1:$H$1)*([6]Szenarien!$P$5:$T$20))/1000000</f>
        <v>352.15800354061054</v>
      </c>
    </row>
    <row r="53" spans="1:12" x14ac:dyDescent="0.25">
      <c r="A53" s="358" t="str">
        <f t="shared" si="26"/>
        <v>5.1</v>
      </c>
      <c r="B53" s="360"/>
      <c r="C53" s="360"/>
      <c r="D53" s="360"/>
      <c r="E53" s="360"/>
      <c r="F53" s="364">
        <f>SUMPRODUCT((F$24=[6]Szenarien!$A$5:$A$20)*($A37=[6]Szenarien!$D$1:$H$1)*([6]Szenarien!$P$5:$T$20))/1000000</f>
        <v>1857.1958658933333</v>
      </c>
      <c r="G53" s="364">
        <f>SUMPRODUCT((G$24=[6]Szenarien!$A$5:$A$20)*($A37=[6]Szenarien!$D$1:$H$1)*([6]Szenarien!$P$5:$T$20))/1000000</f>
        <v>1067.8182632005671</v>
      </c>
      <c r="H53" s="364">
        <f>SUMPRODUCT((H$24=[6]Szenarien!$A$5:$A$20)*($A37=[6]Szenarien!$D$1:$H$1)*([6]Szenarien!$P$5:$T$20))/1000000</f>
        <v>586.6139205513125</v>
      </c>
      <c r="I53" s="364">
        <f>SUMPRODUCT((I$24=[6]Szenarien!$A$5:$A$20)*($A37=[6]Szenarien!$D$1:$H$1)*([6]Szenarien!$P$5:$T$20))/1000000</f>
        <v>391.86231399123346</v>
      </c>
    </row>
    <row r="55" spans="1:12" s="308" customFormat="1" ht="9" customHeight="1" x14ac:dyDescent="0.25"/>
    <row r="56" spans="1:12" x14ac:dyDescent="0.25">
      <c r="A56" t="s">
        <v>208</v>
      </c>
    </row>
    <row r="57" spans="1:12" x14ac:dyDescent="0.25">
      <c r="A57" s="331" t="s">
        <v>200</v>
      </c>
      <c r="B57" s="332" t="str">
        <f>DEHst_1vs4!A73</f>
        <v>Szenario 1 - Status Quo (aktualisiert)</v>
      </c>
      <c r="C57" s="332"/>
      <c r="D57" s="332"/>
      <c r="E57" s="332"/>
      <c r="F57" s="332"/>
      <c r="G57" s="332"/>
      <c r="H57" s="332"/>
      <c r="I57" s="332"/>
      <c r="J57" s="332"/>
      <c r="K57" s="332"/>
      <c r="L57" s="332"/>
    </row>
    <row r="58" spans="1:12" x14ac:dyDescent="0.25">
      <c r="A58" s="332"/>
      <c r="B58" s="333"/>
      <c r="C58" s="334">
        <f>DEHst_1vs4!C72</f>
        <v>2007</v>
      </c>
      <c r="D58" s="334">
        <v>2011</v>
      </c>
      <c r="E58" s="334">
        <f>DEHst_1vs4!E72</f>
        <v>2015</v>
      </c>
      <c r="F58" s="334">
        <f>DEHst_1vs4!F72</f>
        <v>2020</v>
      </c>
      <c r="G58" s="334">
        <f>DEHst_1vs4!G72</f>
        <v>2025</v>
      </c>
      <c r="H58" s="334">
        <f>DEHst_1vs4!H72</f>
        <v>2030</v>
      </c>
      <c r="I58" s="334">
        <f>DEHst_1vs4!I72</f>
        <v>2035</v>
      </c>
      <c r="J58" s="334">
        <f>DEHst_1vs4!J72</f>
        <v>2040</v>
      </c>
      <c r="K58" s="334">
        <f>DEHst_1vs4!K72</f>
        <v>2045</v>
      </c>
      <c r="L58" s="335">
        <f>DEHst_1vs4!L72</f>
        <v>2050</v>
      </c>
    </row>
    <row r="59" spans="1:12" x14ac:dyDescent="0.25">
      <c r="A59" s="332"/>
      <c r="B59" s="336" t="s">
        <v>190</v>
      </c>
      <c r="C59" s="337">
        <f>DEHst_1vs4!C79</f>
        <v>1</v>
      </c>
      <c r="D59" s="338">
        <f>DEHst_1vs4!D79</f>
        <v>0.88673642000452668</v>
      </c>
      <c r="E59" s="338">
        <f>DEHst_1vs4!E79</f>
        <v>0.83350422185242257</v>
      </c>
      <c r="F59" s="338">
        <f>DEHst_1vs4!F79</f>
        <v>0.75837485249771808</v>
      </c>
      <c r="G59" s="338">
        <f>DEHst_1vs4!G79</f>
        <v>0.66338369584234458</v>
      </c>
      <c r="H59" s="338">
        <f>DEHst_1vs4!H79</f>
        <v>0.56839253918697108</v>
      </c>
      <c r="I59" s="338">
        <f>DEHst_1vs4!I79</f>
        <v>0.47340138253159769</v>
      </c>
      <c r="J59" s="338">
        <f>DEHst_1vs4!J79</f>
        <v>0.37841022587622419</v>
      </c>
      <c r="K59" s="338">
        <f>DEHst_1vs4!K79</f>
        <v>0.28341906922085075</v>
      </c>
      <c r="L59" s="339">
        <f>DEHst_1vs4!L79</f>
        <v>0.18842791256547728</v>
      </c>
    </row>
    <row r="60" spans="1:12" x14ac:dyDescent="0.25">
      <c r="A60" s="332"/>
      <c r="B60" s="332"/>
      <c r="C60" s="332"/>
      <c r="D60" s="332"/>
      <c r="E60" s="332"/>
      <c r="F60" s="332"/>
      <c r="G60" s="332"/>
      <c r="H60" s="332"/>
      <c r="I60" s="332"/>
      <c r="J60" s="332"/>
      <c r="K60" s="332"/>
      <c r="L60" s="332"/>
    </row>
    <row r="61" spans="1:12" x14ac:dyDescent="0.25">
      <c r="A61" s="331" t="s">
        <v>201</v>
      </c>
      <c r="B61" s="332" t="str">
        <f>CONCATENATE(B57," + Umlaufmenge - Knappheitskorrektur")</f>
        <v>Szenario 1 - Status Quo (aktualisiert) + Umlaufmenge - Knappheitskorrektur</v>
      </c>
      <c r="C61" s="332"/>
      <c r="D61" s="332"/>
      <c r="E61" s="332"/>
      <c r="F61" s="332"/>
      <c r="G61" s="332"/>
      <c r="H61" s="340" t="s">
        <v>183</v>
      </c>
      <c r="I61" s="341" t="s">
        <v>191</v>
      </c>
      <c r="J61" s="332"/>
      <c r="K61" s="332"/>
      <c r="L61" s="332"/>
    </row>
    <row r="62" spans="1:12" x14ac:dyDescent="0.25">
      <c r="A62" s="332"/>
      <c r="B62" s="333"/>
      <c r="C62" s="334">
        <f t="shared" ref="C62:L63" si="27">C58</f>
        <v>2007</v>
      </c>
      <c r="D62" s="334">
        <f t="shared" si="27"/>
        <v>2011</v>
      </c>
      <c r="E62" s="334">
        <f t="shared" si="27"/>
        <v>2015</v>
      </c>
      <c r="F62" s="334">
        <f t="shared" si="27"/>
        <v>2020</v>
      </c>
      <c r="G62" s="334">
        <f t="shared" si="27"/>
        <v>2025</v>
      </c>
      <c r="H62" s="334">
        <f t="shared" si="27"/>
        <v>2030</v>
      </c>
      <c r="I62" s="334">
        <f t="shared" si="27"/>
        <v>2035</v>
      </c>
      <c r="J62" s="334">
        <f t="shared" si="27"/>
        <v>2040</v>
      </c>
      <c r="K62" s="334">
        <f t="shared" si="27"/>
        <v>2045</v>
      </c>
      <c r="L62" s="335">
        <f t="shared" si="27"/>
        <v>2050</v>
      </c>
    </row>
    <row r="63" spans="1:12" x14ac:dyDescent="0.25">
      <c r="A63" s="332"/>
      <c r="B63" s="336" t="str">
        <f>B59</f>
        <v>EU28</v>
      </c>
      <c r="C63" s="337">
        <f t="shared" si="27"/>
        <v>1</v>
      </c>
      <c r="D63" s="338">
        <f>(E63+C63)/2</f>
        <v>1.2778998888566195</v>
      </c>
      <c r="E63" s="338">
        <f>E59*[7]Tabelle1!$F$7</f>
        <v>1.5557997777132389</v>
      </c>
      <c r="F63" s="338">
        <f>F59*[7]Tabelle1!$F$12</f>
        <v>1.0070134521338598</v>
      </c>
      <c r="G63" s="338">
        <f>G59*[7]Tabelle1!$F$17</f>
        <v>0.69579069652462189</v>
      </c>
      <c r="H63" s="338">
        <f>H59*[7]Tabelle1!$F$22</f>
        <v>0.56818904621811039</v>
      </c>
      <c r="I63" s="338">
        <f t="shared" si="27"/>
        <v>0.47340138253159769</v>
      </c>
      <c r="J63" s="338">
        <f t="shared" si="27"/>
        <v>0.37841022587622419</v>
      </c>
      <c r="K63" s="338">
        <f t="shared" si="27"/>
        <v>0.28341906922085075</v>
      </c>
      <c r="L63" s="339">
        <f t="shared" si="27"/>
        <v>0.18842791256547728</v>
      </c>
    </row>
    <row r="64" spans="1:12" x14ac:dyDescent="0.25">
      <c r="B64" s="304"/>
      <c r="C64" s="305"/>
      <c r="D64" s="306"/>
      <c r="E64" s="307"/>
      <c r="F64" s="307"/>
      <c r="G64" s="307"/>
      <c r="H64" s="307"/>
      <c r="I64" s="306"/>
      <c r="J64" s="306"/>
      <c r="K64" s="306"/>
      <c r="L64" s="306"/>
    </row>
    <row r="65" spans="1:11" s="308" customFormat="1" ht="9" customHeight="1" x14ac:dyDescent="0.25"/>
    <row r="66" spans="1:11" x14ac:dyDescent="0.25">
      <c r="A66" t="s">
        <v>207</v>
      </c>
    </row>
    <row r="67" spans="1:11" x14ac:dyDescent="0.25">
      <c r="D67" s="344" t="s">
        <v>249</v>
      </c>
    </row>
    <row r="68" spans="1:11" x14ac:dyDescent="0.25">
      <c r="A68" s="35" t="s">
        <v>209</v>
      </c>
    </row>
    <row r="69" spans="1:11" x14ac:dyDescent="0.25">
      <c r="B69" s="296"/>
      <c r="C69" s="345">
        <f>D58</f>
        <v>2011</v>
      </c>
      <c r="D69" s="327">
        <v>2015</v>
      </c>
      <c r="E69" s="327">
        <v>2020</v>
      </c>
      <c r="F69" s="327">
        <v>2025</v>
      </c>
      <c r="G69" s="327">
        <v>2030</v>
      </c>
      <c r="H69" s="327">
        <v>2035</v>
      </c>
      <c r="I69" s="297">
        <v>2040</v>
      </c>
      <c r="J69" s="297">
        <v>2045</v>
      </c>
      <c r="K69" s="298">
        <v>2050</v>
      </c>
    </row>
    <row r="70" spans="1:11" x14ac:dyDescent="0.25">
      <c r="A70" s="62" t="s">
        <v>206</v>
      </c>
      <c r="B70" s="299" t="s">
        <v>190</v>
      </c>
      <c r="C70" s="346">
        <f>D20</f>
        <v>1</v>
      </c>
      <c r="D70" s="328">
        <f t="shared" ref="D70:K70" si="28">F20</f>
        <v>0.93973545270041425</v>
      </c>
      <c r="E70" s="328">
        <f t="shared" si="28"/>
        <v>0.88389759450405614</v>
      </c>
      <c r="F70" s="328">
        <f t="shared" si="28"/>
        <v>0.76082324590222561</v>
      </c>
      <c r="G70" s="374">
        <f t="shared" si="28"/>
        <v>0.63774889730039497</v>
      </c>
      <c r="H70" s="328">
        <f t="shared" si="28"/>
        <v>0.52774889730039498</v>
      </c>
      <c r="I70" s="300">
        <f t="shared" si="28"/>
        <v>0.41774889730039505</v>
      </c>
      <c r="J70" s="300">
        <f t="shared" si="28"/>
        <v>0.30774889730039506</v>
      </c>
      <c r="K70" s="301">
        <f t="shared" si="28"/>
        <v>0.19774889730039508</v>
      </c>
    </row>
    <row r="71" spans="1:11" x14ac:dyDescent="0.25">
      <c r="E71" s="368" t="s">
        <v>240</v>
      </c>
      <c r="F71" s="368"/>
      <c r="G71" s="368"/>
      <c r="H71" s="368"/>
      <c r="I71" s="368"/>
      <c r="J71" s="368"/>
    </row>
    <row r="72" spans="1:11" x14ac:dyDescent="0.25">
      <c r="A72" s="35" t="s">
        <v>236</v>
      </c>
      <c r="E72" s="369">
        <v>0.97</v>
      </c>
    </row>
    <row r="73" spans="1:11" x14ac:dyDescent="0.25">
      <c r="B73" s="296"/>
      <c r="C73" s="342">
        <f t="shared" ref="C73:K73" si="29">D58</f>
        <v>2011</v>
      </c>
      <c r="D73" s="302">
        <f t="shared" si="29"/>
        <v>2015</v>
      </c>
      <c r="E73" s="302">
        <f t="shared" si="29"/>
        <v>2020</v>
      </c>
      <c r="F73" s="302">
        <f t="shared" si="29"/>
        <v>2025</v>
      </c>
      <c r="G73" s="302">
        <f t="shared" si="29"/>
        <v>2030</v>
      </c>
      <c r="H73" s="297">
        <f t="shared" si="29"/>
        <v>2035</v>
      </c>
      <c r="I73" s="297">
        <f t="shared" si="29"/>
        <v>2040</v>
      </c>
      <c r="J73" s="297">
        <f t="shared" si="29"/>
        <v>2045</v>
      </c>
      <c r="K73" s="298">
        <f t="shared" si="29"/>
        <v>2050</v>
      </c>
    </row>
    <row r="74" spans="1:11" x14ac:dyDescent="0.25">
      <c r="A74" s="62" t="s">
        <v>189</v>
      </c>
      <c r="B74" s="299" t="str">
        <f>B59</f>
        <v>EU28</v>
      </c>
      <c r="C74" s="343">
        <v>1</v>
      </c>
      <c r="D74" s="367">
        <f>F33</f>
        <v>1.1306813456924312</v>
      </c>
      <c r="E74" s="370">
        <f>G33*E72</f>
        <v>1.0571909256342746</v>
      </c>
      <c r="F74" s="367">
        <f>H33</f>
        <v>0.84071266030997949</v>
      </c>
      <c r="G74" s="367">
        <f>I33</f>
        <v>0.58489567201295445</v>
      </c>
      <c r="H74" s="300">
        <f>H70</f>
        <v>0.52774889730039498</v>
      </c>
      <c r="I74" s="300">
        <f>I70</f>
        <v>0.41774889730039505</v>
      </c>
      <c r="J74" s="300">
        <f>J70</f>
        <v>0.30774889730039506</v>
      </c>
      <c r="K74" s="301">
        <f>K70</f>
        <v>0.19774889730039508</v>
      </c>
    </row>
    <row r="75" spans="1:11" x14ac:dyDescent="0.25">
      <c r="C75" s="373">
        <f t="shared" ref="C75:K75" si="30">C74*$C$7</f>
        <v>2429.3440000000001</v>
      </c>
      <c r="D75" s="373">
        <f t="shared" si="30"/>
        <v>2746.8139430698334</v>
      </c>
      <c r="E75" s="373">
        <f t="shared" si="30"/>
        <v>2568.2804320440714</v>
      </c>
      <c r="F75" s="373">
        <f t="shared" si="30"/>
        <v>2042.3802570480868</v>
      </c>
      <c r="G75" s="373">
        <f t="shared" si="30"/>
        <v>1420.9127914306389</v>
      </c>
      <c r="H75" s="373">
        <f t="shared" si="30"/>
        <v>1282.0836171633307</v>
      </c>
      <c r="I75" s="373">
        <f t="shared" si="30"/>
        <v>1014.8557771633309</v>
      </c>
      <c r="J75" s="373">
        <f t="shared" si="30"/>
        <v>747.62793716333101</v>
      </c>
      <c r="K75" s="373">
        <f t="shared" si="30"/>
        <v>480.400097163331</v>
      </c>
    </row>
    <row r="76" spans="1:11" x14ac:dyDescent="0.25">
      <c r="A76" s="35" t="s">
        <v>237</v>
      </c>
      <c r="G76" s="218">
        <f>G75/B7-1</f>
        <v>-0.42186097225752028</v>
      </c>
      <c r="H76" s="303"/>
    </row>
    <row r="77" spans="1:11" x14ac:dyDescent="0.25">
      <c r="B77" s="296"/>
      <c r="C77" s="342">
        <f t="shared" ref="C77:K77" si="31">D62</f>
        <v>2011</v>
      </c>
      <c r="D77" s="302">
        <f t="shared" si="31"/>
        <v>2015</v>
      </c>
      <c r="E77" s="302">
        <f t="shared" si="31"/>
        <v>2020</v>
      </c>
      <c r="F77" s="302">
        <f t="shared" si="31"/>
        <v>2025</v>
      </c>
      <c r="G77" s="302">
        <f t="shared" si="31"/>
        <v>2030</v>
      </c>
      <c r="H77" s="297">
        <f t="shared" si="31"/>
        <v>2035</v>
      </c>
      <c r="I77" s="297">
        <f t="shared" si="31"/>
        <v>2040</v>
      </c>
      <c r="J77" s="297">
        <f t="shared" si="31"/>
        <v>2045</v>
      </c>
      <c r="K77" s="298">
        <f t="shared" si="31"/>
        <v>2050</v>
      </c>
    </row>
    <row r="78" spans="1:11" x14ac:dyDescent="0.25">
      <c r="A78" s="62" t="s">
        <v>235</v>
      </c>
      <c r="B78" s="299" t="str">
        <f>B63</f>
        <v>EU28</v>
      </c>
      <c r="C78" s="343">
        <v>1</v>
      </c>
      <c r="D78" s="367">
        <f>F34</f>
        <v>1.137230103759018</v>
      </c>
      <c r="E78" s="370">
        <f>G34*E72</f>
        <v>1.0471482445259126</v>
      </c>
      <c r="F78" s="367">
        <f>H34</f>
        <v>0.84058792689659656</v>
      </c>
      <c r="G78" s="367">
        <f>I34</f>
        <v>0.58882492685290699</v>
      </c>
      <c r="H78" s="300">
        <f>H70</f>
        <v>0.52774889730039498</v>
      </c>
      <c r="I78" s="300">
        <f>I70</f>
        <v>0.41774889730039505</v>
      </c>
      <c r="J78" s="300">
        <f>J70</f>
        <v>0.30774889730039506</v>
      </c>
      <c r="K78" s="301">
        <f>K70</f>
        <v>0.19774889730039508</v>
      </c>
    </row>
    <row r="79" spans="1:11" x14ac:dyDescent="0.25">
      <c r="C79" s="373">
        <f t="shared" ref="C79" si="32">C78*$C$7</f>
        <v>2429.3440000000001</v>
      </c>
      <c r="D79" s="373">
        <f t="shared" ref="D79" si="33">D78*$C$7</f>
        <v>2762.7231291863477</v>
      </c>
      <c r="E79" s="373">
        <f t="shared" ref="E79" si="34">E78*$C$7</f>
        <v>2543.8833049495588</v>
      </c>
      <c r="F79" s="373">
        <f t="shared" ref="F79" si="35">F78*$C$7</f>
        <v>2042.0772366786855</v>
      </c>
      <c r="G79" s="373">
        <f t="shared" ref="G79" si="36">G78*$C$7</f>
        <v>1430.4583031005486</v>
      </c>
      <c r="H79" s="373">
        <f t="shared" ref="H79" si="37">H78*$C$7</f>
        <v>1282.0836171633307</v>
      </c>
      <c r="I79" s="373">
        <f t="shared" ref="I79" si="38">I78*$C$7</f>
        <v>1014.8557771633309</v>
      </c>
      <c r="J79" s="373">
        <f t="shared" ref="J79" si="39">J78*$C$7</f>
        <v>747.62793716333101</v>
      </c>
      <c r="K79" s="373">
        <f t="shared" ref="K79" si="40">K78*$C$7</f>
        <v>480.400097163331</v>
      </c>
    </row>
    <row r="80" spans="1:11" x14ac:dyDescent="0.25">
      <c r="A80" s="35" t="s">
        <v>239</v>
      </c>
      <c r="G80" s="218" t="e">
        <f>G79/B11-1</f>
        <v>#VALUE!</v>
      </c>
      <c r="H80" s="303"/>
    </row>
    <row r="81" spans="1:11" x14ac:dyDescent="0.25">
      <c r="B81" s="296"/>
      <c r="C81" s="342">
        <f t="shared" ref="B81:K82" si="41">C77</f>
        <v>2011</v>
      </c>
      <c r="D81" s="302">
        <f t="shared" si="41"/>
        <v>2015</v>
      </c>
      <c r="E81" s="302">
        <f t="shared" si="41"/>
        <v>2020</v>
      </c>
      <c r="F81" s="302">
        <f t="shared" si="41"/>
        <v>2025</v>
      </c>
      <c r="G81" s="302">
        <f>G77</f>
        <v>2030</v>
      </c>
      <c r="H81" s="297">
        <f t="shared" si="41"/>
        <v>2035</v>
      </c>
      <c r="I81" s="297">
        <f t="shared" si="41"/>
        <v>2040</v>
      </c>
      <c r="J81" s="297">
        <f t="shared" si="41"/>
        <v>2045</v>
      </c>
      <c r="K81" s="298">
        <f t="shared" si="41"/>
        <v>2050</v>
      </c>
    </row>
    <row r="82" spans="1:11" x14ac:dyDescent="0.25">
      <c r="A82" s="62" t="s">
        <v>238</v>
      </c>
      <c r="B82" s="299" t="str">
        <f t="shared" si="41"/>
        <v>EU28</v>
      </c>
      <c r="C82" s="343">
        <v>1</v>
      </c>
      <c r="D82" s="367">
        <f>F36</f>
        <v>1.1306813456924312</v>
      </c>
      <c r="E82" s="370">
        <f>G36*E72</f>
        <v>1.0571909256342746</v>
      </c>
      <c r="F82" s="367">
        <f>H36</f>
        <v>0.84071266030997949</v>
      </c>
      <c r="G82" s="367">
        <f>I36</f>
        <v>0.58489567201295445</v>
      </c>
      <c r="H82" s="300">
        <f t="shared" si="41"/>
        <v>0.52774889730039498</v>
      </c>
      <c r="I82" s="300">
        <f t="shared" si="41"/>
        <v>0.41774889730039505</v>
      </c>
      <c r="J82" s="300">
        <f t="shared" si="41"/>
        <v>0.30774889730039506</v>
      </c>
      <c r="K82" s="301">
        <f t="shared" si="41"/>
        <v>0.19774889730039508</v>
      </c>
    </row>
    <row r="84" spans="1:11" x14ac:dyDescent="0.25">
      <c r="A84" t="s">
        <v>241</v>
      </c>
      <c r="C84" s="131">
        <f t="shared" ref="C84:K84" si="42">C78/C74-1</f>
        <v>0</v>
      </c>
      <c r="D84" s="315">
        <f t="shared" si="42"/>
        <v>5.7918688510567584E-3</v>
      </c>
      <c r="E84" s="315">
        <f t="shared" si="42"/>
        <v>-9.4994015412465105E-3</v>
      </c>
      <c r="F84" s="315">
        <f t="shared" si="42"/>
        <v>-1.4836628407255414E-4</v>
      </c>
      <c r="G84" s="315">
        <f t="shared" si="42"/>
        <v>6.7178729950758687E-3</v>
      </c>
      <c r="H84" s="131">
        <f t="shared" si="42"/>
        <v>0</v>
      </c>
      <c r="I84" s="131">
        <f t="shared" si="42"/>
        <v>0</v>
      </c>
      <c r="J84" s="131">
        <f t="shared" si="42"/>
        <v>0</v>
      </c>
      <c r="K84" s="131">
        <f t="shared" si="42"/>
        <v>0</v>
      </c>
    </row>
    <row r="85" spans="1:11" x14ac:dyDescent="0.25">
      <c r="A85" t="s">
        <v>242</v>
      </c>
      <c r="C85" s="131">
        <f t="shared" ref="C85:K85" si="43">C82/C74-1</f>
        <v>0</v>
      </c>
      <c r="D85" s="131">
        <f t="shared" si="43"/>
        <v>0</v>
      </c>
      <c r="E85" s="131">
        <f t="shared" si="43"/>
        <v>0</v>
      </c>
      <c r="F85" s="131">
        <f t="shared" si="43"/>
        <v>0</v>
      </c>
      <c r="G85" s="131">
        <f t="shared" si="43"/>
        <v>0</v>
      </c>
      <c r="H85" s="131">
        <f t="shared" si="43"/>
        <v>0</v>
      </c>
      <c r="I85" s="131">
        <f t="shared" si="43"/>
        <v>0</v>
      </c>
      <c r="J85" s="131">
        <f t="shared" si="43"/>
        <v>0</v>
      </c>
      <c r="K85" s="131">
        <f t="shared" si="43"/>
        <v>0</v>
      </c>
    </row>
    <row r="88" spans="1:11" x14ac:dyDescent="0.25">
      <c r="B88" s="62" t="s">
        <v>221</v>
      </c>
    </row>
    <row r="89" spans="1:11" x14ac:dyDescent="0.25">
      <c r="B89">
        <f>B18</f>
        <v>2005</v>
      </c>
      <c r="C89">
        <f t="shared" ref="C89:H89" si="44">D18</f>
        <v>2011</v>
      </c>
      <c r="D89">
        <f t="shared" si="44"/>
        <v>2013</v>
      </c>
      <c r="E89">
        <f t="shared" si="44"/>
        <v>2015</v>
      </c>
      <c r="F89">
        <f t="shared" si="44"/>
        <v>2020</v>
      </c>
      <c r="G89">
        <f t="shared" si="44"/>
        <v>2025</v>
      </c>
      <c r="H89">
        <f t="shared" si="44"/>
        <v>2030</v>
      </c>
      <c r="K89">
        <f>E19*Umlaufmenge!G6</f>
        <v>4053.8137068008546</v>
      </c>
    </row>
    <row r="90" spans="1:11" x14ac:dyDescent="0.25">
      <c r="A90" t="s">
        <v>219</v>
      </c>
      <c r="C90" s="131">
        <f t="shared" ref="C90:H90" si="45">D19/$B$19-1</f>
        <v>-0.10623130449488427</v>
      </c>
      <c r="D90" s="131">
        <f t="shared" si="45"/>
        <v>-0.14013141844805799</v>
      </c>
      <c r="E90" s="131">
        <f t="shared" si="45"/>
        <v>-0.16009387032004141</v>
      </c>
      <c r="F90" s="131">
        <f t="shared" si="45"/>
        <v>-0.20999999999999996</v>
      </c>
      <c r="G90" s="131">
        <f t="shared" si="45"/>
        <v>-0.31999999999999995</v>
      </c>
      <c r="H90" s="131">
        <f t="shared" si="45"/>
        <v>-0.42999999999999994</v>
      </c>
    </row>
    <row r="91" spans="1:11" x14ac:dyDescent="0.25">
      <c r="A91" t="s">
        <v>220</v>
      </c>
      <c r="C91" s="131">
        <f>D19*C74/$B$19-1</f>
        <v>-0.10623130449488427</v>
      </c>
      <c r="D91" s="131">
        <f>E19*Umlaufmenge!G6/$B$19-1</f>
        <v>0.64941010400734989</v>
      </c>
      <c r="E91" s="131">
        <f>F19*Umlaufmenge!G8/$B$19-1</f>
        <v>0.46289554171053715</v>
      </c>
      <c r="F91" s="131">
        <f>G19*Umlaufmenge!G13/$B$19-1</f>
        <v>-0.24712918973121067</v>
      </c>
      <c r="G91" s="131">
        <f>H19*Umlaufmenge!G18/$B$19-1</f>
        <v>-0.39160902003590659</v>
      </c>
      <c r="H91" s="131">
        <f>I19*Umlaufmenge!G23/$B$19-1</f>
        <v>-0.46007092610278366</v>
      </c>
    </row>
    <row r="92" spans="1:11" x14ac:dyDescent="0.25">
      <c r="B92" t="s">
        <v>217</v>
      </c>
    </row>
    <row r="94" spans="1:11" x14ac:dyDescent="0.25">
      <c r="B94" s="35">
        <f t="shared" ref="B94:H94" si="46">B89</f>
        <v>2005</v>
      </c>
      <c r="C94" s="35">
        <f t="shared" si="46"/>
        <v>2011</v>
      </c>
      <c r="D94" s="35">
        <f t="shared" si="46"/>
        <v>2013</v>
      </c>
      <c r="E94" s="35">
        <f t="shared" si="46"/>
        <v>2015</v>
      </c>
      <c r="F94" s="35">
        <f t="shared" si="46"/>
        <v>2020</v>
      </c>
      <c r="G94" s="35">
        <f t="shared" si="46"/>
        <v>2025</v>
      </c>
      <c r="H94" s="35">
        <f t="shared" si="46"/>
        <v>2030</v>
      </c>
    </row>
    <row r="95" spans="1:11" x14ac:dyDescent="0.25">
      <c r="A95" s="62" t="s">
        <v>219</v>
      </c>
      <c r="B95" s="32">
        <f>B19</f>
        <v>2457.7354636981117</v>
      </c>
      <c r="C95" s="32">
        <f t="shared" ref="C95:H95" si="47">D19</f>
        <v>2196.647019286122</v>
      </c>
      <c r="D95" s="32">
        <f t="shared" si="47"/>
        <v>2113.3295069999999</v>
      </c>
      <c r="E95" s="32">
        <f t="shared" si="47"/>
        <v>2064.2670810918594</v>
      </c>
      <c r="F95" s="32">
        <f t="shared" si="47"/>
        <v>1941.6110163215083</v>
      </c>
      <c r="G95" s="32">
        <f t="shared" si="47"/>
        <v>1671.2601153147161</v>
      </c>
      <c r="H95" s="32">
        <f t="shared" si="47"/>
        <v>1400.9092143079238</v>
      </c>
    </row>
    <row r="96" spans="1:11" x14ac:dyDescent="0.25">
      <c r="B96" s="351" t="s">
        <v>218</v>
      </c>
      <c r="C96" s="352">
        <f t="shared" ref="C96:H96" si="48">C95/$B95-1</f>
        <v>-0.10623130449488427</v>
      </c>
      <c r="D96" s="352">
        <f t="shared" si="48"/>
        <v>-0.14013141844805799</v>
      </c>
      <c r="E96" s="352">
        <f t="shared" si="48"/>
        <v>-0.16009387032004141</v>
      </c>
      <c r="F96" s="352">
        <f t="shared" si="48"/>
        <v>-0.20999999999999996</v>
      </c>
      <c r="G96" s="352">
        <f t="shared" si="48"/>
        <v>-0.31999999999999995</v>
      </c>
      <c r="H96" s="352">
        <f t="shared" si="48"/>
        <v>-0.42999999999999994</v>
      </c>
    </row>
    <row r="97" spans="1:8" x14ac:dyDescent="0.25">
      <c r="A97" s="62" t="s">
        <v>220</v>
      </c>
      <c r="B97" s="32">
        <f>B95</f>
        <v>2457.7354636981117</v>
      </c>
      <c r="C97" s="32">
        <f>C95*C74</f>
        <v>2196.647019286122</v>
      </c>
      <c r="D97" s="32">
        <f>D95*Umlaufmenge!G6</f>
        <v>4053.8137068008546</v>
      </c>
      <c r="E97" s="32">
        <f>E95*Umlaufmenge!G8</f>
        <v>3595.4102525478474</v>
      </c>
      <c r="F97" s="32">
        <f>F95*Umlaufmenge!G13</f>
        <v>1850.3572899807359</v>
      </c>
      <c r="G97" s="32">
        <f>G95*Umlaufmenge!G18</f>
        <v>1495.2640872517998</v>
      </c>
      <c r="H97" s="32">
        <f>H95*Umlaufmenge!G23</f>
        <v>1327.0028327988671</v>
      </c>
    </row>
    <row r="98" spans="1:8" x14ac:dyDescent="0.25">
      <c r="B98" s="351" t="s">
        <v>218</v>
      </c>
      <c r="C98" s="352">
        <f t="shared" ref="C98" si="49">C97/$B97-1</f>
        <v>-0.10623130449488427</v>
      </c>
      <c r="D98" s="352">
        <f t="shared" ref="D98" si="50">D97/$B97-1</f>
        <v>0.64941010400734989</v>
      </c>
      <c r="E98" s="352">
        <f t="shared" ref="E98" si="51">E97/$B97-1</f>
        <v>0.46289554171053715</v>
      </c>
      <c r="F98" s="352">
        <f t="shared" ref="F98" si="52">F97/$B97-1</f>
        <v>-0.24712918973121067</v>
      </c>
      <c r="G98" s="352">
        <f t="shared" ref="G98" si="53">G97/$B97-1</f>
        <v>-0.39160902003590659</v>
      </c>
      <c r="H98" s="352">
        <f t="shared" ref="H98" si="54">H97/$B97-1</f>
        <v>-0.46007092610278366</v>
      </c>
    </row>
    <row r="103" spans="1:8" ht="41.25" x14ac:dyDescent="0.25">
      <c r="C103" s="309" t="s">
        <v>194</v>
      </c>
      <c r="D103" s="309" t="s">
        <v>223</v>
      </c>
      <c r="E103" s="309" t="s">
        <v>224</v>
      </c>
      <c r="F103" s="309" t="s">
        <v>222</v>
      </c>
      <c r="G103" s="309" t="s">
        <v>225</v>
      </c>
    </row>
    <row r="104" spans="1:8" x14ac:dyDescent="0.25">
      <c r="C104" s="310">
        <v>2013</v>
      </c>
      <c r="D104" s="311">
        <f>Umlaufmenge!C6</f>
        <v>2199.4292489999998</v>
      </c>
      <c r="E104" s="311">
        <f>Umlaufmenge!D6</f>
        <v>1959.7103279999999</v>
      </c>
      <c r="F104" s="311">
        <f>Umlaufmenge!E6</f>
        <v>-400</v>
      </c>
      <c r="G104" s="311">
        <f>Umlaufmenge!F6</f>
        <v>3759.1395769999999</v>
      </c>
    </row>
    <row r="105" spans="1:8" x14ac:dyDescent="0.25">
      <c r="C105" s="310">
        <v>2015</v>
      </c>
      <c r="D105" s="311">
        <f>Umlaufmenge!C8</f>
        <v>1874.728824</v>
      </c>
      <c r="E105" s="311">
        <f>Umlaufmenge!D8</f>
        <v>1988.21</v>
      </c>
      <c r="F105" s="311">
        <f>Umlaufmenge!E8</f>
        <v>-400</v>
      </c>
      <c r="G105" s="311">
        <f>Umlaufmenge!F8</f>
        <v>3462.9388239999998</v>
      </c>
    </row>
    <row r="106" spans="1:8" x14ac:dyDescent="0.25">
      <c r="C106" s="310">
        <v>2020</v>
      </c>
      <c r="D106" s="311">
        <f>Umlaufmenge!C13</f>
        <v>307.71187400000002</v>
      </c>
      <c r="E106" s="311">
        <f>Umlaufmenge!D13</f>
        <v>1963.62</v>
      </c>
      <c r="F106" s="311">
        <f>Umlaufmenge!E13</f>
        <v>-400</v>
      </c>
      <c r="G106" s="311">
        <f>Umlaufmenge!F13</f>
        <v>1871.331874</v>
      </c>
    </row>
    <row r="107" spans="1:8" x14ac:dyDescent="0.25">
      <c r="C107" s="310">
        <v>2025</v>
      </c>
      <c r="D107" s="311">
        <f>Umlaufmenge!C18</f>
        <v>224.031364</v>
      </c>
      <c r="E107" s="311">
        <f>Umlaufmenge!D18</f>
        <v>1671</v>
      </c>
      <c r="F107" s="311">
        <f>Umlaufmenge!E18</f>
        <v>-400</v>
      </c>
      <c r="G107" s="311">
        <f>Umlaufmenge!F18</f>
        <v>1495.0313639999999</v>
      </c>
    </row>
    <row r="108" spans="1:8" x14ac:dyDescent="0.25">
      <c r="C108" s="310">
        <v>2030</v>
      </c>
      <c r="D108" s="311">
        <f>Umlaufmenge!C23</f>
        <v>326.08882899999998</v>
      </c>
      <c r="E108" s="311">
        <f>Umlaufmenge!D23</f>
        <v>1401</v>
      </c>
      <c r="F108" s="311">
        <f>Umlaufmenge!E23</f>
        <v>-400</v>
      </c>
      <c r="G108" s="311">
        <f>Umlaufmenge!F23</f>
        <v>1327.088829</v>
      </c>
    </row>
    <row r="110" spans="1:8" x14ac:dyDescent="0.25">
      <c r="C110" s="309" t="s">
        <v>194</v>
      </c>
      <c r="D110" s="310">
        <v>2013</v>
      </c>
      <c r="E110" s="310">
        <v>2015</v>
      </c>
      <c r="F110" s="310">
        <v>2020</v>
      </c>
      <c r="G110" s="310">
        <v>2025</v>
      </c>
      <c r="H110" s="310">
        <v>2030</v>
      </c>
    </row>
    <row r="111" spans="1:8" ht="25.5" x14ac:dyDescent="0.25">
      <c r="C111" s="309" t="s">
        <v>223</v>
      </c>
      <c r="D111" s="311">
        <f t="array" ref="D111:H114">TRANSPOSE(D104:G108)</f>
        <v>2199.4292489999998</v>
      </c>
      <c r="E111" s="311">
        <v>1874.728824</v>
      </c>
      <c r="F111" s="311">
        <v>307.71187400000002</v>
      </c>
      <c r="G111" s="311">
        <v>224.031364</v>
      </c>
      <c r="H111" s="311">
        <v>326.08882899999998</v>
      </c>
    </row>
    <row r="112" spans="1:8" ht="38.25" x14ac:dyDescent="0.25">
      <c r="C112" s="309" t="s">
        <v>224</v>
      </c>
      <c r="D112" s="311">
        <v>1959.7103279999999</v>
      </c>
      <c r="E112" s="311">
        <v>1988.21</v>
      </c>
      <c r="F112" s="311">
        <v>1963.62</v>
      </c>
      <c r="G112" s="311">
        <v>1671</v>
      </c>
      <c r="H112" s="311">
        <v>1401</v>
      </c>
    </row>
    <row r="113" spans="1:11" ht="25.5" x14ac:dyDescent="0.25">
      <c r="C113" s="309" t="s">
        <v>222</v>
      </c>
      <c r="D113" s="311">
        <v>-400</v>
      </c>
      <c r="E113" s="311">
        <v>-400</v>
      </c>
      <c r="F113" s="311">
        <v>-400</v>
      </c>
      <c r="G113" s="311">
        <v>-400</v>
      </c>
      <c r="H113" s="311">
        <v>-400</v>
      </c>
    </row>
    <row r="114" spans="1:11" ht="41.25" x14ac:dyDescent="0.25">
      <c r="C114" s="309" t="s">
        <v>225</v>
      </c>
      <c r="D114" s="311">
        <v>3759.1395769999999</v>
      </c>
      <c r="E114" s="311">
        <v>3462.9388239999998</v>
      </c>
      <c r="F114" s="311">
        <v>1871.331874</v>
      </c>
      <c r="G114" s="311">
        <v>1495.0313639999999</v>
      </c>
      <c r="H114" s="311">
        <v>1327.088829</v>
      </c>
    </row>
    <row r="118" spans="1:11" x14ac:dyDescent="0.25">
      <c r="B118" s="296"/>
      <c r="C118" s="345">
        <v>2011</v>
      </c>
      <c r="D118" s="327">
        <v>2015</v>
      </c>
      <c r="E118" s="327">
        <v>2020</v>
      </c>
      <c r="F118" s="327">
        <v>2025</v>
      </c>
      <c r="G118" s="327">
        <v>2030</v>
      </c>
      <c r="H118" s="327">
        <v>2035</v>
      </c>
      <c r="I118" s="297">
        <v>2040</v>
      </c>
      <c r="J118" s="297">
        <v>2045</v>
      </c>
      <c r="K118" s="298">
        <v>2050</v>
      </c>
    </row>
    <row r="119" spans="1:11" x14ac:dyDescent="0.25">
      <c r="A119" s="62" t="s">
        <v>206</v>
      </c>
      <c r="B119" s="299" t="s">
        <v>190</v>
      </c>
      <c r="C119" s="346">
        <f>E131</f>
        <v>1</v>
      </c>
      <c r="D119" s="328">
        <v>0.94</v>
      </c>
      <c r="E119" s="328">
        <f>F131</f>
        <v>0.76257478023766889</v>
      </c>
      <c r="F119" s="328">
        <f>(E119+G119)/2</f>
        <v>0.64386217035650328</v>
      </c>
      <c r="G119" s="374">
        <f>G131</f>
        <v>0.52514956047533778</v>
      </c>
      <c r="H119" s="328">
        <f>(G119+I119)/2</f>
        <v>0.40844965814748491</v>
      </c>
      <c r="I119" s="300">
        <f>H131</f>
        <v>0.29174975581963203</v>
      </c>
      <c r="J119" s="300">
        <f>(I119+K119)/2</f>
        <v>0.17504985349177923</v>
      </c>
      <c r="K119" s="301">
        <f>I131</f>
        <v>5.8349951163926446E-2</v>
      </c>
    </row>
    <row r="121" spans="1:11" x14ac:dyDescent="0.25">
      <c r="C121">
        <v>2011</v>
      </c>
      <c r="D121">
        <v>2015</v>
      </c>
      <c r="E121">
        <v>2020</v>
      </c>
      <c r="F121">
        <v>2025</v>
      </c>
      <c r="G121">
        <v>2030</v>
      </c>
      <c r="H121">
        <v>2035</v>
      </c>
      <c r="I121">
        <v>2040</v>
      </c>
      <c r="J121">
        <v>2045</v>
      </c>
      <c r="K121">
        <v>2050</v>
      </c>
    </row>
    <row r="122" spans="1:11" x14ac:dyDescent="0.25">
      <c r="A122" t="s">
        <v>269</v>
      </c>
      <c r="B122" t="s">
        <v>190</v>
      </c>
      <c r="C122">
        <v>1</v>
      </c>
      <c r="D122">
        <v>0.93552725591560537</v>
      </c>
      <c r="E122">
        <v>0.83620272469093548</v>
      </c>
      <c r="F122">
        <v>0.7368781934662656</v>
      </c>
      <c r="G122">
        <v>0.6375536622415956</v>
      </c>
      <c r="H122">
        <v>0.53822913101692571</v>
      </c>
      <c r="I122">
        <v>0.43890459979225577</v>
      </c>
      <c r="J122">
        <v>0.33958006856758582</v>
      </c>
      <c r="K122">
        <v>0.24025553734291591</v>
      </c>
    </row>
    <row r="127" spans="1:11" x14ac:dyDescent="0.25">
      <c r="B127" t="s">
        <v>252</v>
      </c>
      <c r="C127">
        <v>1990</v>
      </c>
      <c r="D127">
        <v>2005</v>
      </c>
      <c r="E127">
        <v>2011</v>
      </c>
      <c r="F127">
        <v>2020</v>
      </c>
      <c r="G127">
        <v>2030</v>
      </c>
      <c r="H127">
        <v>2040</v>
      </c>
      <c r="I127">
        <v>2050</v>
      </c>
    </row>
    <row r="128" spans="1:11" x14ac:dyDescent="0.25">
      <c r="B128" s="535">
        <v>0.8</v>
      </c>
      <c r="C128" s="375">
        <v>5735.1</v>
      </c>
      <c r="D128" s="375">
        <v>5399.3</v>
      </c>
      <c r="E128" s="375">
        <v>4914.3999999999996</v>
      </c>
      <c r="F128">
        <f>(E128+G128)/2</f>
        <v>4177.7299999999996</v>
      </c>
      <c r="G128">
        <f>C128-C128*0.4</f>
        <v>3441.06</v>
      </c>
      <c r="H128">
        <f>C128-C128*0.6</f>
        <v>2294.0400000000004</v>
      </c>
      <c r="I128">
        <f>C128-C128*0.8</f>
        <v>1147.0199999999995</v>
      </c>
    </row>
    <row r="129" spans="1:23" x14ac:dyDescent="0.25">
      <c r="B129" s="535"/>
      <c r="C129">
        <f t="shared" ref="C129:H129" si="55">C128/$E$128</f>
        <v>1.1669990232785286</v>
      </c>
      <c r="D129">
        <f t="shared" si="55"/>
        <v>1.0986692169949537</v>
      </c>
      <c r="E129">
        <f t="shared" si="55"/>
        <v>1</v>
      </c>
      <c r="F129">
        <f t="shared" si="55"/>
        <v>0.85009970698355852</v>
      </c>
      <c r="G129">
        <f t="shared" si="55"/>
        <v>0.70019941396711705</v>
      </c>
      <c r="H129">
        <f t="shared" si="55"/>
        <v>0.46679960931141146</v>
      </c>
      <c r="I129">
        <f>I128/$E$128</f>
        <v>0.23339980465570559</v>
      </c>
    </row>
    <row r="130" spans="1:23" x14ac:dyDescent="0.25">
      <c r="B130" s="535">
        <v>0.95</v>
      </c>
      <c r="C130" s="375">
        <v>5735.1</v>
      </c>
      <c r="D130" s="375">
        <v>5399.3</v>
      </c>
      <c r="E130" s="375">
        <v>4914.3999999999996</v>
      </c>
      <c r="F130">
        <f>(E130+G130)/2</f>
        <v>3747.5974999999999</v>
      </c>
      <c r="G130">
        <f>C130-C130*0.55</f>
        <v>2580.7950000000001</v>
      </c>
      <c r="H130">
        <f>C130-C130*0.75</f>
        <v>1433.7749999999996</v>
      </c>
      <c r="I130">
        <f>C130-C130*0.95</f>
        <v>286.75500000000011</v>
      </c>
    </row>
    <row r="131" spans="1:23" x14ac:dyDescent="0.25">
      <c r="B131" s="535"/>
      <c r="C131">
        <f t="shared" ref="C131" si="56">C130/$E$128</f>
        <v>1.1669990232785286</v>
      </c>
      <c r="D131">
        <f t="shared" ref="D131" si="57">D130/$E$128</f>
        <v>1.0986692169949537</v>
      </c>
      <c r="E131">
        <f t="shared" ref="E131" si="58">E130/$E$128</f>
        <v>1</v>
      </c>
      <c r="F131">
        <f t="shared" ref="F131" si="59">F130/$E$128</f>
        <v>0.76257478023766889</v>
      </c>
      <c r="G131">
        <f t="shared" ref="G131" si="60">G130/$E$128</f>
        <v>0.52514956047533778</v>
      </c>
      <c r="H131">
        <f t="shared" ref="H131" si="61">H130/$E$128</f>
        <v>0.29174975581963203</v>
      </c>
      <c r="I131">
        <f>I130/$E$128</f>
        <v>5.8349951163926446E-2</v>
      </c>
    </row>
    <row r="136" spans="1:23" x14ac:dyDescent="0.25">
      <c r="A136" s="536" t="s">
        <v>266</v>
      </c>
      <c r="B136" s="296"/>
      <c r="C136" s="297">
        <v>2011</v>
      </c>
      <c r="D136" s="297">
        <v>2015</v>
      </c>
      <c r="E136" s="297">
        <v>2020</v>
      </c>
      <c r="F136" s="297">
        <v>2025</v>
      </c>
      <c r="G136" s="297">
        <v>2030</v>
      </c>
      <c r="H136" s="297">
        <v>2035</v>
      </c>
      <c r="I136" s="297">
        <v>2040</v>
      </c>
      <c r="J136" s="297">
        <v>2045</v>
      </c>
      <c r="K136" s="298">
        <v>2050</v>
      </c>
      <c r="L136" t="s">
        <v>267</v>
      </c>
      <c r="N136" s="296"/>
      <c r="O136" s="297">
        <v>2011</v>
      </c>
      <c r="P136" s="297">
        <v>2015</v>
      </c>
      <c r="Q136" s="297">
        <v>2020</v>
      </c>
      <c r="R136" s="297">
        <v>2025</v>
      </c>
      <c r="S136" s="297">
        <v>2030</v>
      </c>
      <c r="T136" s="297">
        <v>2035</v>
      </c>
      <c r="U136" s="297">
        <v>2040</v>
      </c>
      <c r="V136" s="297">
        <v>2045</v>
      </c>
      <c r="W136" s="298">
        <v>2050</v>
      </c>
    </row>
    <row r="137" spans="1:23" x14ac:dyDescent="0.25">
      <c r="A137" s="536"/>
      <c r="B137" s="389" t="s">
        <v>89</v>
      </c>
      <c r="C137" s="293">
        <f>O137*(((1-$L137)*($K$136-C$136)/($K$136-$C$136))+$L137)</f>
        <v>1</v>
      </c>
      <c r="D137" s="293">
        <f t="shared" ref="D137:K145" si="62">P137*(((1-$L137)*($K$136-D$136)/($K$136-$C$136))+$L137)</f>
        <v>1.1663481248776226</v>
      </c>
      <c r="E137" s="293">
        <f t="shared" si="62"/>
        <v>1.2216101291090593</v>
      </c>
      <c r="F137" s="293">
        <f t="shared" si="62"/>
        <v>1.2013176020474468</v>
      </c>
      <c r="G137" s="293">
        <f t="shared" si="62"/>
        <v>1.1323230100379651</v>
      </c>
      <c r="H137" s="293">
        <f t="shared" si="62"/>
        <v>1.0146263530806139</v>
      </c>
      <c r="I137" s="293">
        <f t="shared" si="62"/>
        <v>0.84822763117539335</v>
      </c>
      <c r="J137" s="293">
        <f t="shared" si="62"/>
        <v>0.63312684432230304</v>
      </c>
      <c r="K137" s="113">
        <f t="shared" si="62"/>
        <v>0.36932399252134351</v>
      </c>
      <c r="L137" s="52">
        <v>2.5</v>
      </c>
      <c r="N137" s="389" t="s">
        <v>89</v>
      </c>
      <c r="O137" s="293">
        <v>1</v>
      </c>
      <c r="P137" s="293">
        <v>1.0108350415606064</v>
      </c>
      <c r="Q137" s="293">
        <v>0.90748181019530105</v>
      </c>
      <c r="R137" s="293">
        <v>0.78085644133084042</v>
      </c>
      <c r="S137" s="293">
        <v>0.65423107246637979</v>
      </c>
      <c r="T137" s="293">
        <v>0.52760570360191916</v>
      </c>
      <c r="U137" s="293">
        <v>0.40098033473745864</v>
      </c>
      <c r="V137" s="293">
        <v>0.27435496587299801</v>
      </c>
      <c r="W137" s="113">
        <v>0.14772959700853741</v>
      </c>
    </row>
    <row r="138" spans="1:23" x14ac:dyDescent="0.25">
      <c r="B138" s="389" t="s">
        <v>71</v>
      </c>
      <c r="C138" s="293">
        <f t="shared" ref="C138:C145" si="63">O138*(((1-$L138)*($K$136-C$136)/($K$136-$C$136))+$L138)</f>
        <v>1</v>
      </c>
      <c r="D138" s="293">
        <f t="shared" si="62"/>
        <v>1.1540358064026701</v>
      </c>
      <c r="E138" s="293">
        <f t="shared" si="62"/>
        <v>1.254578950252027</v>
      </c>
      <c r="F138" s="293">
        <f t="shared" si="62"/>
        <v>1.2420748411133022</v>
      </c>
      <c r="G138" s="293">
        <f t="shared" si="62"/>
        <v>1.1816383136094675</v>
      </c>
      <c r="H138" s="293">
        <f t="shared" si="62"/>
        <v>1.0732693677405216</v>
      </c>
      <c r="I138" s="293">
        <f t="shared" si="62"/>
        <v>0.9169680035064649</v>
      </c>
      <c r="J138" s="293">
        <f t="shared" si="62"/>
        <v>0.71273422090729777</v>
      </c>
      <c r="K138" s="113">
        <f t="shared" si="62"/>
        <v>0.46056801994301999</v>
      </c>
      <c r="L138" s="52">
        <v>2.5</v>
      </c>
      <c r="N138" s="389" t="s">
        <v>71</v>
      </c>
      <c r="O138" s="293">
        <v>1</v>
      </c>
      <c r="P138" s="293">
        <v>1.0001643655489809</v>
      </c>
      <c r="Q138" s="293">
        <v>0.93197293447293428</v>
      </c>
      <c r="R138" s="293">
        <v>0.80734864672364659</v>
      </c>
      <c r="S138" s="293">
        <v>0.6827243589743589</v>
      </c>
      <c r="T138" s="293">
        <v>0.55810007122507121</v>
      </c>
      <c r="U138" s="293">
        <v>0.43347578347578342</v>
      </c>
      <c r="V138" s="293">
        <v>0.30885149572649573</v>
      </c>
      <c r="W138" s="113">
        <v>0.18422720797720799</v>
      </c>
    </row>
    <row r="139" spans="1:23" x14ac:dyDescent="0.25">
      <c r="B139" s="389" t="s">
        <v>261</v>
      </c>
      <c r="C139" s="293">
        <f t="shared" si="63"/>
        <v>1</v>
      </c>
      <c r="D139" s="293">
        <f t="shared" si="62"/>
        <v>1.0649504310569493</v>
      </c>
      <c r="E139" s="293">
        <f t="shared" si="62"/>
        <v>1.2909704775506372</v>
      </c>
      <c r="F139" s="293">
        <f t="shared" si="62"/>
        <v>1.3124151698687538</v>
      </c>
      <c r="G139" s="293">
        <f t="shared" si="62"/>
        <v>1.293114946782449</v>
      </c>
      <c r="H139" s="293">
        <f t="shared" si="62"/>
        <v>1.2330698082917217</v>
      </c>
      <c r="I139" s="293">
        <f t="shared" si="62"/>
        <v>1.1322797543965724</v>
      </c>
      <c r="J139" s="293">
        <f t="shared" si="62"/>
        <v>0.99074478509700081</v>
      </c>
      <c r="K139" s="113">
        <f t="shared" si="62"/>
        <v>0.80846490039300722</v>
      </c>
      <c r="L139" s="52">
        <v>2.5</v>
      </c>
      <c r="N139" s="389" t="s">
        <v>261</v>
      </c>
      <c r="O139" s="293">
        <v>1</v>
      </c>
      <c r="P139" s="293">
        <v>0.92295704024935621</v>
      </c>
      <c r="Q139" s="293">
        <v>0.95900664046618755</v>
      </c>
      <c r="R139" s="293">
        <v>0.85306986041469013</v>
      </c>
      <c r="S139" s="293">
        <v>0.7471330803631927</v>
      </c>
      <c r="T139" s="293">
        <v>0.64119630031169528</v>
      </c>
      <c r="U139" s="293">
        <v>0.53525952026019785</v>
      </c>
      <c r="V139" s="293">
        <v>0.42932274020870037</v>
      </c>
      <c r="W139" s="113">
        <v>0.32338596015720289</v>
      </c>
    </row>
    <row r="140" spans="1:23" x14ac:dyDescent="0.25">
      <c r="B140" s="389" t="s">
        <v>262</v>
      </c>
      <c r="C140" s="293">
        <f t="shared" si="63"/>
        <v>1</v>
      </c>
      <c r="D140" s="293">
        <f t="shared" si="62"/>
        <v>1.0949899896278072</v>
      </c>
      <c r="E140" s="293">
        <f t="shared" si="62"/>
        <v>1.4116632896736381</v>
      </c>
      <c r="F140" s="293">
        <f t="shared" si="62"/>
        <v>1.4647333381576086</v>
      </c>
      <c r="G140" s="293">
        <f t="shared" si="62"/>
        <v>1.4806543527028002</v>
      </c>
      <c r="H140" s="293">
        <f t="shared" si="62"/>
        <v>1.4594263333092117</v>
      </c>
      <c r="I140" s="293">
        <f t="shared" si="62"/>
        <v>1.4010492799768433</v>
      </c>
      <c r="J140" s="293">
        <f t="shared" si="62"/>
        <v>1.3055231927056949</v>
      </c>
      <c r="K140" s="113">
        <f t="shared" si="62"/>
        <v>1.1728480714957668</v>
      </c>
      <c r="L140" s="52">
        <v>2.5</v>
      </c>
      <c r="N140" s="389" t="s">
        <v>262</v>
      </c>
      <c r="O140" s="293">
        <v>1</v>
      </c>
      <c r="P140" s="293">
        <v>0.94899132434409961</v>
      </c>
      <c r="Q140" s="293">
        <v>1.0486641580432738</v>
      </c>
      <c r="R140" s="293">
        <v>0.95207666980244576</v>
      </c>
      <c r="S140" s="293">
        <v>0.85548918156161791</v>
      </c>
      <c r="T140" s="293">
        <v>0.75890169332079005</v>
      </c>
      <c r="U140" s="293">
        <v>0.6623142050799623</v>
      </c>
      <c r="V140" s="293">
        <v>0.56572671683913456</v>
      </c>
      <c r="W140" s="113">
        <v>0.4691392285983067</v>
      </c>
    </row>
    <row r="141" spans="1:23" x14ac:dyDescent="0.25">
      <c r="B141" s="389" t="s">
        <v>263</v>
      </c>
      <c r="C141" s="293">
        <f t="shared" si="63"/>
        <v>1</v>
      </c>
      <c r="D141" s="293">
        <f t="shared" si="62"/>
        <v>1.1183541891634377</v>
      </c>
      <c r="E141" s="293">
        <f t="shared" si="62"/>
        <v>1.3829813250333483</v>
      </c>
      <c r="F141" s="293">
        <f t="shared" si="62"/>
        <v>1.3829813250333478</v>
      </c>
      <c r="G141" s="293">
        <f t="shared" si="62"/>
        <v>1.3335891348535858</v>
      </c>
      <c r="H141" s="293">
        <f t="shared" si="62"/>
        <v>1.2348047544940608</v>
      </c>
      <c r="I141" s="293">
        <f t="shared" si="62"/>
        <v>1.0866281839547736</v>
      </c>
      <c r="J141" s="293">
        <f t="shared" si="62"/>
        <v>0.88905942323572373</v>
      </c>
      <c r="K141" s="113">
        <f t="shared" si="62"/>
        <v>0.64209847233691164</v>
      </c>
      <c r="L141" s="52">
        <v>2.5</v>
      </c>
      <c r="N141" s="389" t="s">
        <v>263</v>
      </c>
      <c r="O141" s="293">
        <v>1</v>
      </c>
      <c r="P141" s="293">
        <v>0.96924029727497929</v>
      </c>
      <c r="Q141" s="293">
        <v>1.0273575557390586</v>
      </c>
      <c r="R141" s="293">
        <v>0.89893786127167619</v>
      </c>
      <c r="S141" s="293">
        <v>0.77051816680429397</v>
      </c>
      <c r="T141" s="293">
        <v>0.64209847233691164</v>
      </c>
      <c r="U141" s="293">
        <v>0.51367877786952931</v>
      </c>
      <c r="V141" s="293">
        <v>0.38525908340214698</v>
      </c>
      <c r="W141" s="113">
        <v>0.25683938893476466</v>
      </c>
    </row>
    <row r="142" spans="1:23" x14ac:dyDescent="0.25">
      <c r="B142" s="389" t="s">
        <v>264</v>
      </c>
      <c r="C142" s="293">
        <f t="shared" si="63"/>
        <v>1</v>
      </c>
      <c r="D142" s="293">
        <f t="shared" si="62"/>
        <v>1.0623489924897938</v>
      </c>
      <c r="E142" s="293">
        <f t="shared" si="62"/>
        <v>1.3563666402837458</v>
      </c>
      <c r="F142" s="293">
        <f t="shared" si="62"/>
        <v>1.4122781751746629</v>
      </c>
      <c r="G142" s="293">
        <f t="shared" si="62"/>
        <v>1.4337259280638905</v>
      </c>
      <c r="H142" s="293">
        <f t="shared" si="62"/>
        <v>1.4207098989514277</v>
      </c>
      <c r="I142" s="293">
        <f t="shared" si="62"/>
        <v>1.3732300878372752</v>
      </c>
      <c r="J142" s="293">
        <f t="shared" si="62"/>
        <v>1.2912864947214322</v>
      </c>
      <c r="K142" s="113">
        <f t="shared" si="62"/>
        <v>1.1748791196038995</v>
      </c>
      <c r="L142" s="52">
        <v>2.5</v>
      </c>
      <c r="N142" s="389" t="s">
        <v>264</v>
      </c>
      <c r="O142" s="293">
        <v>1</v>
      </c>
      <c r="P142" s="293">
        <v>0.92070246015782142</v>
      </c>
      <c r="Q142" s="293">
        <v>1.0075866470679253</v>
      </c>
      <c r="R142" s="293">
        <v>0.91798081386353103</v>
      </c>
      <c r="S142" s="293">
        <v>0.82837498065913673</v>
      </c>
      <c r="T142" s="293">
        <v>0.73876914745474243</v>
      </c>
      <c r="U142" s="293">
        <v>0.64916331425034823</v>
      </c>
      <c r="V142" s="293">
        <v>0.55955748104595404</v>
      </c>
      <c r="W142" s="113">
        <v>0.46995164784155974</v>
      </c>
    </row>
    <row r="143" spans="1:23" x14ac:dyDescent="0.25">
      <c r="B143" s="389" t="s">
        <v>265</v>
      </c>
      <c r="C143" s="293">
        <f t="shared" si="63"/>
        <v>1</v>
      </c>
      <c r="D143" s="293">
        <f t="shared" si="62"/>
        <v>1.0532127056414331</v>
      </c>
      <c r="E143" s="293">
        <f t="shared" si="62"/>
        <v>1.1887205721664844</v>
      </c>
      <c r="F143" s="293">
        <f t="shared" si="62"/>
        <v>1.1971498651343686</v>
      </c>
      <c r="G143" s="293">
        <f t="shared" si="62"/>
        <v>1.1652321751954215</v>
      </c>
      <c r="H143" s="293">
        <f t="shared" si="62"/>
        <v>1.0929675023496419</v>
      </c>
      <c r="I143" s="293">
        <f t="shared" si="62"/>
        <v>0.98035584659703057</v>
      </c>
      <c r="J143" s="293">
        <f t="shared" si="62"/>
        <v>0.82739720793758731</v>
      </c>
      <c r="K143" s="113">
        <f t="shared" si="62"/>
        <v>0.63409158637131213</v>
      </c>
      <c r="L143" s="52">
        <v>2.5</v>
      </c>
      <c r="N143" s="389" t="s">
        <v>265</v>
      </c>
      <c r="O143" s="293">
        <v>1</v>
      </c>
      <c r="P143" s="293">
        <v>0.91278434488924209</v>
      </c>
      <c r="Q143" s="293">
        <v>0.88304956789510269</v>
      </c>
      <c r="R143" s="293">
        <v>0.77814741233733964</v>
      </c>
      <c r="S143" s="293">
        <v>0.67324525677957681</v>
      </c>
      <c r="T143" s="293">
        <v>0.56834310122181375</v>
      </c>
      <c r="U143" s="293">
        <v>0.46344094566405081</v>
      </c>
      <c r="V143" s="293">
        <v>0.35853879010628786</v>
      </c>
      <c r="W143" s="113">
        <v>0.25363663454852486</v>
      </c>
    </row>
    <row r="144" spans="1:23" x14ac:dyDescent="0.25">
      <c r="B144" s="389" t="s">
        <v>66</v>
      </c>
      <c r="C144" s="293">
        <f t="shared" si="63"/>
        <v>1</v>
      </c>
      <c r="D144" s="293">
        <f t="shared" si="62"/>
        <v>1.095212693859883</v>
      </c>
      <c r="E144" s="293">
        <f t="shared" si="62"/>
        <v>1.2418902404365375</v>
      </c>
      <c r="F144" s="293">
        <f t="shared" si="62"/>
        <v>1.2627190010012723</v>
      </c>
      <c r="G144" s="293">
        <f t="shared" si="62"/>
        <v>1.2444017288344575</v>
      </c>
      <c r="H144" s="293">
        <f t="shared" si="62"/>
        <v>1.1869384239360934</v>
      </c>
      <c r="I144" s="293">
        <f t="shared" si="62"/>
        <v>1.0903290863061796</v>
      </c>
      <c r="J144" s="293">
        <f t="shared" si="62"/>
        <v>0.95457371594471563</v>
      </c>
      <c r="K144" s="113">
        <f t="shared" si="62"/>
        <v>0.77967231285170235</v>
      </c>
      <c r="L144" s="52">
        <v>2.5</v>
      </c>
      <c r="N144" s="389" t="s">
        <v>66</v>
      </c>
      <c r="O144" s="293">
        <v>1</v>
      </c>
      <c r="P144" s="293">
        <v>0.94918433467856533</v>
      </c>
      <c r="Q144" s="293">
        <v>0.92254703575285635</v>
      </c>
      <c r="R144" s="293">
        <v>0.82076735065082707</v>
      </c>
      <c r="S144" s="293">
        <v>0.71898766554879767</v>
      </c>
      <c r="T144" s="293">
        <v>0.6172079804467685</v>
      </c>
      <c r="U144" s="293">
        <v>0.51542829534473944</v>
      </c>
      <c r="V144" s="293">
        <v>0.41364861024271016</v>
      </c>
      <c r="W144" s="113">
        <v>0.31186892514068093</v>
      </c>
    </row>
    <row r="145" spans="1:23" x14ac:dyDescent="0.25">
      <c r="B145" s="390" t="s">
        <v>70</v>
      </c>
      <c r="C145" s="38">
        <f t="shared" si="63"/>
        <v>1</v>
      </c>
      <c r="D145" s="38">
        <f t="shared" si="62"/>
        <v>1.0967768661711577</v>
      </c>
      <c r="E145" s="38">
        <f t="shared" si="62"/>
        <v>1.542420795241719</v>
      </c>
      <c r="F145" s="38">
        <f t="shared" si="62"/>
        <v>1.6021460668522827</v>
      </c>
      <c r="G145" s="38">
        <f t="shared" si="62"/>
        <v>1.6217161993925691</v>
      </c>
      <c r="H145" s="38">
        <f t="shared" si="62"/>
        <v>1.601131192862578</v>
      </c>
      <c r="I145" s="38">
        <f t="shared" si="62"/>
        <v>1.5403910472623095</v>
      </c>
      <c r="J145" s="38">
        <f t="shared" si="62"/>
        <v>1.4394957625917633</v>
      </c>
      <c r="K145" s="195">
        <f t="shared" si="62"/>
        <v>1.29844533885094</v>
      </c>
      <c r="L145" s="52">
        <v>2.5</v>
      </c>
      <c r="N145" s="390" t="s">
        <v>70</v>
      </c>
      <c r="O145" s="38">
        <v>1</v>
      </c>
      <c r="P145" s="38">
        <v>0.95053995068167008</v>
      </c>
      <c r="Q145" s="38">
        <v>1.1457983050367055</v>
      </c>
      <c r="R145" s="38">
        <v>1.0413949434539838</v>
      </c>
      <c r="S145" s="38">
        <v>0.93699158187126208</v>
      </c>
      <c r="T145" s="38">
        <v>0.83258822028854051</v>
      </c>
      <c r="U145" s="38">
        <v>0.72818485870581906</v>
      </c>
      <c r="V145" s="38">
        <v>0.62378149712309749</v>
      </c>
      <c r="W145" s="195">
        <v>0.51937813554037604</v>
      </c>
    </row>
    <row r="151" spans="1:23" x14ac:dyDescent="0.25">
      <c r="A151" s="536" t="s">
        <v>268</v>
      </c>
      <c r="B151" s="296"/>
      <c r="C151" s="297">
        <v>2011</v>
      </c>
      <c r="D151" s="297">
        <v>2015</v>
      </c>
      <c r="E151" s="297">
        <v>2020</v>
      </c>
      <c r="F151" s="297">
        <v>2025</v>
      </c>
      <c r="G151" s="297">
        <v>2030</v>
      </c>
      <c r="H151" s="297">
        <v>2035</v>
      </c>
      <c r="I151" s="297">
        <v>2040</v>
      </c>
      <c r="J151" s="297">
        <v>2045</v>
      </c>
      <c r="K151" s="298">
        <v>2050</v>
      </c>
      <c r="L151" t="s">
        <v>267</v>
      </c>
      <c r="N151" s="296"/>
      <c r="O151" s="297">
        <v>2011</v>
      </c>
      <c r="P151" s="297">
        <v>2015</v>
      </c>
      <c r="Q151" s="297">
        <v>2020</v>
      </c>
      <c r="R151" s="297">
        <v>2025</v>
      </c>
      <c r="S151" s="297">
        <v>2030</v>
      </c>
      <c r="T151" s="297">
        <v>2035</v>
      </c>
      <c r="U151" s="297">
        <v>2040</v>
      </c>
      <c r="V151" s="297">
        <v>2045</v>
      </c>
      <c r="W151" s="298">
        <v>2050</v>
      </c>
    </row>
    <row r="152" spans="1:23" x14ac:dyDescent="0.25">
      <c r="A152" s="536"/>
      <c r="B152" s="389" t="s">
        <v>89</v>
      </c>
      <c r="C152" s="293">
        <f>O152*(((1-$L152)*($K$136-C$136)/($K$136-$C$136))+$L152)</f>
        <v>1</v>
      </c>
      <c r="D152" s="293">
        <f t="shared" ref="D152:D160" si="64">P152*(((1-$L152)*($K$136-D$136)/($K$136-$C$136))+$L152)</f>
        <v>0.9745486554533026</v>
      </c>
      <c r="E152" s="293">
        <f t="shared" ref="E152:E160" si="65">Q152*(((1-$L152)*($K$136-E$136)/($K$136-$C$136))+$L152)</f>
        <v>0.8341852024487576</v>
      </c>
      <c r="F152" s="293">
        <f t="shared" ref="F152:F160" si="66">R152*(((1-$L152)*($K$136-F$136)/($K$136-$C$136))+$L152)</f>
        <v>0.68274883716363222</v>
      </c>
      <c r="G152" s="293">
        <f t="shared" ref="G152:G160" si="67">S152*(((1-$L152)*($K$136-G$136)/($K$136-$C$136))+$L152)</f>
        <v>0.54267628703300996</v>
      </c>
      <c r="H152" s="293">
        <f t="shared" ref="H152:H160" si="68">T152*(((1-$L152)*($K$136-H$136)/($K$136-$C$136))+$L152)</f>
        <v>0.4139675520568904</v>
      </c>
      <c r="I152" s="293">
        <f t="shared" ref="I152:I160" si="69">U152*(((1-$L152)*($K$136-I$136)/($K$136-$C$136))+$L152)</f>
        <v>0.29662263223527391</v>
      </c>
      <c r="J152" s="293">
        <f t="shared" ref="J152:J160" si="70">V152*(((1-$L152)*($K$136-J$136)/($K$136-$C$136))+$L152)</f>
        <v>0.19064152756816016</v>
      </c>
      <c r="K152" s="113">
        <f t="shared" ref="K152:K160" si="71">W152*(((1-$L152)*($K$136-K$136)/($K$136-$C$136))+$L152)</f>
        <v>9.6024238055549327E-2</v>
      </c>
      <c r="L152" s="52">
        <v>0.65</v>
      </c>
      <c r="N152" s="389" t="s">
        <v>89</v>
      </c>
      <c r="O152" s="293">
        <v>1</v>
      </c>
      <c r="P152" s="293">
        <v>1.0108350415606064</v>
      </c>
      <c r="Q152" s="293">
        <v>0.90748181019530105</v>
      </c>
      <c r="R152" s="293">
        <v>0.78085644133084042</v>
      </c>
      <c r="S152" s="293">
        <v>0.65423107246637979</v>
      </c>
      <c r="T152" s="293">
        <v>0.52760570360191916</v>
      </c>
      <c r="U152" s="293">
        <v>0.40098033473745864</v>
      </c>
      <c r="V152" s="293">
        <v>0.27435496587299801</v>
      </c>
      <c r="W152" s="113">
        <v>0.14772959700853741</v>
      </c>
    </row>
    <row r="153" spans="1:23" x14ac:dyDescent="0.25">
      <c r="B153" s="389" t="s">
        <v>71</v>
      </c>
      <c r="C153" s="293">
        <f t="shared" ref="C153:C160" si="72">O153*(((1-$L153)*($K$136-C$136)/($K$136-$C$136))+$L153)</f>
        <v>1</v>
      </c>
      <c r="D153" s="293">
        <f t="shared" si="64"/>
        <v>0.96426102934978675</v>
      </c>
      <c r="E153" s="293">
        <f t="shared" si="65"/>
        <v>0.85669819745781273</v>
      </c>
      <c r="F153" s="293">
        <f t="shared" si="66"/>
        <v>0.70591253469939352</v>
      </c>
      <c r="G153" s="293">
        <f t="shared" si="67"/>
        <v>0.5663111028928336</v>
      </c>
      <c r="H153" s="293">
        <f t="shared" si="68"/>
        <v>0.43789390203813278</v>
      </c>
      <c r="I153" s="293">
        <f t="shared" si="69"/>
        <v>0.32066093213529107</v>
      </c>
      <c r="J153" s="293">
        <f t="shared" si="70"/>
        <v>0.21461219318430858</v>
      </c>
      <c r="K153" s="113">
        <f t="shared" si="71"/>
        <v>0.11974768518518519</v>
      </c>
      <c r="L153" s="52">
        <v>0.65</v>
      </c>
      <c r="N153" s="389" t="s">
        <v>71</v>
      </c>
      <c r="O153" s="293">
        <v>1</v>
      </c>
      <c r="P153" s="293">
        <v>1.0001643655489809</v>
      </c>
      <c r="Q153" s="293">
        <v>0.93197293447293428</v>
      </c>
      <c r="R153" s="293">
        <v>0.80734864672364659</v>
      </c>
      <c r="S153" s="293">
        <v>0.6827243589743589</v>
      </c>
      <c r="T153" s="293">
        <v>0.55810007122507121</v>
      </c>
      <c r="U153" s="293">
        <v>0.43347578347578342</v>
      </c>
      <c r="V153" s="293">
        <v>0.30885149572649573</v>
      </c>
      <c r="W153" s="113">
        <v>0.18422720797720799</v>
      </c>
    </row>
    <row r="154" spans="1:23" x14ac:dyDescent="0.25">
      <c r="B154" s="389" t="s">
        <v>261</v>
      </c>
      <c r="C154" s="293">
        <f t="shared" si="72"/>
        <v>1</v>
      </c>
      <c r="D154" s="293">
        <f t="shared" si="64"/>
        <v>0.88982524906091776</v>
      </c>
      <c r="E154" s="293">
        <f t="shared" si="65"/>
        <v>0.88154841181314936</v>
      </c>
      <c r="F154" s="293">
        <f t="shared" si="66"/>
        <v>0.7458892882087419</v>
      </c>
      <c r="G154" s="293">
        <f t="shared" si="67"/>
        <v>0.61973731153203293</v>
      </c>
      <c r="H154" s="293">
        <f t="shared" si="68"/>
        <v>0.50309248178302246</v>
      </c>
      <c r="I154" s="293">
        <f t="shared" si="69"/>
        <v>0.39595479896171049</v>
      </c>
      <c r="J154" s="293">
        <f t="shared" si="70"/>
        <v>0.2983242630680969</v>
      </c>
      <c r="K154" s="113">
        <f t="shared" si="71"/>
        <v>0.21020087410218188</v>
      </c>
      <c r="L154" s="52">
        <v>0.65</v>
      </c>
      <c r="N154" s="389" t="s">
        <v>261</v>
      </c>
      <c r="O154" s="293">
        <v>1</v>
      </c>
      <c r="P154" s="293">
        <v>0.92295704024935621</v>
      </c>
      <c r="Q154" s="293">
        <v>0.95900664046618755</v>
      </c>
      <c r="R154" s="293">
        <v>0.85306986041469013</v>
      </c>
      <c r="S154" s="293">
        <v>0.7471330803631927</v>
      </c>
      <c r="T154" s="293">
        <v>0.64119630031169528</v>
      </c>
      <c r="U154" s="293">
        <v>0.53525952026019785</v>
      </c>
      <c r="V154" s="293">
        <v>0.42932274020870037</v>
      </c>
      <c r="W154" s="113">
        <v>0.32338596015720289</v>
      </c>
    </row>
    <row r="155" spans="1:23" x14ac:dyDescent="0.25">
      <c r="B155" s="389" t="s">
        <v>262</v>
      </c>
      <c r="C155" s="293">
        <f t="shared" si="72"/>
        <v>1</v>
      </c>
      <c r="D155" s="293">
        <f t="shared" si="64"/>
        <v>0.91492496911123455</v>
      </c>
      <c r="E155" s="293">
        <f t="shared" si="65"/>
        <v>0.96396436066285562</v>
      </c>
      <c r="F155" s="293">
        <f t="shared" si="66"/>
        <v>0.83245678051957439</v>
      </c>
      <c r="G155" s="293">
        <f t="shared" si="67"/>
        <v>0.70961730829534209</v>
      </c>
      <c r="H155" s="293">
        <f t="shared" si="68"/>
        <v>0.59544594399015838</v>
      </c>
      <c r="I155" s="293">
        <f t="shared" si="69"/>
        <v>0.48994268760402343</v>
      </c>
      <c r="J155" s="293">
        <f t="shared" si="70"/>
        <v>0.39310753913693708</v>
      </c>
      <c r="K155" s="113">
        <f t="shared" si="71"/>
        <v>0.30494049858889938</v>
      </c>
      <c r="L155" s="52">
        <v>0.65</v>
      </c>
      <c r="N155" s="389" t="s">
        <v>262</v>
      </c>
      <c r="O155" s="293">
        <v>1</v>
      </c>
      <c r="P155" s="293">
        <v>0.94899132434409961</v>
      </c>
      <c r="Q155" s="293">
        <v>1.0486641580432738</v>
      </c>
      <c r="R155" s="293">
        <v>0.95207666980244576</v>
      </c>
      <c r="S155" s="293">
        <v>0.85548918156161791</v>
      </c>
      <c r="T155" s="293">
        <v>0.75890169332079005</v>
      </c>
      <c r="U155" s="293">
        <v>0.6623142050799623</v>
      </c>
      <c r="V155" s="293">
        <v>0.56572671683913456</v>
      </c>
      <c r="W155" s="113">
        <v>0.4691392285983067</v>
      </c>
    </row>
    <row r="156" spans="1:23" x14ac:dyDescent="0.25">
      <c r="B156" s="389" t="s">
        <v>263</v>
      </c>
      <c r="C156" s="293">
        <f t="shared" si="72"/>
        <v>1</v>
      </c>
      <c r="D156" s="293">
        <f t="shared" si="64"/>
        <v>0.93444705583433907</v>
      </c>
      <c r="E156" s="293">
        <f t="shared" si="65"/>
        <v>0.94437867623705785</v>
      </c>
      <c r="F156" s="293">
        <f t="shared" si="66"/>
        <v>0.7859943863939528</v>
      </c>
      <c r="G156" s="293">
        <f t="shared" si="67"/>
        <v>0.63913494092612588</v>
      </c>
      <c r="H156" s="293">
        <f t="shared" si="68"/>
        <v>0.50380033983357686</v>
      </c>
      <c r="I156" s="293">
        <f t="shared" si="69"/>
        <v>0.37999058311630568</v>
      </c>
      <c r="J156" s="293">
        <f t="shared" si="70"/>
        <v>0.2677056707743124</v>
      </c>
      <c r="K156" s="113">
        <f t="shared" si="71"/>
        <v>0.16694560280759704</v>
      </c>
      <c r="L156" s="52">
        <v>0.65</v>
      </c>
      <c r="N156" s="389" t="s">
        <v>263</v>
      </c>
      <c r="O156" s="293">
        <v>1</v>
      </c>
      <c r="P156" s="293">
        <v>0.96924029727497929</v>
      </c>
      <c r="Q156" s="293">
        <v>1.0273575557390586</v>
      </c>
      <c r="R156" s="293">
        <v>0.89893786127167619</v>
      </c>
      <c r="S156" s="293">
        <v>0.77051816680429397</v>
      </c>
      <c r="T156" s="293">
        <v>0.64209847233691164</v>
      </c>
      <c r="U156" s="293">
        <v>0.51367877786952931</v>
      </c>
      <c r="V156" s="293">
        <v>0.38525908340214698</v>
      </c>
      <c r="W156" s="113">
        <v>0.25683938893476466</v>
      </c>
    </row>
    <row r="157" spans="1:23" x14ac:dyDescent="0.25">
      <c r="B157" s="389" t="s">
        <v>264</v>
      </c>
      <c r="C157" s="293">
        <f t="shared" si="72"/>
        <v>1</v>
      </c>
      <c r="D157" s="293">
        <f t="shared" si="64"/>
        <v>0.88765160261369447</v>
      </c>
      <c r="E157" s="293">
        <f t="shared" si="65"/>
        <v>0.92620464865090069</v>
      </c>
      <c r="F157" s="293">
        <f t="shared" si="66"/>
        <v>0.80264476289093356</v>
      </c>
      <c r="G157" s="293">
        <f t="shared" si="67"/>
        <v>0.68712642626469422</v>
      </c>
      <c r="H157" s="293">
        <f t="shared" si="68"/>
        <v>0.57964963877218256</v>
      </c>
      <c r="I157" s="293">
        <f t="shared" si="69"/>
        <v>0.48021440041339863</v>
      </c>
      <c r="J157" s="293">
        <f t="shared" si="70"/>
        <v>0.38882071118834238</v>
      </c>
      <c r="K157" s="113">
        <f t="shared" si="71"/>
        <v>0.30546857109701386</v>
      </c>
      <c r="L157" s="52">
        <v>0.65</v>
      </c>
      <c r="N157" s="389" t="s">
        <v>264</v>
      </c>
      <c r="O157" s="293">
        <v>1</v>
      </c>
      <c r="P157" s="293">
        <v>0.92070246015782142</v>
      </c>
      <c r="Q157" s="293">
        <v>1.0075866470679253</v>
      </c>
      <c r="R157" s="293">
        <v>0.91798081386353103</v>
      </c>
      <c r="S157" s="293">
        <v>0.82837498065913673</v>
      </c>
      <c r="T157" s="293">
        <v>0.73876914745474243</v>
      </c>
      <c r="U157" s="293">
        <v>0.64916331425034823</v>
      </c>
      <c r="V157" s="293">
        <v>0.55955748104595404</v>
      </c>
      <c r="W157" s="113">
        <v>0.46995164784155974</v>
      </c>
    </row>
    <row r="158" spans="1:23" x14ac:dyDescent="0.25">
      <c r="B158" s="389" t="s">
        <v>265</v>
      </c>
      <c r="C158" s="293">
        <f t="shared" si="72"/>
        <v>1</v>
      </c>
      <c r="D158" s="293">
        <f t="shared" si="64"/>
        <v>0.88001772738039752</v>
      </c>
      <c r="E158" s="293">
        <f t="shared" si="65"/>
        <v>0.8117263335651137</v>
      </c>
      <c r="F158" s="293">
        <f t="shared" si="66"/>
        <v>0.68038017335136625</v>
      </c>
      <c r="G158" s="293">
        <f t="shared" si="67"/>
        <v>0.55844830914921306</v>
      </c>
      <c r="H158" s="293">
        <f t="shared" si="68"/>
        <v>0.44593074095865387</v>
      </c>
      <c r="I158" s="293">
        <f t="shared" si="69"/>
        <v>0.34282746877968889</v>
      </c>
      <c r="J158" s="293">
        <f t="shared" si="70"/>
        <v>0.24913849261231796</v>
      </c>
      <c r="K158" s="113">
        <f t="shared" si="71"/>
        <v>0.16486381245654116</v>
      </c>
      <c r="L158" s="52">
        <v>0.65</v>
      </c>
      <c r="N158" s="389" t="s">
        <v>265</v>
      </c>
      <c r="O158" s="293">
        <v>1</v>
      </c>
      <c r="P158" s="293">
        <v>0.91278434488924209</v>
      </c>
      <c r="Q158" s="293">
        <v>0.88304956789510269</v>
      </c>
      <c r="R158" s="293">
        <v>0.77814741233733964</v>
      </c>
      <c r="S158" s="293">
        <v>0.67324525677957681</v>
      </c>
      <c r="T158" s="293">
        <v>0.56834310122181375</v>
      </c>
      <c r="U158" s="293">
        <v>0.46344094566405081</v>
      </c>
      <c r="V158" s="293">
        <v>0.35853879010628786</v>
      </c>
      <c r="W158" s="113">
        <v>0.25363663454852486</v>
      </c>
    </row>
    <row r="159" spans="1:23" x14ac:dyDescent="0.25">
      <c r="B159" s="389" t="s">
        <v>66</v>
      </c>
      <c r="C159" s="293">
        <f t="shared" si="72"/>
        <v>1</v>
      </c>
      <c r="D159" s="293">
        <f t="shared" si="64"/>
        <v>0.91511105086959121</v>
      </c>
      <c r="E159" s="293">
        <f t="shared" si="65"/>
        <v>0.84803362132666416</v>
      </c>
      <c r="F159" s="293">
        <f t="shared" si="66"/>
        <v>0.71764529890238982</v>
      </c>
      <c r="G159" s="293">
        <f t="shared" si="67"/>
        <v>0.59639105078214372</v>
      </c>
      <c r="H159" s="293">
        <f t="shared" si="68"/>
        <v>0.48427087696592602</v>
      </c>
      <c r="I159" s="293">
        <f t="shared" si="69"/>
        <v>0.38128477745373673</v>
      </c>
      <c r="J159" s="293">
        <f t="shared" si="70"/>
        <v>0.28743275224557552</v>
      </c>
      <c r="K159" s="113">
        <f t="shared" si="71"/>
        <v>0.20271480134144262</v>
      </c>
      <c r="L159" s="52">
        <v>0.65</v>
      </c>
      <c r="N159" s="389" t="s">
        <v>66</v>
      </c>
      <c r="O159" s="293">
        <v>1</v>
      </c>
      <c r="P159" s="293">
        <v>0.94918433467856533</v>
      </c>
      <c r="Q159" s="293">
        <v>0.92254703575285635</v>
      </c>
      <c r="R159" s="293">
        <v>0.82076735065082707</v>
      </c>
      <c r="S159" s="293">
        <v>0.71898766554879767</v>
      </c>
      <c r="T159" s="293">
        <v>0.6172079804467685</v>
      </c>
      <c r="U159" s="293">
        <v>0.51542829534473944</v>
      </c>
      <c r="V159" s="293">
        <v>0.41364861024271016</v>
      </c>
      <c r="W159" s="113">
        <v>0.31186892514068093</v>
      </c>
    </row>
    <row r="160" spans="1:23" x14ac:dyDescent="0.25">
      <c r="B160" s="390" t="s">
        <v>70</v>
      </c>
      <c r="C160" s="38">
        <f t="shared" si="72"/>
        <v>1</v>
      </c>
      <c r="D160" s="38">
        <f t="shared" si="64"/>
        <v>0.91641800373412297</v>
      </c>
      <c r="E160" s="38">
        <f t="shared" si="65"/>
        <v>1.0532530573222025</v>
      </c>
      <c r="F160" s="38">
        <f t="shared" si="66"/>
        <v>0.91055301466104732</v>
      </c>
      <c r="G160" s="38">
        <f t="shared" si="67"/>
        <v>0.77722250444962382</v>
      </c>
      <c r="H160" s="38">
        <f t="shared" si="68"/>
        <v>0.6532615266879318</v>
      </c>
      <c r="I160" s="38">
        <f t="shared" si="69"/>
        <v>0.53867008137597128</v>
      </c>
      <c r="J160" s="38">
        <f t="shared" si="70"/>
        <v>0.43344816851374207</v>
      </c>
      <c r="K160" s="195">
        <f t="shared" si="71"/>
        <v>0.33759578810124447</v>
      </c>
      <c r="L160" s="52">
        <v>0.65</v>
      </c>
      <c r="N160" s="390" t="s">
        <v>70</v>
      </c>
      <c r="O160" s="38">
        <v>1</v>
      </c>
      <c r="P160" s="38">
        <v>0.95053995068167008</v>
      </c>
      <c r="Q160" s="38">
        <v>1.1457983050367055</v>
      </c>
      <c r="R160" s="38">
        <v>1.0413949434539838</v>
      </c>
      <c r="S160" s="38">
        <v>0.93699158187126208</v>
      </c>
      <c r="T160" s="38">
        <v>0.83258822028854051</v>
      </c>
      <c r="U160" s="38">
        <v>0.72818485870581906</v>
      </c>
      <c r="V160" s="38">
        <v>0.62378149712309749</v>
      </c>
      <c r="W160" s="195">
        <v>0.51937813554037604</v>
      </c>
    </row>
  </sheetData>
  <mergeCells count="4">
    <mergeCell ref="B128:B129"/>
    <mergeCell ref="B130:B131"/>
    <mergeCell ref="A136:A137"/>
    <mergeCell ref="A151:A152"/>
  </mergeCells>
  <conditionalFormatting sqref="C84:K8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I61" r:id="rId1"/>
    <hyperlink ref="B1" r:id="rId2"/>
    <hyperlink ref="C3" r:id="rId3"/>
  </hyperlinks>
  <pageMargins left="0.7" right="0.7" top="0.78740157499999996" bottom="0.78740157499999996" header="0.3" footer="0.3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W39"/>
  <sheetViews>
    <sheetView topLeftCell="A17" workbookViewId="0">
      <selection activeCell="M41" sqref="M41"/>
    </sheetView>
  </sheetViews>
  <sheetFormatPr defaultColWidth="11.42578125" defaultRowHeight="15" x14ac:dyDescent="0.25"/>
  <cols>
    <col min="1" max="1" width="14.140625" bestFit="1" customWidth="1"/>
    <col min="12" max="12" width="16.140625" bestFit="1" customWidth="1"/>
  </cols>
  <sheetData>
    <row r="1" spans="1:12" x14ac:dyDescent="0.25">
      <c r="A1" s="377" t="s">
        <v>253</v>
      </c>
      <c r="B1" s="378" t="s">
        <v>260</v>
      </c>
      <c r="C1" s="537" t="s">
        <v>259</v>
      </c>
      <c r="D1" s="538"/>
      <c r="E1" s="378"/>
      <c r="F1" s="378"/>
      <c r="G1" s="378"/>
      <c r="H1" s="378"/>
      <c r="I1" s="378"/>
      <c r="J1" s="378"/>
      <c r="K1" s="378"/>
      <c r="L1" s="379"/>
    </row>
    <row r="2" spans="1:12" x14ac:dyDescent="0.25">
      <c r="B2" s="376">
        <v>2011</v>
      </c>
      <c r="C2" s="376">
        <v>2015</v>
      </c>
      <c r="D2" s="376">
        <v>2020</v>
      </c>
      <c r="E2" s="376">
        <v>2025</v>
      </c>
      <c r="F2" s="376">
        <v>2030</v>
      </c>
      <c r="G2" s="376">
        <v>2035</v>
      </c>
      <c r="H2" s="376">
        <v>2040</v>
      </c>
      <c r="I2" s="376">
        <v>2045</v>
      </c>
      <c r="J2" s="376">
        <v>2050</v>
      </c>
      <c r="K2" s="293"/>
      <c r="L2" s="381" t="s">
        <v>256</v>
      </c>
    </row>
    <row r="3" spans="1:12" x14ac:dyDescent="0.25">
      <c r="A3" s="293" t="s">
        <v>101</v>
      </c>
      <c r="B3" s="293">
        <v>1</v>
      </c>
      <c r="C3" s="293">
        <v>0.95936514374798831</v>
      </c>
      <c r="D3" s="293">
        <v>0.94472321134964132</v>
      </c>
      <c r="E3" s="293">
        <v>0.74504945374523079</v>
      </c>
      <c r="F3" s="293">
        <v>0.61573624716362829</v>
      </c>
      <c r="G3" s="293">
        <v>0.45455818770023093</v>
      </c>
      <c r="H3" s="293">
        <v>0.34757793048095081</v>
      </c>
      <c r="I3" s="293">
        <v>0.2587453904719898</v>
      </c>
      <c r="J3" s="293">
        <v>0.20371487249190168</v>
      </c>
      <c r="K3" s="293"/>
      <c r="L3" s="383"/>
    </row>
    <row r="4" spans="1:12" x14ac:dyDescent="0.25">
      <c r="A4" s="293" t="s">
        <v>102</v>
      </c>
      <c r="B4" s="293">
        <v>1</v>
      </c>
      <c r="C4" s="293">
        <v>1.0992866089267759</v>
      </c>
      <c r="D4" s="293">
        <v>1.2042442170007039</v>
      </c>
      <c r="E4" s="293">
        <v>1.0176862189773315</v>
      </c>
      <c r="F4" s="293">
        <v>0.93538969413543049</v>
      </c>
      <c r="G4" s="293">
        <v>0.86376457569250309</v>
      </c>
      <c r="H4" s="293">
        <v>0.73580031735622642</v>
      </c>
      <c r="I4" s="293">
        <v>0.56415126153496464</v>
      </c>
      <c r="J4" s="293">
        <v>0.3791373867826387</v>
      </c>
      <c r="K4" s="293"/>
      <c r="L4" s="383"/>
    </row>
    <row r="5" spans="1:12" x14ac:dyDescent="0.25">
      <c r="A5" s="293" t="s">
        <v>104</v>
      </c>
      <c r="B5" s="293">
        <v>1</v>
      </c>
      <c r="C5" s="293">
        <v>0.96747300673156478</v>
      </c>
      <c r="D5" s="293">
        <v>0.8386654330225749</v>
      </c>
      <c r="E5" s="293">
        <v>0.88075952621703613</v>
      </c>
      <c r="F5" s="293">
        <v>0.70253061217453217</v>
      </c>
      <c r="G5" s="293">
        <v>0.58233035429039359</v>
      </c>
      <c r="H5" s="293">
        <v>0.49300508376475877</v>
      </c>
      <c r="I5" s="293">
        <v>0.35551506164087721</v>
      </c>
      <c r="J5" s="293">
        <v>0.24458531219311919</v>
      </c>
      <c r="K5" s="293"/>
      <c r="L5" s="383"/>
    </row>
    <row r="6" spans="1:12" x14ac:dyDescent="0.25">
      <c r="A6" s="293" t="s">
        <v>106</v>
      </c>
      <c r="B6" s="293">
        <v>1</v>
      </c>
      <c r="C6" s="293">
        <v>1.0804295009638261</v>
      </c>
      <c r="D6" s="293">
        <v>0.97321634276585567</v>
      </c>
      <c r="E6" s="293">
        <v>0.87648565134307155</v>
      </c>
      <c r="F6" s="293">
        <v>0.70995479855709609</v>
      </c>
      <c r="G6" s="293">
        <v>0.55565082774860741</v>
      </c>
      <c r="H6" s="293">
        <v>0.40547835326557041</v>
      </c>
      <c r="I6" s="293">
        <v>0.31437558602639354</v>
      </c>
      <c r="J6" s="293">
        <v>0.26597823128137327</v>
      </c>
      <c r="K6" s="293"/>
      <c r="L6" s="383"/>
    </row>
    <row r="7" spans="1:12" x14ac:dyDescent="0.25">
      <c r="A7" s="293" t="s">
        <v>105</v>
      </c>
      <c r="B7" s="293">
        <v>1</v>
      </c>
      <c r="C7" s="293">
        <v>1.2514727068642721</v>
      </c>
      <c r="D7" s="293">
        <v>1.4080461687258812</v>
      </c>
      <c r="E7" s="293">
        <v>1.5648357597620888</v>
      </c>
      <c r="F7" s="293">
        <v>1.5494681035680182</v>
      </c>
      <c r="G7" s="293">
        <v>1.4615017132918289</v>
      </c>
      <c r="H7" s="293">
        <v>1.3927434786466883</v>
      </c>
      <c r="I7" s="293">
        <v>1.2695646511780856</v>
      </c>
      <c r="J7" s="293">
        <v>1.1681372970323636</v>
      </c>
      <c r="K7" s="293"/>
      <c r="L7" s="383"/>
    </row>
    <row r="8" spans="1:12" x14ac:dyDescent="0.25">
      <c r="A8" s="293" t="s">
        <v>107</v>
      </c>
      <c r="B8" s="293">
        <v>1</v>
      </c>
      <c r="C8" s="293">
        <v>1.0062611569654281</v>
      </c>
      <c r="D8" s="293">
        <v>0.68724408866844311</v>
      </c>
      <c r="E8" s="293">
        <v>0.82202912922356153</v>
      </c>
      <c r="F8" s="293">
        <v>0.51585729124742397</v>
      </c>
      <c r="G8" s="293">
        <v>0.33276861013298248</v>
      </c>
      <c r="H8" s="293">
        <v>0.29239454565307704</v>
      </c>
      <c r="I8" s="293">
        <v>0.24598514010242858</v>
      </c>
      <c r="J8" s="293">
        <v>0.21420748667665468</v>
      </c>
      <c r="K8" s="293"/>
      <c r="L8" s="383"/>
    </row>
    <row r="9" spans="1:12" x14ac:dyDescent="0.25">
      <c r="A9" s="293" t="s">
        <v>254</v>
      </c>
      <c r="B9" s="293">
        <f>1*(((1-$L9)*($J$2-B$2)/($J$2-$B$2))+$L9)</f>
        <v>1</v>
      </c>
      <c r="C9" s="293">
        <f>1.03978684654077*(((1-$L9)*($J$2-C$2)/($J$2-$B$2))+$L9)</f>
        <v>1.1144382098821586</v>
      </c>
      <c r="D9" s="293">
        <f>0.97157012940827*(((1-$L9)*($J$2-D$2)/($J$2-$B$2))+$L9)</f>
        <v>1.1285160733896058</v>
      </c>
      <c r="E9" s="293">
        <f>0.910321846970003*(((1-$L9)*($J$2-E$2)/($J$2-$B$2))+$L9)</f>
        <v>1.1390693880034908</v>
      </c>
      <c r="F9" s="293">
        <f>0.782702068674822*(((1-$L9)*($J$2-F$2)/($J$2-$B$2))+$L9)</f>
        <v>1.0496235433767482</v>
      </c>
      <c r="G9" s="293">
        <f>0.658674706617116*(((1-$L9)*($J$2-G$2)/($J$2-$B$2))+$L9)</f>
        <v>0.94241150331371981</v>
      </c>
      <c r="H9" s="293">
        <f>0.558401682795765*(((1-$L9)*($J$2-H$2)/($J$2-$B$2))+$L9)</f>
        <v>0.84905691768689384</v>
      </c>
      <c r="I9" s="293">
        <f>0.464299812940618*(((1-$L9)*($J$2-I$2)/($J$2-$B$2))+$L9)</f>
        <v>0.74764175006848232</v>
      </c>
      <c r="J9" s="293">
        <f>0.395647260688482*(((1-$L9)*($J$2-J$2)/($J$2-$B$2))+$L9)</f>
        <v>0.67260034317041939</v>
      </c>
      <c r="K9" s="293"/>
      <c r="L9" s="383">
        <v>1.7</v>
      </c>
    </row>
    <row r="10" spans="1:12" x14ac:dyDescent="0.25">
      <c r="A10" s="293" t="s">
        <v>103</v>
      </c>
      <c r="B10" s="293">
        <f>1*(((1-$L10)*($J$2-B$2)/($J$2-$B$2))+$L10)</f>
        <v>1</v>
      </c>
      <c r="C10" s="293">
        <f>1.03978684654077*(((1-$L10)*($J$2-C$2)/($J$2-$B$2))+$L10)</f>
        <v>1.1144382098821586</v>
      </c>
      <c r="D10" s="293">
        <f>0.97157012940827*(((1-$L10)*($J$2-D$2)/($J$2-$B$2))+$L10)</f>
        <v>1.1285160733896058</v>
      </c>
      <c r="E10" s="293">
        <f>0.910321846970003*(((1-$L10)*($J$2-E$2)/($J$2-$B$2))+$L10)</f>
        <v>1.1390693880034908</v>
      </c>
      <c r="F10" s="293">
        <f>0.782702068674822*(((1-$L10)*($J$2-F$2)/($J$2-$B$2))+$L10)</f>
        <v>1.0496235433767482</v>
      </c>
      <c r="G10" s="293">
        <f>0.658674706617116*(((1-$L10)*($J$2-G$2)/($J$2-$B$2))+$L10)</f>
        <v>0.94241150331371981</v>
      </c>
      <c r="H10" s="293">
        <f>0.558401682795765*(((1-$L10)*($J$2-H$2)/($J$2-$B$2))+$L10)</f>
        <v>0.84905691768689384</v>
      </c>
      <c r="I10" s="293">
        <f>0.464299812940618*(((1-$L10)*($J$2-I$2)/($J$2-$B$2))+$L10)</f>
        <v>0.74764175006848232</v>
      </c>
      <c r="J10" s="293">
        <f>0.395647260688482*(((1-$L10)*($J$2-J$2)/($J$2-$B$2))+$L10)</f>
        <v>0.67260034317041939</v>
      </c>
      <c r="K10" s="293"/>
      <c r="L10" s="383">
        <v>1.7</v>
      </c>
    </row>
    <row r="11" spans="1:12" x14ac:dyDescent="0.25">
      <c r="A11" s="293" t="s">
        <v>108</v>
      </c>
      <c r="B11" s="293">
        <v>1</v>
      </c>
      <c r="C11" s="293">
        <v>1.00697380874386</v>
      </c>
      <c r="D11" s="293">
        <v>0.89361901429084745</v>
      </c>
      <c r="E11" s="293">
        <v>0.80857431294666837</v>
      </c>
      <c r="F11" s="293">
        <v>0.64369401805398685</v>
      </c>
      <c r="G11" s="293">
        <v>0.52000988592096153</v>
      </c>
      <c r="H11" s="293">
        <v>0.42559235269978912</v>
      </c>
      <c r="I11" s="293">
        <v>0.34100831094807688</v>
      </c>
      <c r="J11" s="293">
        <v>0.28249162263599226</v>
      </c>
      <c r="K11" s="293"/>
      <c r="L11" s="384"/>
    </row>
    <row r="12" spans="1:12" ht="15.75" thickBot="1" x14ac:dyDescent="0.3">
      <c r="K12" s="88"/>
      <c r="L12" s="388"/>
    </row>
    <row r="13" spans="1:12" x14ac:dyDescent="0.25">
      <c r="A13" s="377" t="s">
        <v>253</v>
      </c>
      <c r="B13" s="378" t="s">
        <v>255</v>
      </c>
      <c r="C13" s="539" t="s">
        <v>257</v>
      </c>
      <c r="D13" s="540"/>
      <c r="E13" s="378"/>
      <c r="F13" s="378"/>
      <c r="G13" s="378"/>
      <c r="H13" s="378"/>
      <c r="I13" s="378"/>
      <c r="J13" s="378"/>
      <c r="K13" s="378"/>
      <c r="L13" s="379"/>
    </row>
    <row r="14" spans="1:12" x14ac:dyDescent="0.25">
      <c r="B14" s="376">
        <v>2011</v>
      </c>
      <c r="C14" s="376">
        <v>2015</v>
      </c>
      <c r="D14" s="376">
        <v>2020</v>
      </c>
      <c r="E14" s="376">
        <v>2025</v>
      </c>
      <c r="F14" s="376">
        <v>2030</v>
      </c>
      <c r="G14" s="376">
        <v>2035</v>
      </c>
      <c r="H14" s="376">
        <v>2040</v>
      </c>
      <c r="I14" s="376">
        <v>2045</v>
      </c>
      <c r="J14" s="376">
        <v>2050</v>
      </c>
      <c r="K14" s="293"/>
      <c r="L14" s="381" t="s">
        <v>256</v>
      </c>
    </row>
    <row r="15" spans="1:12" x14ac:dyDescent="0.25">
      <c r="A15" s="382" t="s">
        <v>108</v>
      </c>
      <c r="B15" s="293">
        <v>1</v>
      </c>
      <c r="C15" s="293">
        <v>1.00697380874386</v>
      </c>
      <c r="D15" s="293">
        <v>0.97090435920216234</v>
      </c>
      <c r="E15" s="293">
        <v>0.92062748645039183</v>
      </c>
      <c r="F15" s="293">
        <v>0.88994511603532889</v>
      </c>
      <c r="G15" s="293">
        <v>0.88102024240585497</v>
      </c>
      <c r="H15" s="293">
        <v>0.84625870419614446</v>
      </c>
      <c r="I15" s="293">
        <v>0.84428323140696548</v>
      </c>
      <c r="J15" s="293">
        <v>0.82982723916437995</v>
      </c>
      <c r="K15" s="293"/>
      <c r="L15" s="383"/>
    </row>
    <row r="16" spans="1:12" x14ac:dyDescent="0.25">
      <c r="A16" s="382" t="s">
        <v>101</v>
      </c>
      <c r="B16" s="293">
        <v>1</v>
      </c>
      <c r="C16" s="293">
        <v>0.95936514374798831</v>
      </c>
      <c r="D16" s="293">
        <v>0.93607237647131092</v>
      </c>
      <c r="E16" s="293">
        <v>0.88983941553379431</v>
      </c>
      <c r="F16" s="293">
        <v>0.83056824559704512</v>
      </c>
      <c r="G16" s="293">
        <v>0.80385880321716929</v>
      </c>
      <c r="H16" s="293">
        <v>0.78169398101476728</v>
      </c>
      <c r="I16" s="293">
        <v>0.77374809765019903</v>
      </c>
      <c r="J16" s="293">
        <v>0.76481306979942865</v>
      </c>
      <c r="K16" s="293"/>
      <c r="L16" s="383"/>
    </row>
    <row r="17" spans="1:23" x14ac:dyDescent="0.25">
      <c r="A17" s="382" t="s">
        <v>102</v>
      </c>
      <c r="B17" s="293">
        <v>1</v>
      </c>
      <c r="C17" s="293">
        <v>1.0992866089267759</v>
      </c>
      <c r="D17" s="293">
        <v>1.1776819567403469</v>
      </c>
      <c r="E17" s="293">
        <v>1.1883881563470775</v>
      </c>
      <c r="F17" s="293">
        <v>1.2575783347935361</v>
      </c>
      <c r="G17" s="293">
        <v>1.3233345245058485</v>
      </c>
      <c r="H17" s="293">
        <v>1.4166307974255083</v>
      </c>
      <c r="I17" s="293">
        <v>1.4828679303576926</v>
      </c>
      <c r="J17" s="293">
        <v>1.4844959099315893</v>
      </c>
      <c r="K17" s="293"/>
      <c r="L17" s="383"/>
    </row>
    <row r="18" spans="1:23" x14ac:dyDescent="0.25">
      <c r="A18" s="382" t="s">
        <v>104</v>
      </c>
      <c r="B18" s="293">
        <v>1</v>
      </c>
      <c r="C18" s="293">
        <v>0.96747300673156478</v>
      </c>
      <c r="D18" s="293">
        <v>1.0315912660249595</v>
      </c>
      <c r="E18" s="293">
        <v>1.0241857292982908</v>
      </c>
      <c r="F18" s="293">
        <v>1.0437906899945097</v>
      </c>
      <c r="G18" s="293">
        <v>1.0634409091740917</v>
      </c>
      <c r="H18" s="293">
        <v>1.0565983481891055</v>
      </c>
      <c r="I18" s="293">
        <v>1.0661246306807595</v>
      </c>
      <c r="J18" s="293">
        <v>1.0721693578022564</v>
      </c>
      <c r="K18" s="293"/>
      <c r="L18" s="383"/>
    </row>
    <row r="19" spans="1:23" x14ac:dyDescent="0.25">
      <c r="A19" s="382" t="s">
        <v>106</v>
      </c>
      <c r="B19" s="293">
        <v>1</v>
      </c>
      <c r="C19" s="293">
        <v>1.0804295009638261</v>
      </c>
      <c r="D19" s="293">
        <v>1.0870437350240798</v>
      </c>
      <c r="E19" s="293">
        <v>1.1026846520747862</v>
      </c>
      <c r="F19" s="293">
        <v>1.0967737549744645</v>
      </c>
      <c r="G19" s="293">
        <v>1.0500456908031703</v>
      </c>
      <c r="H19" s="293">
        <v>1.0084933682041881</v>
      </c>
      <c r="I19" s="293">
        <v>0.95192194283051479</v>
      </c>
      <c r="J19" s="293">
        <v>0.87966995731836306</v>
      </c>
      <c r="K19" s="293"/>
      <c r="L19" s="383"/>
    </row>
    <row r="20" spans="1:23" x14ac:dyDescent="0.25">
      <c r="A20" s="382" t="s">
        <v>105</v>
      </c>
      <c r="B20" s="293">
        <v>1</v>
      </c>
      <c r="C20" s="293">
        <v>1.2514727068642721</v>
      </c>
      <c r="D20" s="293">
        <v>1.4936871041650388</v>
      </c>
      <c r="E20" s="293">
        <v>1.7923101100532619</v>
      </c>
      <c r="F20" s="293">
        <v>2.2398371947142102</v>
      </c>
      <c r="G20" s="293">
        <v>2.6260498408041322</v>
      </c>
      <c r="H20" s="293">
        <v>2.9340862450444174</v>
      </c>
      <c r="I20" s="293">
        <v>3.1375251150378429</v>
      </c>
      <c r="J20" s="293">
        <v>3.3386870260146004</v>
      </c>
      <c r="K20" s="293"/>
      <c r="L20" s="383"/>
      <c r="N20" t="s">
        <v>375</v>
      </c>
    </row>
    <row r="21" spans="1:23" x14ac:dyDescent="0.25">
      <c r="A21" s="382" t="s">
        <v>107</v>
      </c>
      <c r="B21" s="293">
        <v>1</v>
      </c>
      <c r="C21" s="293">
        <v>1.0062611569654281</v>
      </c>
      <c r="D21" s="293">
        <v>0.98841001375022175</v>
      </c>
      <c r="E21" s="293">
        <v>0.98370329939903023</v>
      </c>
      <c r="F21" s="293">
        <v>1.0169510975766658</v>
      </c>
      <c r="G21" s="293">
        <v>1.0363855322056323</v>
      </c>
      <c r="H21" s="293">
        <v>1.0182031192180494</v>
      </c>
      <c r="I21" s="293">
        <v>1.0196247083112984</v>
      </c>
      <c r="J21" s="293">
        <v>1.0031929684372825</v>
      </c>
      <c r="K21" s="293"/>
      <c r="L21" s="383"/>
      <c r="N21" t="s">
        <v>374</v>
      </c>
      <c r="O21">
        <v>1</v>
      </c>
      <c r="P21">
        <v>0.97431964744595057</v>
      </c>
      <c r="R21">
        <v>0.71433711744112849</v>
      </c>
      <c r="S21">
        <v>0.57709347961216995</v>
      </c>
      <c r="T21">
        <v>0.47445531550687631</v>
      </c>
      <c r="U21">
        <v>0.37181715140158278</v>
      </c>
      <c r="V21">
        <v>0.23417574541725394</v>
      </c>
      <c r="W21">
        <v>9.6534339432925165E-2</v>
      </c>
    </row>
    <row r="22" spans="1:23" x14ac:dyDescent="0.25">
      <c r="A22" s="382" t="s">
        <v>254</v>
      </c>
      <c r="B22" s="293">
        <f t="shared" ref="B22:J22" si="0">B26*(((1-$L22)*($J$14-B$14)/($J$14-$B$14))+$L22)</f>
        <v>1</v>
      </c>
      <c r="C22" s="293">
        <f t="shared" si="0"/>
        <v>1.0931092489274745</v>
      </c>
      <c r="D22" s="293">
        <f t="shared" si="0"/>
        <v>1.1720409730477725</v>
      </c>
      <c r="E22" s="293">
        <f t="shared" si="0"/>
        <v>1.2696713105646511</v>
      </c>
      <c r="F22" s="293">
        <f t="shared" si="0"/>
        <v>1.3826015401827554</v>
      </c>
      <c r="G22" s="293">
        <f t="shared" si="0"/>
        <v>1.4912990846329397</v>
      </c>
      <c r="H22" s="293">
        <f t="shared" si="0"/>
        <v>1.6063252670022912</v>
      </c>
      <c r="I22" s="293">
        <f t="shared" si="0"/>
        <v>1.7013388160359637</v>
      </c>
      <c r="J22" s="293">
        <f t="shared" si="0"/>
        <v>1.782265056715477</v>
      </c>
      <c r="K22" s="293"/>
      <c r="L22" s="383">
        <v>1.5</v>
      </c>
    </row>
    <row r="23" spans="1:23" x14ac:dyDescent="0.25">
      <c r="A23" s="382" t="s">
        <v>103</v>
      </c>
      <c r="B23" s="293">
        <f t="shared" ref="B23:J23" si="1">B27*(((1-$L23)*($J$14-B$14)/($J$14-$B$14))+$L23)</f>
        <v>1</v>
      </c>
      <c r="C23" s="293">
        <f t="shared" si="1"/>
        <v>1.0931092489274745</v>
      </c>
      <c r="D23" s="293">
        <f t="shared" si="1"/>
        <v>1.1720409730477725</v>
      </c>
      <c r="E23" s="293">
        <f t="shared" si="1"/>
        <v>1.2696713105646511</v>
      </c>
      <c r="F23" s="293">
        <f t="shared" si="1"/>
        <v>1.3826015401827554</v>
      </c>
      <c r="G23" s="293">
        <f t="shared" si="1"/>
        <v>1.4912990846329397</v>
      </c>
      <c r="H23" s="293">
        <f t="shared" si="1"/>
        <v>1.6063252670022912</v>
      </c>
      <c r="I23" s="293">
        <f t="shared" si="1"/>
        <v>1.7013388160359637</v>
      </c>
      <c r="J23" s="293">
        <f t="shared" si="1"/>
        <v>1.782265056715477</v>
      </c>
      <c r="K23" s="293"/>
      <c r="L23" s="384">
        <v>1.5</v>
      </c>
      <c r="O23">
        <v>1990</v>
      </c>
      <c r="P23">
        <v>2011</v>
      </c>
      <c r="Q23">
        <v>2050</v>
      </c>
      <c r="R23" t="s">
        <v>297</v>
      </c>
    </row>
    <row r="24" spans="1:23" x14ac:dyDescent="0.25">
      <c r="A24" s="412" t="s">
        <v>89</v>
      </c>
      <c r="B24" s="52">
        <f>'DEU-Pfad'!B102</f>
        <v>1</v>
      </c>
      <c r="C24" s="52">
        <f>'DEU-Pfad'!C102</f>
        <v>0.97474147789947752</v>
      </c>
      <c r="D24" s="52">
        <f>'DEU-Pfad'!D102</f>
        <v>0.85527745254092191</v>
      </c>
      <c r="E24" s="52">
        <f>'DEU-Pfad'!E102</f>
        <v>0.71428977624631373</v>
      </c>
      <c r="F24" s="52">
        <f>'DEU-Pfad'!F102</f>
        <v>0.57709347961216995</v>
      </c>
      <c r="G24" s="52">
        <f>'DEU-Pfad'!G102</f>
        <v>0.46721515009549469</v>
      </c>
      <c r="H24" s="52">
        <f>'DEU-Pfad'!H102</f>
        <v>0.35733682057881944</v>
      </c>
      <c r="I24" s="52">
        <f>'DEU-Pfad'!I102</f>
        <v>0.20777963963167362</v>
      </c>
      <c r="J24" s="52">
        <f>'DEU-Pfad'!J102</f>
        <v>5.8222458684527745E-2</v>
      </c>
      <c r="N24" t="s">
        <v>296</v>
      </c>
      <c r="O24" s="413">
        <v>1020</v>
      </c>
      <c r="P24" s="413">
        <v>793</v>
      </c>
      <c r="Q24">
        <f>R24*O24</f>
        <v>102</v>
      </c>
      <c r="R24">
        <v>0.1</v>
      </c>
    </row>
    <row r="25" spans="1:23" x14ac:dyDescent="0.25">
      <c r="A25" s="380" t="s">
        <v>258</v>
      </c>
      <c r="B25" s="297" t="s">
        <v>257</v>
      </c>
      <c r="C25" s="376"/>
      <c r="D25" s="376"/>
      <c r="E25" s="376"/>
      <c r="F25" s="376"/>
      <c r="G25" s="376"/>
      <c r="H25" s="376"/>
      <c r="I25" s="376"/>
      <c r="J25" s="376"/>
      <c r="K25" s="376"/>
      <c r="L25" s="385"/>
      <c r="Q25">
        <f>Q24/P24</f>
        <v>0.12862547288776796</v>
      </c>
    </row>
    <row r="26" spans="1:23" x14ac:dyDescent="0.25">
      <c r="A26" s="382" t="s">
        <v>254</v>
      </c>
      <c r="B26" s="293">
        <v>1</v>
      </c>
      <c r="C26" s="293">
        <v>1.0397868465407685</v>
      </c>
      <c r="D26" s="293">
        <v>1.0507953551462788</v>
      </c>
      <c r="E26" s="293">
        <v>1.0764604589569868</v>
      </c>
      <c r="F26" s="293">
        <v>1.1117826817964425</v>
      </c>
      <c r="G26" s="293">
        <v>1.1404051823663657</v>
      </c>
      <c r="H26" s="293">
        <v>1.1709660824876515</v>
      </c>
      <c r="I26" s="293">
        <v>1.1848609611679033</v>
      </c>
      <c r="J26" s="293">
        <v>1.1881767044769846</v>
      </c>
      <c r="K26" s="293"/>
      <c r="L26" s="386"/>
    </row>
    <row r="27" spans="1:23" ht="15.75" thickBot="1" x14ac:dyDescent="0.3">
      <c r="A27" s="387" t="s">
        <v>103</v>
      </c>
      <c r="B27" s="88">
        <v>1</v>
      </c>
      <c r="C27" s="88">
        <v>1.0397868465407685</v>
      </c>
      <c r="D27" s="88">
        <v>1.0507953551462788</v>
      </c>
      <c r="E27" s="88">
        <v>1.0764604589569868</v>
      </c>
      <c r="F27" s="88">
        <v>1.1117826817964425</v>
      </c>
      <c r="G27" s="88">
        <v>1.1404051823663657</v>
      </c>
      <c r="H27" s="88">
        <v>1.1709660824876515</v>
      </c>
      <c r="I27" s="88">
        <v>1.1848609611679033</v>
      </c>
      <c r="J27" s="88">
        <v>1.1881767044769846</v>
      </c>
      <c r="K27" s="88"/>
      <c r="L27" s="388"/>
    </row>
    <row r="28" spans="1:23" x14ac:dyDescent="0.25">
      <c r="A28" s="478" t="s">
        <v>253</v>
      </c>
      <c r="B28" s="378" t="s">
        <v>380</v>
      </c>
      <c r="C28" s="541" t="s">
        <v>379</v>
      </c>
      <c r="D28" s="541"/>
      <c r="E28" s="378"/>
      <c r="F28" s="378"/>
      <c r="G28" s="378"/>
      <c r="H28" s="378"/>
      <c r="I28" s="378"/>
      <c r="J28" s="378"/>
      <c r="K28" s="378"/>
      <c r="L28" s="379"/>
    </row>
    <row r="29" spans="1:23" x14ac:dyDescent="0.25">
      <c r="A29" s="382"/>
      <c r="B29" s="376">
        <v>2011</v>
      </c>
      <c r="C29" s="376">
        <v>2015</v>
      </c>
      <c r="D29" s="376">
        <v>2020</v>
      </c>
      <c r="E29" s="376">
        <v>2025</v>
      </c>
      <c r="F29" s="376">
        <v>2030</v>
      </c>
      <c r="G29" s="376">
        <v>2035</v>
      </c>
      <c r="H29" s="376">
        <v>2040</v>
      </c>
      <c r="I29" s="376">
        <v>2045</v>
      </c>
      <c r="J29" s="376">
        <v>2050</v>
      </c>
      <c r="K29" s="293"/>
      <c r="L29" s="386"/>
    </row>
    <row r="30" spans="1:23" x14ac:dyDescent="0.25">
      <c r="A30" s="382" t="s">
        <v>108</v>
      </c>
      <c r="B30" s="293">
        <f>[8]OECD!C53</f>
        <v>1</v>
      </c>
      <c r="C30" s="293">
        <f>[8]OECD!D53</f>
        <v>1.0069738087438602</v>
      </c>
      <c r="D30" s="293">
        <f>[8]OECD!E53</f>
        <v>0.92729343001487041</v>
      </c>
      <c r="E30" s="293">
        <f>[8]OECD!F53</f>
        <v>0.84761305128588071</v>
      </c>
      <c r="F30" s="293">
        <f>[8]OECD!G53</f>
        <v>0.76793267255689079</v>
      </c>
      <c r="G30" s="293">
        <f>[8]OECD!H53</f>
        <v>0.68825229382790098</v>
      </c>
      <c r="H30" s="293">
        <f>[8]OECD!I53</f>
        <v>0.60857191509891129</v>
      </c>
      <c r="I30" s="293">
        <f>[8]OECD!J53</f>
        <v>0.52889153636992137</v>
      </c>
      <c r="J30" s="293">
        <f>[8]OECD!K53</f>
        <v>0.44921115764093167</v>
      </c>
      <c r="K30" s="293"/>
      <c r="L30" s="386"/>
    </row>
    <row r="31" spans="1:23" x14ac:dyDescent="0.25">
      <c r="A31" s="382" t="s">
        <v>101</v>
      </c>
      <c r="B31" s="293">
        <f>(B16+B3)/2</f>
        <v>1</v>
      </c>
      <c r="C31" s="293">
        <f t="shared" ref="C31:J31" si="2">(C16+C3)/2</f>
        <v>0.95936514374798831</v>
      </c>
      <c r="D31" s="293">
        <f t="shared" si="2"/>
        <v>0.94039779391047618</v>
      </c>
      <c r="E31" s="293">
        <f t="shared" si="2"/>
        <v>0.81744443463951255</v>
      </c>
      <c r="F31" s="293">
        <f t="shared" si="2"/>
        <v>0.72315224638033671</v>
      </c>
      <c r="G31" s="293">
        <f t="shared" si="2"/>
        <v>0.62920849545870006</v>
      </c>
      <c r="H31" s="293">
        <f t="shared" si="2"/>
        <v>0.56463595574785908</v>
      </c>
      <c r="I31" s="293">
        <f t="shared" si="2"/>
        <v>0.51624674406109439</v>
      </c>
      <c r="J31" s="293">
        <f t="shared" si="2"/>
        <v>0.48426397114566516</v>
      </c>
      <c r="K31" s="293"/>
      <c r="L31" s="386"/>
    </row>
    <row r="32" spans="1:23" x14ac:dyDescent="0.25">
      <c r="A32" s="382" t="s">
        <v>102</v>
      </c>
      <c r="B32" s="293">
        <f>B17</f>
        <v>1</v>
      </c>
      <c r="C32" s="293">
        <f t="shared" ref="C32:J32" si="3">C17</f>
        <v>1.0992866089267759</v>
      </c>
      <c r="D32" s="293">
        <f t="shared" si="3"/>
        <v>1.1776819567403469</v>
      </c>
      <c r="E32" s="293">
        <f t="shared" si="3"/>
        <v>1.1883881563470775</v>
      </c>
      <c r="F32" s="293">
        <f t="shared" si="3"/>
        <v>1.2575783347935361</v>
      </c>
      <c r="G32" s="293">
        <f t="shared" si="3"/>
        <v>1.3233345245058485</v>
      </c>
      <c r="H32" s="293">
        <f t="shared" si="3"/>
        <v>1.4166307974255083</v>
      </c>
      <c r="I32" s="293">
        <f t="shared" si="3"/>
        <v>1.4828679303576926</v>
      </c>
      <c r="J32" s="293">
        <f t="shared" si="3"/>
        <v>1.4844959099315893</v>
      </c>
      <c r="K32" s="293"/>
      <c r="L32" s="386"/>
    </row>
    <row r="33" spans="1:12" x14ac:dyDescent="0.25">
      <c r="A33" s="382" t="s">
        <v>104</v>
      </c>
      <c r="B33" s="293">
        <f>B18</f>
        <v>1</v>
      </c>
      <c r="C33" s="293">
        <f t="shared" ref="C33:J33" si="4">C18</f>
        <v>0.96747300673156478</v>
      </c>
      <c r="D33" s="293">
        <f t="shared" si="4"/>
        <v>1.0315912660249595</v>
      </c>
      <c r="E33" s="293">
        <f t="shared" si="4"/>
        <v>1.0241857292982908</v>
      </c>
      <c r="F33" s="293">
        <f t="shared" si="4"/>
        <v>1.0437906899945097</v>
      </c>
      <c r="G33" s="293">
        <f t="shared" si="4"/>
        <v>1.0634409091740917</v>
      </c>
      <c r="H33" s="293">
        <f t="shared" si="4"/>
        <v>1.0565983481891055</v>
      </c>
      <c r="I33" s="293">
        <f t="shared" si="4"/>
        <v>1.0661246306807595</v>
      </c>
      <c r="J33" s="293">
        <f t="shared" si="4"/>
        <v>1.0721693578022564</v>
      </c>
      <c r="K33" s="293"/>
      <c r="L33" s="386"/>
    </row>
    <row r="34" spans="1:12" x14ac:dyDescent="0.25">
      <c r="A34" s="382" t="s">
        <v>106</v>
      </c>
      <c r="B34" s="293">
        <f>B6</f>
        <v>1</v>
      </c>
      <c r="C34" s="293">
        <f t="shared" ref="C34:J34" si="5">C6</f>
        <v>1.0804295009638261</v>
      </c>
      <c r="D34" s="293">
        <f t="shared" si="5"/>
        <v>0.97321634276585567</v>
      </c>
      <c r="E34" s="293">
        <f t="shared" si="5"/>
        <v>0.87648565134307155</v>
      </c>
      <c r="F34" s="293">
        <f t="shared" si="5"/>
        <v>0.70995479855709609</v>
      </c>
      <c r="G34" s="293">
        <f t="shared" si="5"/>
        <v>0.55565082774860741</v>
      </c>
      <c r="H34" s="293">
        <f t="shared" si="5"/>
        <v>0.40547835326557041</v>
      </c>
      <c r="I34" s="293">
        <f t="shared" si="5"/>
        <v>0.31437558602639354</v>
      </c>
      <c r="J34" s="293">
        <f t="shared" si="5"/>
        <v>0.26597823128137327</v>
      </c>
      <c r="K34" s="293"/>
      <c r="L34" s="386"/>
    </row>
    <row r="35" spans="1:12" x14ac:dyDescent="0.25">
      <c r="A35" s="382" t="s">
        <v>105</v>
      </c>
      <c r="B35" s="293">
        <f>B20</f>
        <v>1</v>
      </c>
      <c r="C35" s="293">
        <f t="shared" ref="C35:J35" si="6">C20</f>
        <v>1.2514727068642721</v>
      </c>
      <c r="D35" s="293">
        <f t="shared" si="6"/>
        <v>1.4936871041650388</v>
      </c>
      <c r="E35" s="293">
        <f t="shared" si="6"/>
        <v>1.7923101100532619</v>
      </c>
      <c r="F35" s="293">
        <f t="shared" si="6"/>
        <v>2.2398371947142102</v>
      </c>
      <c r="G35" s="293">
        <f t="shared" si="6"/>
        <v>2.6260498408041322</v>
      </c>
      <c r="H35" s="293">
        <f t="shared" si="6"/>
        <v>2.9340862450444174</v>
      </c>
      <c r="I35" s="293">
        <f t="shared" si="6"/>
        <v>3.1375251150378429</v>
      </c>
      <c r="J35" s="293">
        <f t="shared" si="6"/>
        <v>3.3386870260146004</v>
      </c>
      <c r="K35" s="293"/>
      <c r="L35" s="386"/>
    </row>
    <row r="36" spans="1:12" x14ac:dyDescent="0.25">
      <c r="A36" s="382" t="s">
        <v>107</v>
      </c>
      <c r="B36" s="293">
        <f>B21</f>
        <v>1</v>
      </c>
      <c r="C36" s="293">
        <f t="shared" ref="C36:J36" si="7">C21</f>
        <v>1.0062611569654281</v>
      </c>
      <c r="D36" s="293">
        <f t="shared" si="7"/>
        <v>0.98841001375022175</v>
      </c>
      <c r="E36" s="293">
        <f t="shared" si="7"/>
        <v>0.98370329939903023</v>
      </c>
      <c r="F36" s="293">
        <f t="shared" si="7"/>
        <v>1.0169510975766658</v>
      </c>
      <c r="G36" s="293">
        <f t="shared" si="7"/>
        <v>1.0363855322056323</v>
      </c>
      <c r="H36" s="293">
        <f t="shared" si="7"/>
        <v>1.0182031192180494</v>
      </c>
      <c r="I36" s="293">
        <f t="shared" si="7"/>
        <v>1.0196247083112984</v>
      </c>
      <c r="J36" s="293">
        <f t="shared" si="7"/>
        <v>1.0031929684372825</v>
      </c>
      <c r="K36" s="293"/>
      <c r="L36" s="386"/>
    </row>
    <row r="37" spans="1:12" x14ac:dyDescent="0.25">
      <c r="A37" s="382" t="s">
        <v>254</v>
      </c>
      <c r="B37" s="293">
        <f>B22</f>
        <v>1</v>
      </c>
      <c r="C37" s="293">
        <f t="shared" ref="C37:J37" si="8">C22</f>
        <v>1.0931092489274745</v>
      </c>
      <c r="D37" s="293">
        <f t="shared" si="8"/>
        <v>1.1720409730477725</v>
      </c>
      <c r="E37" s="293">
        <f t="shared" si="8"/>
        <v>1.2696713105646511</v>
      </c>
      <c r="F37" s="293">
        <f t="shared" si="8"/>
        <v>1.3826015401827554</v>
      </c>
      <c r="G37" s="293">
        <f t="shared" si="8"/>
        <v>1.4912990846329397</v>
      </c>
      <c r="H37" s="293">
        <f t="shared" si="8"/>
        <v>1.6063252670022912</v>
      </c>
      <c r="I37" s="293">
        <f t="shared" si="8"/>
        <v>1.7013388160359637</v>
      </c>
      <c r="J37" s="293">
        <f t="shared" si="8"/>
        <v>1.782265056715477</v>
      </c>
      <c r="K37" s="293"/>
      <c r="L37" s="386"/>
    </row>
    <row r="38" spans="1:12" ht="15.75" thickBot="1" x14ac:dyDescent="0.3">
      <c r="A38" s="387" t="s">
        <v>103</v>
      </c>
      <c r="B38" s="88">
        <f>B23</f>
        <v>1</v>
      </c>
      <c r="C38" s="88">
        <f t="shared" ref="C38:J38" si="9">C23</f>
        <v>1.0931092489274745</v>
      </c>
      <c r="D38" s="88">
        <f t="shared" si="9"/>
        <v>1.1720409730477725</v>
      </c>
      <c r="E38" s="88">
        <f t="shared" si="9"/>
        <v>1.2696713105646511</v>
      </c>
      <c r="F38" s="88">
        <f t="shared" si="9"/>
        <v>1.3826015401827554</v>
      </c>
      <c r="G38" s="88">
        <f t="shared" si="9"/>
        <v>1.4912990846329397</v>
      </c>
      <c r="H38" s="88">
        <f t="shared" si="9"/>
        <v>1.6063252670022912</v>
      </c>
      <c r="I38" s="88">
        <f t="shared" si="9"/>
        <v>1.7013388160359637</v>
      </c>
      <c r="J38" s="88">
        <f t="shared" si="9"/>
        <v>1.782265056715477</v>
      </c>
      <c r="K38" s="88"/>
      <c r="L38" s="388"/>
    </row>
    <row r="39" spans="1:12" x14ac:dyDescent="0.25">
      <c r="A39" s="412"/>
    </row>
  </sheetData>
  <mergeCells count="3">
    <mergeCell ref="C1:D1"/>
    <mergeCell ref="C13:D13"/>
    <mergeCell ref="C28:D28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V105"/>
  <sheetViews>
    <sheetView workbookViewId="0">
      <selection sqref="A1:S12"/>
    </sheetView>
  </sheetViews>
  <sheetFormatPr defaultColWidth="11.42578125" defaultRowHeight="15" x14ac:dyDescent="0.25"/>
  <cols>
    <col min="1" max="1" width="16.7109375" bestFit="1" customWidth="1"/>
  </cols>
  <sheetData>
    <row r="1" spans="1:20" x14ac:dyDescent="0.25">
      <c r="A1" s="408" t="s">
        <v>272</v>
      </c>
      <c r="B1" s="409" t="s">
        <v>271</v>
      </c>
      <c r="C1" s="409"/>
      <c r="D1" s="409"/>
      <c r="E1" s="376"/>
      <c r="F1" s="376"/>
      <c r="G1" s="376"/>
      <c r="H1" s="376"/>
      <c r="I1" s="376"/>
      <c r="J1" s="376"/>
      <c r="K1" s="376"/>
      <c r="L1" s="376"/>
      <c r="M1" s="376"/>
      <c r="N1" s="376"/>
      <c r="O1" s="376"/>
      <c r="P1" s="376"/>
      <c r="Q1" s="376"/>
      <c r="R1" s="376"/>
      <c r="S1" s="376"/>
      <c r="T1" s="392"/>
    </row>
    <row r="2" spans="1:20" x14ac:dyDescent="0.25">
      <c r="A2" s="393"/>
      <c r="B2" s="293" t="s">
        <v>270</v>
      </c>
      <c r="C2" s="293"/>
      <c r="D2" s="293"/>
      <c r="E2" s="293"/>
      <c r="F2" s="293"/>
      <c r="G2" s="293"/>
      <c r="H2" s="293"/>
      <c r="I2" s="293"/>
      <c r="J2" s="293"/>
      <c r="K2" s="293"/>
      <c r="L2" s="293">
        <f>M5/B5</f>
        <v>0.19999999999999996</v>
      </c>
      <c r="M2" s="293">
        <f>M5/E5</f>
        <v>0.23423907293221088</v>
      </c>
      <c r="N2" s="293"/>
      <c r="O2" s="293"/>
      <c r="P2" s="293"/>
      <c r="Q2" s="293"/>
      <c r="R2" s="293"/>
      <c r="S2" s="293"/>
      <c r="T2" s="113"/>
    </row>
    <row r="3" spans="1:20" x14ac:dyDescent="0.25">
      <c r="A3" s="393" t="s">
        <v>273</v>
      </c>
      <c r="B3" s="293" t="s">
        <v>274</v>
      </c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>
        <f>M6/E6</f>
        <v>0.37503532494593922</v>
      </c>
      <c r="O3" s="293"/>
      <c r="P3" s="293"/>
      <c r="Q3" s="293"/>
      <c r="R3" s="293"/>
      <c r="S3" s="438"/>
      <c r="T3" s="113"/>
    </row>
    <row r="4" spans="1:20" x14ac:dyDescent="0.25">
      <c r="A4" s="393"/>
      <c r="B4" s="293">
        <v>1990</v>
      </c>
      <c r="C4" s="293">
        <v>2005</v>
      </c>
      <c r="D4" s="293">
        <v>2010</v>
      </c>
      <c r="E4" s="293">
        <v>2011</v>
      </c>
      <c r="F4" s="293">
        <v>2015</v>
      </c>
      <c r="G4" s="293">
        <v>2020</v>
      </c>
      <c r="H4" s="293">
        <v>2025</v>
      </c>
      <c r="I4" s="293">
        <v>2030</v>
      </c>
      <c r="J4" s="293">
        <v>2035</v>
      </c>
      <c r="K4" s="293">
        <v>2040</v>
      </c>
      <c r="L4" s="293">
        <v>2045</v>
      </c>
      <c r="M4" s="293">
        <v>2050</v>
      </c>
      <c r="N4" s="293"/>
      <c r="O4" s="293" t="s">
        <v>275</v>
      </c>
      <c r="P4" s="293"/>
      <c r="Q4" s="293"/>
      <c r="R4" s="293"/>
      <c r="S4" s="293"/>
      <c r="T4" s="113"/>
    </row>
    <row r="5" spans="1:20" x14ac:dyDescent="0.25">
      <c r="A5" s="52" t="s">
        <v>190</v>
      </c>
      <c r="B5" s="391">
        <v>4385.7047848695101</v>
      </c>
      <c r="C5" s="391">
        <v>4214.6075718738202</v>
      </c>
      <c r="D5" s="394">
        <v>3883.28358034851</v>
      </c>
      <c r="E5" s="391">
        <v>3744.6398075002098</v>
      </c>
      <c r="F5" s="394">
        <v>3469.6708222153802</v>
      </c>
      <c r="G5" s="395">
        <f>$F$5-(($F$5-$M$5)/($M$4-$F$4)*(G$4-$F$4))</f>
        <v>3099.3094128951689</v>
      </c>
      <c r="H5" s="395">
        <f t="shared" ref="H5:L5" si="0">$F$5-(($F$5-$M$5)/($M$4-$F$4)*(H$4-$F$4))</f>
        <v>2728.948003574958</v>
      </c>
      <c r="I5" s="395">
        <f t="shared" si="0"/>
        <v>2358.5865942547466</v>
      </c>
      <c r="J5" s="395">
        <f t="shared" si="0"/>
        <v>1988.2251849345355</v>
      </c>
      <c r="K5" s="395">
        <f t="shared" si="0"/>
        <v>1617.8637756143241</v>
      </c>
      <c r="L5" s="395">
        <f t="shared" si="0"/>
        <v>1247.502366294113</v>
      </c>
      <c r="M5" s="396">
        <f>B5*(1-0.8)</f>
        <v>877.14095697390178</v>
      </c>
      <c r="O5" s="397" t="s">
        <v>276</v>
      </c>
      <c r="P5" s="293"/>
      <c r="Q5" s="293"/>
      <c r="R5" s="293"/>
      <c r="S5" s="293">
        <v>4368.5085552144483</v>
      </c>
      <c r="T5" s="113"/>
    </row>
    <row r="6" spans="1:20" x14ac:dyDescent="0.25">
      <c r="A6" s="52" t="s">
        <v>348</v>
      </c>
      <c r="B6">
        <f>B5/E5*E6</f>
        <v>4259.1126322693117</v>
      </c>
      <c r="E6" s="455">
        <v>3636.5518177250501</v>
      </c>
      <c r="F6" s="455">
        <v>3388.3827113550301</v>
      </c>
      <c r="G6" s="455">
        <v>3130.8858978390003</v>
      </c>
      <c r="H6" s="455">
        <v>2881.2921638770299</v>
      </c>
      <c r="I6" s="455">
        <v>2503.0095046776901</v>
      </c>
      <c r="J6" s="455">
        <v>2181.9137047383397</v>
      </c>
      <c r="K6" s="455">
        <v>1933.1653299627001</v>
      </c>
      <c r="L6" s="455">
        <v>1657.5921803080901</v>
      </c>
      <c r="M6" s="455">
        <v>1363.8353926432601</v>
      </c>
      <c r="P6" s="293"/>
      <c r="Q6" s="398"/>
      <c r="R6" s="293"/>
      <c r="S6" s="293"/>
      <c r="T6" s="113"/>
    </row>
    <row r="7" spans="1:20" x14ac:dyDescent="0.25">
      <c r="A7" s="393" t="s">
        <v>349</v>
      </c>
      <c r="B7" s="293"/>
      <c r="C7" s="293"/>
      <c r="D7" s="293"/>
      <c r="E7" s="52">
        <v>691.36406088915874</v>
      </c>
      <c r="F7" s="52">
        <v>652.57310711846685</v>
      </c>
      <c r="G7" s="52">
        <v>563.002506631492</v>
      </c>
      <c r="H7" s="52">
        <v>481.55163994317684</v>
      </c>
      <c r="I7" s="52">
        <v>396.55766211747567</v>
      </c>
      <c r="J7" s="52">
        <v>325.39855339862805</v>
      </c>
      <c r="K7" s="52">
        <v>253.40613152964613</v>
      </c>
      <c r="L7" s="52">
        <v>173.66725419635918</v>
      </c>
      <c r="M7" s="52">
        <v>89.121166451879503</v>
      </c>
      <c r="N7" s="293"/>
      <c r="O7" s="293" t="s">
        <v>351</v>
      </c>
      <c r="P7" s="52"/>
      <c r="Q7" s="293"/>
      <c r="R7" s="293"/>
      <c r="S7" s="293"/>
      <c r="T7" s="113"/>
    </row>
    <row r="8" spans="1:20" x14ac:dyDescent="0.25">
      <c r="A8" s="52" t="s">
        <v>350</v>
      </c>
      <c r="E8">
        <f>E6-E7</f>
        <v>2945.1877568358914</v>
      </c>
      <c r="F8" s="438">
        <f t="shared" ref="F8:M8" si="1">F6-F7</f>
        <v>2735.8096042365632</v>
      </c>
      <c r="G8" s="438">
        <f t="shared" si="1"/>
        <v>2567.8833912075083</v>
      </c>
      <c r="H8" s="438">
        <f t="shared" si="1"/>
        <v>2399.7405239338532</v>
      </c>
      <c r="I8" s="438">
        <f t="shared" si="1"/>
        <v>2106.4518425602146</v>
      </c>
      <c r="J8" s="438">
        <f t="shared" si="1"/>
        <v>1856.5151513397116</v>
      </c>
      <c r="K8" s="438">
        <f t="shared" si="1"/>
        <v>1679.7591984330538</v>
      </c>
      <c r="L8" s="438">
        <f t="shared" si="1"/>
        <v>1483.9249261117309</v>
      </c>
      <c r="M8" s="438">
        <f t="shared" si="1"/>
        <v>1274.7142261913805</v>
      </c>
      <c r="O8">
        <f>(M7+M8)/B6</f>
        <v>0.32021585489665494</v>
      </c>
      <c r="P8" s="293"/>
      <c r="Q8" s="293">
        <f>B6*0.2</f>
        <v>851.82252645386234</v>
      </c>
      <c r="R8" s="293"/>
      <c r="S8" s="293"/>
      <c r="T8" s="113"/>
    </row>
    <row r="9" spans="1:20" x14ac:dyDescent="0.25">
      <c r="A9" s="393" t="s">
        <v>277</v>
      </c>
      <c r="B9" s="391" t="s">
        <v>278</v>
      </c>
      <c r="C9" s="395" t="s">
        <v>279</v>
      </c>
      <c r="D9" s="396" t="s">
        <v>273</v>
      </c>
      <c r="E9" s="293"/>
      <c r="F9" s="293"/>
      <c r="G9" s="293" t="s">
        <v>280</v>
      </c>
      <c r="H9" s="293"/>
      <c r="I9" s="293"/>
      <c r="J9" s="293"/>
      <c r="K9" s="293"/>
      <c r="L9" s="293"/>
      <c r="M9" s="293"/>
      <c r="N9" s="293"/>
      <c r="O9" s="293"/>
      <c r="P9" s="293"/>
      <c r="Q9" s="293"/>
      <c r="R9" s="293"/>
      <c r="S9" s="293"/>
      <c r="T9" s="113"/>
    </row>
    <row r="10" spans="1:20" ht="15.75" thickBot="1" x14ac:dyDescent="0.3">
      <c r="A10" s="542" t="s">
        <v>281</v>
      </c>
      <c r="B10" s="543"/>
      <c r="C10" s="543"/>
      <c r="D10" s="543"/>
      <c r="E10" s="543"/>
      <c r="F10" s="543"/>
      <c r="G10" s="543"/>
      <c r="H10" s="543"/>
      <c r="I10" s="543"/>
      <c r="J10" s="543"/>
      <c r="K10" s="293"/>
      <c r="L10" s="293"/>
      <c r="M10" s="293"/>
      <c r="N10" s="293"/>
      <c r="O10" s="293"/>
      <c r="P10" s="293"/>
      <c r="Q10" s="293"/>
      <c r="R10" s="293"/>
      <c r="S10" s="293"/>
      <c r="T10" s="113"/>
    </row>
    <row r="11" spans="1:20" x14ac:dyDescent="0.25">
      <c r="A11" s="377"/>
      <c r="B11" s="399">
        <v>2011</v>
      </c>
      <c r="C11" s="399">
        <v>2015</v>
      </c>
      <c r="D11" s="399">
        <v>2020</v>
      </c>
      <c r="E11" s="399">
        <v>2025</v>
      </c>
      <c r="F11" s="399">
        <v>2030</v>
      </c>
      <c r="G11" s="399">
        <v>2035</v>
      </c>
      <c r="H11" s="399">
        <v>2040</v>
      </c>
      <c r="I11" s="399">
        <v>2045</v>
      </c>
      <c r="J11" s="400">
        <v>2050</v>
      </c>
      <c r="K11" s="293"/>
      <c r="L11" s="293"/>
      <c r="M11" s="293"/>
      <c r="N11" s="293"/>
      <c r="O11" s="293"/>
      <c r="P11" s="293"/>
      <c r="Q11" s="293"/>
      <c r="R11" s="293"/>
      <c r="S11" s="293"/>
      <c r="T11" s="113"/>
    </row>
    <row r="12" spans="1:20" ht="15.75" thickBot="1" x14ac:dyDescent="0.3">
      <c r="A12" s="401" t="s">
        <v>190</v>
      </c>
      <c r="B12" s="88">
        <f>E5/$E$5</f>
        <v>1</v>
      </c>
      <c r="C12" s="88">
        <f>F5/$E$5</f>
        <v>0.92656997750916148</v>
      </c>
      <c r="D12" s="88">
        <f>G5/$E$5</f>
        <v>0.82766556256959711</v>
      </c>
      <c r="E12" s="88">
        <f>H5/$E$5</f>
        <v>0.72876114763003275</v>
      </c>
      <c r="F12" s="88">
        <f>I5/$E$5</f>
        <v>0.62985673269046838</v>
      </c>
      <c r="G12" s="88">
        <f t="shared" ref="G12:J12" si="2">J5/$E$5</f>
        <v>0.53095231775090401</v>
      </c>
      <c r="H12" s="88">
        <f t="shared" si="2"/>
        <v>0.43204790281133959</v>
      </c>
      <c r="I12" s="88">
        <f t="shared" si="2"/>
        <v>0.33314348787177528</v>
      </c>
      <c r="J12" s="88">
        <f t="shared" si="2"/>
        <v>0.23423907293221088</v>
      </c>
      <c r="K12" s="293"/>
      <c r="L12" s="293"/>
      <c r="M12" s="293"/>
      <c r="N12" s="293"/>
      <c r="O12" s="293"/>
      <c r="P12" s="293"/>
      <c r="Q12" s="293"/>
      <c r="R12" s="293"/>
      <c r="S12" s="293"/>
      <c r="T12" s="113"/>
    </row>
    <row r="13" spans="1:20" x14ac:dyDescent="0.25">
      <c r="A13" s="410" t="s">
        <v>272</v>
      </c>
      <c r="B13" s="396" t="s">
        <v>286</v>
      </c>
      <c r="C13" s="396"/>
      <c r="D13" s="396"/>
      <c r="E13" s="293"/>
      <c r="F13" s="293"/>
      <c r="G13" s="293"/>
      <c r="H13" s="293"/>
      <c r="I13" s="293"/>
      <c r="J13" s="293"/>
      <c r="K13" s="376"/>
      <c r="L13" s="376"/>
      <c r="M13" s="376"/>
      <c r="N13" s="376"/>
      <c r="O13" s="376"/>
      <c r="P13" s="376"/>
      <c r="Q13" s="376"/>
      <c r="R13" s="376"/>
      <c r="S13" s="376"/>
      <c r="T13" s="392"/>
    </row>
    <row r="14" spans="1:20" x14ac:dyDescent="0.25">
      <c r="A14" s="393"/>
      <c r="B14" s="293" t="s">
        <v>287</v>
      </c>
      <c r="C14" s="293"/>
      <c r="D14" s="293"/>
      <c r="E14" s="293"/>
      <c r="F14" s="293"/>
      <c r="G14" s="293"/>
      <c r="H14" s="293"/>
      <c r="I14" s="293"/>
      <c r="J14" s="293"/>
      <c r="K14" s="293"/>
      <c r="L14" s="293"/>
      <c r="M14" s="293"/>
      <c r="N14" s="293"/>
      <c r="O14" s="293"/>
      <c r="P14" s="293"/>
      <c r="Q14" s="293"/>
      <c r="R14" s="293"/>
      <c r="S14" s="293"/>
      <c r="T14" s="113"/>
    </row>
    <row r="15" spans="1:20" x14ac:dyDescent="0.25">
      <c r="A15" s="393" t="s">
        <v>273</v>
      </c>
      <c r="B15" s="293" t="s">
        <v>288</v>
      </c>
      <c r="C15" s="293"/>
      <c r="D15" s="293"/>
      <c r="E15" s="407" t="s">
        <v>289</v>
      </c>
      <c r="F15" s="293"/>
      <c r="G15" s="293"/>
      <c r="H15" s="293"/>
      <c r="I15" s="293"/>
      <c r="J15" s="293"/>
      <c r="K15" s="293"/>
      <c r="L15" s="293"/>
      <c r="M15" s="293"/>
      <c r="N15" s="293"/>
      <c r="O15" s="293"/>
      <c r="P15" s="293"/>
      <c r="Q15" s="293"/>
      <c r="R15" s="293"/>
      <c r="S15" s="293"/>
      <c r="T15" s="113"/>
    </row>
    <row r="16" spans="1:20" x14ac:dyDescent="0.25">
      <c r="B16" s="293"/>
      <c r="C16" s="293"/>
      <c r="D16" s="293"/>
      <c r="E16" s="293"/>
      <c r="F16" s="293"/>
      <c r="G16" s="293"/>
      <c r="H16" s="293"/>
      <c r="I16" s="293"/>
      <c r="J16" s="293"/>
      <c r="K16" s="293"/>
      <c r="L16" s="293"/>
      <c r="M16" s="293"/>
      <c r="N16" s="293"/>
      <c r="O16" s="293"/>
      <c r="P16" s="293"/>
      <c r="Q16" s="293"/>
      <c r="R16" s="293"/>
      <c r="S16" s="293"/>
      <c r="T16" s="113"/>
    </row>
    <row r="17" spans="1:20" x14ac:dyDescent="0.25">
      <c r="A17" s="403" t="s">
        <v>282</v>
      </c>
      <c r="B17" s="404">
        <f>'EU-Reference CO2 emissions'!F1</f>
        <v>2000</v>
      </c>
      <c r="C17" s="404">
        <f>'EU-Reference CO2 emissions'!G1</f>
        <v>2005</v>
      </c>
      <c r="D17" s="404">
        <f>'EU-Reference CO2 emissions'!H1</f>
        <v>2010</v>
      </c>
      <c r="E17" s="404">
        <f>'EU-Reference CO2 emissions'!I1</f>
        <v>2011</v>
      </c>
      <c r="F17" s="404">
        <f>'EU-Reference CO2 emissions'!J1</f>
        <v>2015</v>
      </c>
      <c r="G17" s="404">
        <f>'EU-Reference CO2 emissions'!K1</f>
        <v>2020</v>
      </c>
      <c r="H17" s="404">
        <f>'EU-Reference CO2 emissions'!L1</f>
        <v>2025</v>
      </c>
      <c r="I17" s="404">
        <f>'EU-Reference CO2 emissions'!M1</f>
        <v>2030</v>
      </c>
      <c r="J17" s="404">
        <f>'EU-Reference CO2 emissions'!N1</f>
        <v>2035</v>
      </c>
      <c r="K17" s="404">
        <f>'EU-Reference CO2 emissions'!O1</f>
        <v>2040</v>
      </c>
      <c r="L17" s="404">
        <f>'EU-Reference CO2 emissions'!P1</f>
        <v>2045</v>
      </c>
      <c r="M17" s="404">
        <f>'EU-Reference CO2 emissions'!Q1</f>
        <v>2050</v>
      </c>
      <c r="N17" s="293"/>
      <c r="O17" s="293"/>
      <c r="P17" s="293"/>
      <c r="Q17" s="293"/>
      <c r="R17" s="293"/>
      <c r="S17" s="293"/>
      <c r="T17" s="113"/>
    </row>
    <row r="18" spans="1:20" x14ac:dyDescent="0.25">
      <c r="A18" s="389" t="str">
        <f>'EU-Reference CO2 emissions'!B2</f>
        <v>DEU</v>
      </c>
      <c r="B18" s="293">
        <f>'EU-Reference CO2 emissions'!F2</f>
        <v>488.91820002711898</v>
      </c>
      <c r="C18" s="293">
        <f>'EU-Reference CO2 emissions'!G2</f>
        <v>486.48388875822275</v>
      </c>
      <c r="D18" s="293">
        <f>'EU-Reference CO2 emissions'!H2</f>
        <v>463.3738824095135</v>
      </c>
      <c r="E18" s="293">
        <f>'EU-Reference CO2 emissions'!I2</f>
        <v>461.55702699358528</v>
      </c>
      <c r="F18" s="293">
        <f>'EU-Reference CO2 emissions'!J2</f>
        <v>456.10646074580069</v>
      </c>
      <c r="G18" s="293">
        <f>'EU-Reference CO2 emissions'!K2</f>
        <v>442.26652391554785</v>
      </c>
      <c r="H18" s="293">
        <f>'EU-Reference CO2 emissions'!L2</f>
        <v>436.90256087013887</v>
      </c>
      <c r="I18" s="293">
        <f>'EU-Reference CO2 emissions'!M2</f>
        <v>385.42383338251597</v>
      </c>
      <c r="J18" s="293">
        <f>'EU-Reference CO2 emissions'!N2</f>
        <v>330.99252730216068</v>
      </c>
      <c r="K18" s="293">
        <f>'EU-Reference CO2 emissions'!O2</f>
        <v>293.45762788285134</v>
      </c>
      <c r="L18" s="293">
        <f>'EU-Reference CO2 emissions'!P2</f>
        <v>244.19368533092873</v>
      </c>
      <c r="M18" s="293">
        <f>'EU-Reference CO2 emissions'!Q2</f>
        <v>184.81828439634086</v>
      </c>
      <c r="N18" s="293"/>
      <c r="O18" s="293"/>
      <c r="P18" s="293"/>
      <c r="Q18" s="293"/>
      <c r="R18" s="293"/>
      <c r="S18" s="293"/>
      <c r="T18" s="113"/>
    </row>
    <row r="19" spans="1:20" x14ac:dyDescent="0.25">
      <c r="A19" s="389" t="str">
        <f>'EU-Reference CO2 emissions'!B3</f>
        <v>FRA</v>
      </c>
      <c r="B19" s="293">
        <f>'EU-Reference CO2 emissions'!F3</f>
        <v>141.13842754867071</v>
      </c>
      <c r="C19" s="293">
        <f>'EU-Reference CO2 emissions'!G3</f>
        <v>136.96329688088758</v>
      </c>
      <c r="D19" s="293">
        <f>'EU-Reference CO2 emissions'!H3</f>
        <v>117.23985890726397</v>
      </c>
      <c r="E19" s="293">
        <f>'EU-Reference CO2 emissions'!I3</f>
        <v>112.97337786499926</v>
      </c>
      <c r="F19" s="293">
        <f>'EU-Reference CO2 emissions'!J3</f>
        <v>100.17393473820515</v>
      </c>
      <c r="G19" s="293">
        <f>'EU-Reference CO2 emissions'!K3</f>
        <v>91.301972850770056</v>
      </c>
      <c r="H19" s="293">
        <f>'EU-Reference CO2 emissions'!L3</f>
        <v>77.068893485345214</v>
      </c>
      <c r="I19" s="293">
        <f>'EU-Reference CO2 emissions'!M3</f>
        <v>65.700797635235389</v>
      </c>
      <c r="J19" s="293">
        <f>'EU-Reference CO2 emissions'!N3</f>
        <v>57.337228996633826</v>
      </c>
      <c r="K19" s="293">
        <f>'EU-Reference CO2 emissions'!O3</f>
        <v>64.269632779331118</v>
      </c>
      <c r="L19" s="293">
        <f>'EU-Reference CO2 emissions'!P3</f>
        <v>61.112213244801865</v>
      </c>
      <c r="M19" s="293">
        <f>'EU-Reference CO2 emissions'!Q3</f>
        <v>53.267947733264918</v>
      </c>
      <c r="N19" s="293"/>
      <c r="O19" s="293"/>
      <c r="P19" s="293"/>
      <c r="Q19" s="293"/>
      <c r="R19" s="293"/>
      <c r="S19" s="293"/>
      <c r="T19" s="113"/>
    </row>
    <row r="20" spans="1:20" x14ac:dyDescent="0.25">
      <c r="A20" s="389" t="str">
        <f>'EU-Reference CO2 emissions'!B4</f>
        <v>ITA</v>
      </c>
      <c r="B20" s="293">
        <f>'EU-Reference CO2 emissions'!F4</f>
        <v>231.04274234766692</v>
      </c>
      <c r="C20" s="293">
        <f>'EU-Reference CO2 emissions'!G4</f>
        <v>249.39983412189059</v>
      </c>
      <c r="D20" s="293">
        <f>'EU-Reference CO2 emissions'!H4</f>
        <v>201.76059488578264</v>
      </c>
      <c r="E20" s="293">
        <f>'EU-Reference CO2 emissions'!I4</f>
        <v>192.12914418519935</v>
      </c>
      <c r="F20" s="293">
        <f>'EU-Reference CO2 emissions'!J4</f>
        <v>163.23479208344949</v>
      </c>
      <c r="G20" s="293">
        <f>'EU-Reference CO2 emissions'!K4</f>
        <v>177.64551991098381</v>
      </c>
      <c r="H20" s="293">
        <f>'EU-Reference CO2 emissions'!L4</f>
        <v>147.38037425215498</v>
      </c>
      <c r="I20" s="293">
        <f>'EU-Reference CO2 emissions'!M4</f>
        <v>134.23745668021002</v>
      </c>
      <c r="J20" s="293">
        <f>'EU-Reference CO2 emissions'!N4</f>
        <v>123.8991766666489</v>
      </c>
      <c r="K20" s="293">
        <f>'EU-Reference CO2 emissions'!O4</f>
        <v>105.97027368886343</v>
      </c>
      <c r="L20" s="293">
        <f>'EU-Reference CO2 emissions'!P4</f>
        <v>96.108630127694383</v>
      </c>
      <c r="M20" s="293">
        <f>'EU-Reference CO2 emissions'!Q4</f>
        <v>85.66121394731438</v>
      </c>
      <c r="N20" s="293"/>
      <c r="O20" s="293"/>
      <c r="P20" s="293"/>
      <c r="Q20" s="293"/>
      <c r="R20" s="293"/>
      <c r="S20" s="293"/>
      <c r="T20" s="113"/>
    </row>
    <row r="21" spans="1:20" x14ac:dyDescent="0.25">
      <c r="A21" s="389" t="str">
        <f>'EU-Reference CO2 emissions'!B5</f>
        <v>POL</v>
      </c>
      <c r="B21" s="293">
        <f>'EU-Reference CO2 emissions'!F5</f>
        <v>229.4952579912586</v>
      </c>
      <c r="C21" s="293">
        <f>'EU-Reference CO2 emissions'!G5</f>
        <v>215.53817687929265</v>
      </c>
      <c r="D21" s="293">
        <f>'EU-Reference CO2 emissions'!H5</f>
        <v>204.5287738595392</v>
      </c>
      <c r="E21" s="293">
        <f>'EU-Reference CO2 emissions'!I5</f>
        <v>204.01104643828651</v>
      </c>
      <c r="F21" s="293">
        <f>'EU-Reference CO2 emissions'!J5</f>
        <v>202.45786417452842</v>
      </c>
      <c r="G21" s="293">
        <f>'EU-Reference CO2 emissions'!K5</f>
        <v>198.98712532892287</v>
      </c>
      <c r="H21" s="293">
        <f>'EU-Reference CO2 emissions'!L5</f>
        <v>192.13271378107578</v>
      </c>
      <c r="I21" s="293">
        <f>'EU-Reference CO2 emissions'!M5</f>
        <v>186.06482399965626</v>
      </c>
      <c r="J21" s="293">
        <f>'EU-Reference CO2 emissions'!N5</f>
        <v>154.67691898992777</v>
      </c>
      <c r="K21" s="293">
        <f>'EU-Reference CO2 emissions'!O5</f>
        <v>126.1203725400871</v>
      </c>
      <c r="L21" s="293">
        <f>'EU-Reference CO2 emissions'!P5</f>
        <v>87.795183452855369</v>
      </c>
      <c r="M21" s="293">
        <f>'EU-Reference CO2 emissions'!Q5</f>
        <v>60.499510118646064</v>
      </c>
      <c r="N21" s="293"/>
      <c r="O21" s="293"/>
      <c r="P21" s="293"/>
      <c r="Q21" s="293"/>
      <c r="R21" s="293"/>
      <c r="S21" s="293"/>
      <c r="T21" s="113"/>
    </row>
    <row r="22" spans="1:20" x14ac:dyDescent="0.25">
      <c r="A22" s="389" t="str">
        <f>'EU-Reference CO2 emissions'!B6</f>
        <v>UKI</v>
      </c>
      <c r="B22" s="293">
        <f>'EU-Reference CO2 emissions'!F6</f>
        <v>302.92928030144441</v>
      </c>
      <c r="C22" s="293">
        <f>'EU-Reference CO2 emissions'!G6</f>
        <v>302.28670923173541</v>
      </c>
      <c r="D22" s="293">
        <f>'EU-Reference CO2 emissions'!H6</f>
        <v>259.7938832438482</v>
      </c>
      <c r="E22" s="293">
        <f>'EU-Reference CO2 emissions'!I6</f>
        <v>251.32691667462282</v>
      </c>
      <c r="F22" s="293">
        <f>'EU-Reference CO2 emissions'!J6</f>
        <v>225.92601696694666</v>
      </c>
      <c r="G22" s="293">
        <f>'EU-Reference CO2 emissions'!K6</f>
        <v>140.93158805526608</v>
      </c>
      <c r="H22" s="293">
        <f>'EU-Reference CO2 emissions'!L6</f>
        <v>120.0296978724646</v>
      </c>
      <c r="I22" s="293">
        <f>'EU-Reference CO2 emissions'!M6</f>
        <v>89.136345927282179</v>
      </c>
      <c r="J22" s="293">
        <f>'EU-Reference CO2 emissions'!N6</f>
        <v>81.952968319659306</v>
      </c>
      <c r="K22" s="293">
        <f>'EU-Reference CO2 emissions'!O6</f>
        <v>81.620791217275084</v>
      </c>
      <c r="L22" s="293">
        <f>'EU-Reference CO2 emissions'!P6</f>
        <v>79.792754289135075</v>
      </c>
      <c r="M22" s="293">
        <f>'EU-Reference CO2 emissions'!Q6</f>
        <v>67.640936345091021</v>
      </c>
      <c r="N22" s="293"/>
      <c r="O22" s="293"/>
      <c r="P22" s="293"/>
      <c r="Q22" s="293"/>
      <c r="R22" s="293"/>
      <c r="S22" s="293"/>
      <c r="T22" s="113"/>
    </row>
    <row r="23" spans="1:20" x14ac:dyDescent="0.25">
      <c r="A23" s="389" t="str">
        <f>'EU-Reference CO2 emissions'!B7</f>
        <v>ESP</v>
      </c>
      <c r="B23" s="293">
        <f>'EU-Reference CO2 emissions'!F7</f>
        <v>198.32630353778518</v>
      </c>
      <c r="C23" s="293">
        <f>'EU-Reference CO2 emissions'!G7</f>
        <v>226.66907263973206</v>
      </c>
      <c r="D23" s="293">
        <f>'EU-Reference CO2 emissions'!H7</f>
        <v>152.51948586979279</v>
      </c>
      <c r="E23" s="293">
        <f>'EU-Reference CO2 emissions'!I7</f>
        <v>155.35220414925755</v>
      </c>
      <c r="F23" s="293">
        <f>'EU-Reference CO2 emissions'!J7</f>
        <v>163.85035898765187</v>
      </c>
      <c r="G23" s="293">
        <f>'EU-Reference CO2 emissions'!K7</f>
        <v>148.95612605323024</v>
      </c>
      <c r="H23" s="293">
        <f>'EU-Reference CO2 emissions'!L7</f>
        <v>121.72461944432661</v>
      </c>
      <c r="I23" s="293">
        <f>'EU-Reference CO2 emissions'!M7</f>
        <v>90.727591186146626</v>
      </c>
      <c r="J23" s="293">
        <f>'EU-Reference CO2 emissions'!N7</f>
        <v>74.676957278128839</v>
      </c>
      <c r="K23" s="293">
        <f>'EU-Reference CO2 emissions'!O7</f>
        <v>70.552182051491826</v>
      </c>
      <c r="L23" s="293">
        <f>'EU-Reference CO2 emissions'!P7</f>
        <v>66.402900768181041</v>
      </c>
      <c r="M23" s="293">
        <f>'EU-Reference CO2 emissions'!Q7</f>
        <v>57.095036556541679</v>
      </c>
      <c r="N23" s="293"/>
      <c r="O23" s="293"/>
      <c r="P23" s="293"/>
      <c r="Q23" s="293"/>
      <c r="R23" s="293"/>
      <c r="S23" s="293"/>
      <c r="T23" s="113"/>
    </row>
    <row r="24" spans="1:20" x14ac:dyDescent="0.25">
      <c r="A24" s="389" t="str">
        <f>'EU-Reference CO2 emissions'!B8</f>
        <v>BNL</v>
      </c>
      <c r="B24" s="293">
        <f>'EU-Reference CO2 emissions'!F8</f>
        <v>155.55010813336861</v>
      </c>
      <c r="C24" s="293">
        <f>'EU-Reference CO2 emissions'!G8</f>
        <v>149.84843036550777</v>
      </c>
      <c r="D24" s="293">
        <f>'EU-Reference CO2 emissions'!H8</f>
        <v>137.98585137115342</v>
      </c>
      <c r="E24" s="293">
        <f>'EU-Reference CO2 emissions'!I8</f>
        <v>136.75403488387275</v>
      </c>
      <c r="F24" s="293">
        <f>'EU-Reference CO2 emissions'!J8</f>
        <v>133.05858542203069</v>
      </c>
      <c r="G24" s="293">
        <f>'EU-Reference CO2 emissions'!K8</f>
        <v>113.87490893708164</v>
      </c>
      <c r="H24" s="293">
        <f>'EU-Reference CO2 emissions'!L8</f>
        <v>118.97463329386686</v>
      </c>
      <c r="I24" s="293">
        <f>'EU-Reference CO2 emissions'!M8</f>
        <v>105.34555806192131</v>
      </c>
      <c r="J24" s="293">
        <f>'EU-Reference CO2 emissions'!N8</f>
        <v>98.704328823158207</v>
      </c>
      <c r="K24" s="293">
        <f>'EU-Reference CO2 emissions'!O8</f>
        <v>95.13095680614245</v>
      </c>
      <c r="L24" s="293">
        <f>'EU-Reference CO2 emissions'!P8</f>
        <v>91.294512807131028</v>
      </c>
      <c r="M24" s="293">
        <f>'EU-Reference CO2 emissions'!Q8</f>
        <v>85.265954382368307</v>
      </c>
      <c r="N24" s="293"/>
      <c r="O24" s="293"/>
      <c r="P24" s="293"/>
      <c r="Q24" s="293"/>
      <c r="R24" s="293"/>
      <c r="S24" s="293"/>
      <c r="T24" s="113"/>
    </row>
    <row r="25" spans="1:20" x14ac:dyDescent="0.25">
      <c r="A25" s="389" t="str">
        <f>'EU-Reference CO2 emissions'!B9</f>
        <v>EUN</v>
      </c>
      <c r="B25" s="293">
        <f>'EU-Reference CO2 emissions'!F9</f>
        <v>135.57712109881277</v>
      </c>
      <c r="C25" s="293">
        <f>'EU-Reference CO2 emissions'!G9</f>
        <v>132.88834639973263</v>
      </c>
      <c r="D25" s="293">
        <f>'EU-Reference CO2 emissions'!H9</f>
        <v>135.41107208426203</v>
      </c>
      <c r="E25" s="293">
        <f>'EU-Reference CO2 emissions'!I9</f>
        <v>125.89438431958624</v>
      </c>
      <c r="F25" s="293">
        <f>'EU-Reference CO2 emissions'!J9</f>
        <v>97.344321025558855</v>
      </c>
      <c r="G25" s="293">
        <f>'EU-Reference CO2 emissions'!K9</f>
        <v>94.161967902106838</v>
      </c>
      <c r="H25" s="293">
        <f>'EU-Reference CO2 emissions'!L9</f>
        <v>90.26616760959007</v>
      </c>
      <c r="I25" s="293">
        <f>'EU-Reference CO2 emissions'!M9</f>
        <v>76.857697251065758</v>
      </c>
      <c r="J25" s="293">
        <f>'EU-Reference CO2 emissions'!N9</f>
        <v>66.721407884727043</v>
      </c>
      <c r="K25" s="293">
        <f>'EU-Reference CO2 emissions'!O9</f>
        <v>52.73097369982235</v>
      </c>
      <c r="L25" s="293">
        <f>'EU-Reference CO2 emissions'!P9</f>
        <v>43.535689925767798</v>
      </c>
      <c r="M25" s="293">
        <f>'EU-Reference CO2 emissions'!Q9</f>
        <v>39.97694195834567</v>
      </c>
      <c r="N25" s="293"/>
      <c r="O25" s="293"/>
      <c r="P25" s="293"/>
      <c r="Q25" s="293"/>
      <c r="R25" s="293"/>
      <c r="S25" s="293"/>
      <c r="T25" s="113"/>
    </row>
    <row r="26" spans="1:20" x14ac:dyDescent="0.25">
      <c r="A26" s="389" t="str">
        <f>'EU-Reference CO2 emissions'!B10</f>
        <v>EUS</v>
      </c>
      <c r="B26" s="293">
        <f>'EU-Reference CO2 emissions'!F10</f>
        <v>381.60163704440595</v>
      </c>
      <c r="C26" s="293">
        <f>'EU-Reference CO2 emissions'!G10</f>
        <v>391.47034745315034</v>
      </c>
      <c r="D26" s="293">
        <f>'EU-Reference CO2 emissions'!H10</f>
        <v>338.37814030571838</v>
      </c>
      <c r="E26" s="293">
        <f>'EU-Reference CO2 emissions'!I10</f>
        <v>326.26551758267283</v>
      </c>
      <c r="F26" s="293">
        <f>'EU-Reference CO2 emissions'!J10</f>
        <v>289.92764941353619</v>
      </c>
      <c r="G26" s="293">
        <f>'EU-Reference CO2 emissions'!K10</f>
        <v>284.72713528647506</v>
      </c>
      <c r="H26" s="293">
        <f>'EU-Reference CO2 emissions'!L10</f>
        <v>253.4192400212379</v>
      </c>
      <c r="I26" s="293">
        <f>'EU-Reference CO2 emissions'!M10</f>
        <v>219.86942940945659</v>
      </c>
      <c r="J26" s="293">
        <f>'EU-Reference CO2 emissions'!N10</f>
        <v>190.78727869673457</v>
      </c>
      <c r="K26" s="293">
        <f>'EU-Reference CO2 emissions'!O10</f>
        <v>155.39909830378573</v>
      </c>
      <c r="L26" s="293">
        <f>'EU-Reference CO2 emissions'!P10</f>
        <v>126.01543654017749</v>
      </c>
      <c r="M26" s="293">
        <f>'EU-Reference CO2 emissions'!Q10</f>
        <v>103.19249585998952</v>
      </c>
      <c r="N26" s="293"/>
      <c r="O26" s="293"/>
      <c r="P26" s="293"/>
      <c r="Q26" s="293"/>
      <c r="R26" s="293"/>
      <c r="S26" s="293"/>
      <c r="T26" s="113"/>
    </row>
    <row r="27" spans="1:20" x14ac:dyDescent="0.25">
      <c r="A27" s="389" t="str">
        <f>'EU-Reference CO2 emissions'!B11</f>
        <v>EU28</v>
      </c>
      <c r="B27" s="404">
        <f>'EU-Reference CO2 emissions'!F11</f>
        <v>2264.5790780305319</v>
      </c>
      <c r="C27" s="404">
        <f>'EU-Reference CO2 emissions'!G11</f>
        <v>2291.5481027301516</v>
      </c>
      <c r="D27" s="404">
        <f>'EU-Reference CO2 emissions'!H11</f>
        <v>2010.9915429368743</v>
      </c>
      <c r="E27" s="404">
        <f>'EU-Reference CO2 emissions'!I11</f>
        <v>1966.2636530920827</v>
      </c>
      <c r="F27" s="404">
        <f>'EU-Reference CO2 emissions'!J11</f>
        <v>1832.0799835577081</v>
      </c>
      <c r="G27" s="404">
        <f>'EU-Reference CO2 emissions'!K11</f>
        <v>1692.8528682403846</v>
      </c>
      <c r="H27" s="404">
        <f>'EU-Reference CO2 emissions'!L11</f>
        <v>1557.8989006302008</v>
      </c>
      <c r="I27" s="404">
        <f>'EU-Reference CO2 emissions'!M11</f>
        <v>1353.36353353349</v>
      </c>
      <c r="J27" s="404">
        <f>'EU-Reference CO2 emissions'!N11</f>
        <v>1179.7487929577792</v>
      </c>
      <c r="K27" s="404">
        <f>'EU-Reference CO2 emissions'!O11</f>
        <v>1045.2519089696505</v>
      </c>
      <c r="L27" s="404">
        <f>'EU-Reference CO2 emissions'!P11</f>
        <v>896.25100648667274</v>
      </c>
      <c r="M27" s="404">
        <f>'EU-Reference CO2 emissions'!Q11</f>
        <v>737.41832129790248</v>
      </c>
      <c r="N27" s="293"/>
      <c r="O27" s="293">
        <f>M27/D27</f>
        <v>0.36669389480423603</v>
      </c>
      <c r="P27" s="293">
        <f>M27/E27</f>
        <v>0.37503532150343227</v>
      </c>
      <c r="Q27" s="293"/>
      <c r="R27" s="293"/>
      <c r="S27" s="293"/>
      <c r="T27" s="113"/>
    </row>
    <row r="28" spans="1:20" x14ac:dyDescent="0.25">
      <c r="B28" s="293"/>
      <c r="C28" s="293"/>
      <c r="D28" s="293"/>
      <c r="E28" s="293"/>
      <c r="F28" s="293"/>
      <c r="G28" s="293"/>
      <c r="H28" s="293"/>
      <c r="I28" s="293"/>
      <c r="J28" s="293"/>
      <c r="K28" s="293"/>
      <c r="L28" s="293"/>
      <c r="M28" s="293"/>
      <c r="N28" s="293"/>
      <c r="O28" s="293"/>
      <c r="P28" s="293"/>
      <c r="Q28" s="293"/>
      <c r="R28" s="293"/>
      <c r="S28" s="293"/>
      <c r="T28" s="113"/>
    </row>
    <row r="29" spans="1:20" x14ac:dyDescent="0.25">
      <c r="A29" s="403" t="s">
        <v>283</v>
      </c>
      <c r="B29" s="293">
        <f>'EU-Reference CO2 emissions'!F14</f>
        <v>2000</v>
      </c>
      <c r="C29" s="293">
        <f>'EU-Reference CO2 emissions'!G14</f>
        <v>2005</v>
      </c>
      <c r="D29" s="293">
        <f>'EU-Reference CO2 emissions'!H14</f>
        <v>2010</v>
      </c>
      <c r="E29" s="293">
        <f>'EU-Reference CO2 emissions'!I14</f>
        <v>2011</v>
      </c>
      <c r="F29" s="293">
        <f>'EU-Reference CO2 emissions'!J14</f>
        <v>2015</v>
      </c>
      <c r="G29" s="293">
        <f>'EU-Reference CO2 emissions'!K14</f>
        <v>2020</v>
      </c>
      <c r="H29" s="293">
        <f>'EU-Reference CO2 emissions'!L14</f>
        <v>2025</v>
      </c>
      <c r="I29" s="293">
        <f>'EU-Reference CO2 emissions'!M14</f>
        <v>2030</v>
      </c>
      <c r="J29" s="293">
        <f>'EU-Reference CO2 emissions'!N14</f>
        <v>2035</v>
      </c>
      <c r="K29" s="293">
        <f>'EU-Reference CO2 emissions'!O14</f>
        <v>2040</v>
      </c>
      <c r="L29" s="293">
        <f>'EU-Reference CO2 emissions'!P14</f>
        <v>2045</v>
      </c>
      <c r="M29" s="293">
        <f>'EU-Reference CO2 emissions'!Q14</f>
        <v>2050</v>
      </c>
      <c r="N29" s="293"/>
      <c r="O29" s="293"/>
      <c r="P29" s="293"/>
      <c r="Q29" s="293"/>
      <c r="R29" s="293"/>
      <c r="S29" s="293"/>
      <c r="T29" s="113"/>
    </row>
    <row r="30" spans="1:20" x14ac:dyDescent="0.25">
      <c r="A30" s="393" t="str">
        <f>'EU-Reference CO2 emissions'!B15</f>
        <v>DEU</v>
      </c>
      <c r="B30" s="293">
        <f>'EU-Reference CO2 emissions'!F15</f>
        <v>363.19003914032862</v>
      </c>
      <c r="C30" s="293">
        <f>'EU-Reference CO2 emissions'!G15</f>
        <v>338.76372295093802</v>
      </c>
      <c r="D30" s="293">
        <f>'EU-Reference CO2 emissions'!H15</f>
        <v>324.43346484088443</v>
      </c>
      <c r="E30" s="293">
        <f>'EU-Reference CO2 emissions'!I15</f>
        <v>323.71743319316772</v>
      </c>
      <c r="F30" s="293">
        <f>'EU-Reference CO2 emissions'!J15</f>
        <v>321.56933825001761</v>
      </c>
      <c r="G30" s="293">
        <f>'EU-Reference CO2 emissions'!K15</f>
        <v>291.81302058724117</v>
      </c>
      <c r="H30" s="293">
        <f>'EU-Reference CO2 emissions'!L15</f>
        <v>277.33697705242082</v>
      </c>
      <c r="I30" s="293">
        <f>'EU-Reference CO2 emissions'!M15</f>
        <v>258.52298763065187</v>
      </c>
      <c r="J30" s="293">
        <f>'EU-Reference CO2 emissions'!N15</f>
        <v>248.94943523932304</v>
      </c>
      <c r="K30" s="293">
        <f>'EU-Reference CO2 emissions'!O15</f>
        <v>242.51923157589843</v>
      </c>
      <c r="L30" s="293">
        <f>'EU-Reference CO2 emissions'!P15</f>
        <v>238.45863766196038</v>
      </c>
      <c r="M30" s="293">
        <f>'EU-Reference CO2 emissions'!Q15</f>
        <v>234.01511787280947</v>
      </c>
      <c r="N30" s="293"/>
      <c r="O30" s="293"/>
      <c r="P30" s="293"/>
      <c r="Q30" s="293"/>
      <c r="R30" s="293"/>
      <c r="S30" s="293"/>
      <c r="T30" s="113"/>
    </row>
    <row r="31" spans="1:20" x14ac:dyDescent="0.25">
      <c r="A31" s="393" t="str">
        <f>'EU-Reference CO2 emissions'!B16</f>
        <v>FRA</v>
      </c>
      <c r="B31" s="293">
        <f>'EU-Reference CO2 emissions'!F16</f>
        <v>247.12609809914568</v>
      </c>
      <c r="C31" s="293">
        <f>'EU-Reference CO2 emissions'!G16</f>
        <v>257.3978702205535</v>
      </c>
      <c r="D31" s="293">
        <f>'EU-Reference CO2 emissions'!H16</f>
        <v>242.710331607916</v>
      </c>
      <c r="E31" s="293">
        <f>'EU-Reference CO2 emissions'!I16</f>
        <v>240.10913845947755</v>
      </c>
      <c r="F31" s="293">
        <f>'EU-Reference CO2 emissions'!J16</f>
        <v>232.30555901416224</v>
      </c>
      <c r="G31" s="293">
        <f>'EU-Reference CO2 emissions'!K16</f>
        <v>216.5503612489652</v>
      </c>
      <c r="H31" s="293">
        <f>'EU-Reference CO2 emissions'!L16</f>
        <v>211.09389348443452</v>
      </c>
      <c r="I31" s="293">
        <f>'EU-Reference CO2 emissions'!M16</f>
        <v>204.73806194798652</v>
      </c>
      <c r="J31" s="293">
        <f>'EU-Reference CO2 emissions'!N16</f>
        <v>200.56874086076598</v>
      </c>
      <c r="K31" s="293">
        <f>'EU-Reference CO2 emissions'!O16</f>
        <v>197.98236394644758</v>
      </c>
      <c r="L31" s="293">
        <f>'EU-Reference CO2 emissions'!P16</f>
        <v>194.58095490915605</v>
      </c>
      <c r="M31" s="293">
        <f>'EU-Reference CO2 emissions'!Q16</f>
        <v>191.69480903744017</v>
      </c>
      <c r="N31" s="293"/>
      <c r="O31" s="293"/>
      <c r="P31" s="293"/>
      <c r="Q31" s="293"/>
      <c r="R31" s="293"/>
      <c r="S31" s="293"/>
      <c r="T31" s="113"/>
    </row>
    <row r="32" spans="1:20" x14ac:dyDescent="0.25">
      <c r="A32" s="393" t="str">
        <f>'EU-Reference CO2 emissions'!B17</f>
        <v>ITA</v>
      </c>
      <c r="B32" s="293">
        <f>'EU-Reference CO2 emissions'!F17</f>
        <v>201.4952260902611</v>
      </c>
      <c r="C32" s="293">
        <f>'EU-Reference CO2 emissions'!G17</f>
        <v>221.02037806096394</v>
      </c>
      <c r="D32" s="293">
        <f>'EU-Reference CO2 emissions'!H17</f>
        <v>202.42680042950434</v>
      </c>
      <c r="E32" s="293">
        <f>'EU-Reference CO2 emissions'!I17</f>
        <v>199.68372640707375</v>
      </c>
      <c r="F32" s="293">
        <f>'EU-Reference CO2 emissions'!J17</f>
        <v>191.45450433978198</v>
      </c>
      <c r="G32" s="293">
        <f>'EU-Reference CO2 emissions'!K17</f>
        <v>184.03006815259602</v>
      </c>
      <c r="H32" s="293">
        <f>'EU-Reference CO2 emissions'!L17</f>
        <v>178.75731984596223</v>
      </c>
      <c r="I32" s="293">
        <f>'EU-Reference CO2 emissions'!M17</f>
        <v>174.3832662181799</v>
      </c>
      <c r="J32" s="293">
        <f>'EU-Reference CO2 emissions'!N17</f>
        <v>168.82750965995933</v>
      </c>
      <c r="K32" s="293">
        <f>'EU-Reference CO2 emissions'!O17</f>
        <v>164.82280860212074</v>
      </c>
      <c r="L32" s="293">
        <f>'EU-Reference CO2 emissions'!P17</f>
        <v>164.91098170014058</v>
      </c>
      <c r="M32" s="293">
        <f>'EU-Reference CO2 emissions'!Q17</f>
        <v>162.22883503980341</v>
      </c>
      <c r="N32" s="293"/>
      <c r="O32" s="293"/>
      <c r="P32" s="293"/>
      <c r="Q32" s="293"/>
      <c r="R32" s="293"/>
      <c r="S32" s="293"/>
      <c r="T32" s="113"/>
    </row>
    <row r="33" spans="1:20" x14ac:dyDescent="0.25">
      <c r="A33" s="393" t="str">
        <f>'EU-Reference CO2 emissions'!B18</f>
        <v>POL</v>
      </c>
      <c r="B33" s="293">
        <f>'EU-Reference CO2 emissions'!F18</f>
        <v>73.78726096449077</v>
      </c>
      <c r="C33" s="293">
        <f>'EU-Reference CO2 emissions'!G18</f>
        <v>92.002429139983789</v>
      </c>
      <c r="D33" s="293">
        <f>'EU-Reference CO2 emissions'!H18</f>
        <v>116.16039670755603</v>
      </c>
      <c r="E33" s="293">
        <f>'EU-Reference CO2 emissions'!I18</f>
        <v>114.44868950053666</v>
      </c>
      <c r="F33" s="293">
        <f>'EU-Reference CO2 emissions'!J18</f>
        <v>109.31356787947854</v>
      </c>
      <c r="G33" s="293">
        <f>'EU-Reference CO2 emissions'!K18</f>
        <v>107.45875730727505</v>
      </c>
      <c r="H33" s="293">
        <f>'EU-Reference CO2 emissions'!L18</f>
        <v>104.16420820186524</v>
      </c>
      <c r="I33" s="293">
        <f>'EU-Reference CO2 emissions'!M18</f>
        <v>101.14292826288637</v>
      </c>
      <c r="J33" s="293">
        <f>'EU-Reference CO2 emissions'!N18</f>
        <v>98.298734217044526</v>
      </c>
      <c r="K33" s="293">
        <f>'EU-Reference CO2 emissions'!O18</f>
        <v>96.256080409029778</v>
      </c>
      <c r="L33" s="293">
        <f>'EU-Reference CO2 emissions'!P18</f>
        <v>95.567978209267068</v>
      </c>
      <c r="M33" s="293">
        <f>'EU-Reference CO2 emissions'!Q18</f>
        <v>94.687728655357887</v>
      </c>
      <c r="N33" s="293"/>
      <c r="O33" s="293"/>
      <c r="P33" s="293"/>
      <c r="Q33" s="293"/>
      <c r="R33" s="293"/>
      <c r="S33" s="293"/>
      <c r="T33" s="113"/>
    </row>
    <row r="34" spans="1:20" x14ac:dyDescent="0.25">
      <c r="A34" s="393" t="str">
        <f>'EU-Reference CO2 emissions'!B19</f>
        <v>UKI</v>
      </c>
      <c r="B34" s="293">
        <f>'EU-Reference CO2 emissions'!F19</f>
        <v>265.23051901144999</v>
      </c>
      <c r="C34" s="293">
        <f>'EU-Reference CO2 emissions'!G19</f>
        <v>271.14517170392389</v>
      </c>
      <c r="D34" s="293">
        <f>'EU-Reference CO2 emissions'!H19</f>
        <v>258.48590870909436</v>
      </c>
      <c r="E34" s="293">
        <f>'EU-Reference CO2 emissions'!I19</f>
        <v>256.78831537450947</v>
      </c>
      <c r="F34" s="293">
        <f>'EU-Reference CO2 emissions'!J19</f>
        <v>251.69553537075475</v>
      </c>
      <c r="G34" s="293">
        <f>'EU-Reference CO2 emissions'!K19</f>
        <v>232.89003508099472</v>
      </c>
      <c r="H34" s="293">
        <f>'EU-Reference CO2 emissions'!L19</f>
        <v>225.44819876049121</v>
      </c>
      <c r="I34" s="293">
        <f>'EU-Reference CO2 emissions'!M19</f>
        <v>216.05466175888182</v>
      </c>
      <c r="J34" s="293">
        <f>'EU-Reference CO2 emissions'!N19</f>
        <v>213.29293658467873</v>
      </c>
      <c r="K34" s="293">
        <f>'EU-Reference CO2 emissions'!O19</f>
        <v>212.05756472541069</v>
      </c>
      <c r="L34" s="293">
        <f>'EU-Reference CO2 emissions'!P19</f>
        <v>212.10523368743128</v>
      </c>
      <c r="M34" s="293">
        <f>'EU-Reference CO2 emissions'!Q19</f>
        <v>213.8231003643599</v>
      </c>
      <c r="N34" s="293"/>
      <c r="O34" s="293"/>
      <c r="P34" s="293"/>
      <c r="Q34" s="293"/>
      <c r="R34" s="293"/>
      <c r="S34" s="293"/>
      <c r="T34" s="113"/>
    </row>
    <row r="35" spans="1:20" x14ac:dyDescent="0.25">
      <c r="A35" s="393" t="str">
        <f>'EU-Reference CO2 emissions'!B20</f>
        <v>ESP</v>
      </c>
      <c r="B35" s="293">
        <f>'EU-Reference CO2 emissions'!F20</f>
        <v>154.24678052993687</v>
      </c>
      <c r="C35" s="293">
        <f>'EU-Reference CO2 emissions'!G20</f>
        <v>185.18824450849652</v>
      </c>
      <c r="D35" s="293">
        <f>'EU-Reference CO2 emissions'!H20</f>
        <v>169.67442112387275</v>
      </c>
      <c r="E35" s="293">
        <f>'EU-Reference CO2 emissions'!I20</f>
        <v>166.57582704689324</v>
      </c>
      <c r="F35" s="293">
        <f>'EU-Reference CO2 emissions'!J20</f>
        <v>157.28004481595468</v>
      </c>
      <c r="G35" s="293">
        <f>'EU-Reference CO2 emissions'!K20</f>
        <v>147.79980273115621</v>
      </c>
      <c r="H35" s="293">
        <f>'EU-Reference CO2 emissions'!L20</f>
        <v>145.44591166010667</v>
      </c>
      <c r="I35" s="293">
        <f>'EU-Reference CO2 emissions'!M20</f>
        <v>144.6538955952829</v>
      </c>
      <c r="J35" s="293">
        <f>'EU-Reference CO2 emissions'!N20</f>
        <v>146.33958855060979</v>
      </c>
      <c r="K35" s="293">
        <f>'EU-Reference CO2 emissions'!O20</f>
        <v>147.32111836330671</v>
      </c>
      <c r="L35" s="293">
        <f>'EU-Reference CO2 emissions'!P20</f>
        <v>146.55440896854952</v>
      </c>
      <c r="M35" s="293">
        <f>'EU-Reference CO2 emissions'!Q20</f>
        <v>147.33904310565509</v>
      </c>
      <c r="N35" s="293"/>
      <c r="O35" s="293"/>
      <c r="P35" s="293"/>
      <c r="Q35" s="293"/>
      <c r="R35" s="293"/>
      <c r="S35" s="293"/>
      <c r="T35" s="113"/>
    </row>
    <row r="36" spans="1:20" x14ac:dyDescent="0.25">
      <c r="A36" s="393" t="str">
        <f>'EU-Reference CO2 emissions'!B21</f>
        <v>BNL</v>
      </c>
      <c r="B36" s="293">
        <f>'EU-Reference CO2 emissions'!F21</f>
        <v>144.44151059309155</v>
      </c>
      <c r="C36" s="293">
        <f>'EU-Reference CO2 emissions'!G21</f>
        <v>152.62203516501074</v>
      </c>
      <c r="D36" s="293">
        <f>'EU-Reference CO2 emissions'!H21</f>
        <v>155.17806335393158</v>
      </c>
      <c r="E36" s="293">
        <f>'EU-Reference CO2 emissions'!I21</f>
        <v>153.24260608872177</v>
      </c>
      <c r="F36" s="293">
        <f>'EU-Reference CO2 emissions'!J21</f>
        <v>147.43623429309238</v>
      </c>
      <c r="G36" s="293">
        <f>'EU-Reference CO2 emissions'!K21</f>
        <v>137.61174693476903</v>
      </c>
      <c r="H36" s="293">
        <f>'EU-Reference CO2 emissions'!L21</f>
        <v>134.53423869354796</v>
      </c>
      <c r="I36" s="293">
        <f>'EU-Reference CO2 emissions'!M21</f>
        <v>131.61198643751629</v>
      </c>
      <c r="J36" s="293">
        <f>'EU-Reference CO2 emissions'!N21</f>
        <v>131.06652264741936</v>
      </c>
      <c r="K36" s="293">
        <f>'EU-Reference CO2 emissions'!O21</f>
        <v>131.88472362277182</v>
      </c>
      <c r="L36" s="293">
        <f>'EU-Reference CO2 emissions'!P21</f>
        <v>132.57284014723865</v>
      </c>
      <c r="M36" s="293">
        <f>'EU-Reference CO2 emissions'!Q21</f>
        <v>132.95785377740847</v>
      </c>
      <c r="N36" s="293"/>
      <c r="O36" s="293"/>
      <c r="P36" s="293"/>
      <c r="Q36" s="293"/>
      <c r="R36" s="293"/>
      <c r="S36" s="293"/>
      <c r="T36" s="113"/>
    </row>
    <row r="37" spans="1:20" x14ac:dyDescent="0.25">
      <c r="A37" s="393" t="str">
        <f>'EU-Reference CO2 emissions'!B22</f>
        <v>EUN</v>
      </c>
      <c r="B37" s="293">
        <f>'EU-Reference CO2 emissions'!F22</f>
        <v>102.40170507459747</v>
      </c>
      <c r="C37" s="293">
        <f>'EU-Reference CO2 emissions'!G22</f>
        <v>109.92190106765914</v>
      </c>
      <c r="D37" s="293">
        <f>'EU-Reference CO2 emissions'!H22</f>
        <v>106.78858652169323</v>
      </c>
      <c r="E37" s="293">
        <f>'EU-Reference CO2 emissions'!I22</f>
        <v>104.41411817081944</v>
      </c>
      <c r="F37" s="293">
        <f>'EU-Reference CO2 emissions'!J22</f>
        <v>97.290713118198056</v>
      </c>
      <c r="G37" s="293">
        <f>'EU-Reference CO2 emissions'!K22</f>
        <v>92.235627337129472</v>
      </c>
      <c r="H37" s="293">
        <f>'EU-Reference CO2 emissions'!L22</f>
        <v>89.774485280350206</v>
      </c>
      <c r="I37" s="293">
        <f>'EU-Reference CO2 emissions'!M22</f>
        <v>87.140321439872807</v>
      </c>
      <c r="J37" s="293">
        <f>'EU-Reference CO2 emissions'!N22</f>
        <v>86.370966596691005</v>
      </c>
      <c r="K37" s="293">
        <f>'EU-Reference CO2 emissions'!O22</f>
        <v>86.5576882587971</v>
      </c>
      <c r="L37" s="293">
        <f>'EU-Reference CO2 emissions'!P22</f>
        <v>86.912964148540354</v>
      </c>
      <c r="M37" s="293">
        <f>'EU-Reference CO2 emissions'!Q22</f>
        <v>87.495533159798512</v>
      </c>
      <c r="N37" s="293"/>
      <c r="O37" s="293"/>
      <c r="P37" s="293"/>
      <c r="Q37" s="293"/>
      <c r="R37" s="293"/>
      <c r="S37" s="293"/>
      <c r="T37" s="113"/>
    </row>
    <row r="38" spans="1:20" x14ac:dyDescent="0.25">
      <c r="A38" s="393" t="str">
        <f>'EU-Reference CO2 emissions'!B23</f>
        <v>EUS</v>
      </c>
      <c r="B38" s="293">
        <f>'EU-Reference CO2 emissions'!F23</f>
        <v>175.65299071192658</v>
      </c>
      <c r="C38" s="293">
        <f>'EU-Reference CO2 emissions'!G23</f>
        <v>207.52385890951729</v>
      </c>
      <c r="D38" s="293">
        <f>'EU-Reference CO2 emissions'!H23</f>
        <v>195.48132352457904</v>
      </c>
      <c r="E38" s="293">
        <f>'EU-Reference CO2 emissions'!I23</f>
        <v>192.52293065699499</v>
      </c>
      <c r="F38" s="293">
        <f>'EU-Reference CO2 emissions'!J23</f>
        <v>183.64775205424283</v>
      </c>
      <c r="G38" s="293">
        <f>'EU-Reference CO2 emissions'!K23</f>
        <v>178.05594967067674</v>
      </c>
      <c r="H38" s="293">
        <f>'EU-Reference CO2 emissions'!L23</f>
        <v>174.92949238561309</v>
      </c>
      <c r="I38" s="293">
        <f>'EU-Reference CO2 emissions'!M23</f>
        <v>172.66690269210673</v>
      </c>
      <c r="J38" s="293">
        <f>'EU-Reference CO2 emissions'!N23</f>
        <v>173.72690711191962</v>
      </c>
      <c r="K38" s="293">
        <f>'EU-Reference CO2 emissions'!O23</f>
        <v>174.17633027377281</v>
      </c>
      <c r="L38" s="293">
        <f>'EU-Reference CO2 emissions'!P23</f>
        <v>173.6758908928023</v>
      </c>
      <c r="M38" s="293">
        <f>'EU-Reference CO2 emissions'!Q23</f>
        <v>173.82790288907529</v>
      </c>
      <c r="N38" s="293"/>
      <c r="O38" s="293">
        <f>SUM(M30:M38)/SUM(D30:D38)</f>
        <v>0.81185458171914993</v>
      </c>
      <c r="P38" s="293"/>
      <c r="Q38" s="293"/>
      <c r="R38" s="293"/>
      <c r="S38" s="293"/>
      <c r="T38" s="113"/>
    </row>
    <row r="39" spans="1:20" ht="15.75" thickBot="1" x14ac:dyDescent="0.3">
      <c r="A39" s="393"/>
      <c r="B39" s="293"/>
      <c r="C39" s="293"/>
      <c r="D39" s="293"/>
      <c r="E39" s="293"/>
      <c r="F39" s="293"/>
      <c r="G39" s="293"/>
      <c r="H39" s="293"/>
      <c r="I39" s="293"/>
      <c r="J39" s="293"/>
      <c r="K39" s="293"/>
      <c r="L39" s="293"/>
      <c r="M39" s="293"/>
      <c r="N39" s="293"/>
      <c r="O39" s="293"/>
      <c r="P39" s="293"/>
      <c r="Q39" s="293"/>
      <c r="R39" s="293"/>
      <c r="S39" s="293"/>
      <c r="T39" s="113"/>
    </row>
    <row r="40" spans="1:20" x14ac:dyDescent="0.25">
      <c r="A40" s="544" t="s">
        <v>281</v>
      </c>
      <c r="B40" s="545"/>
      <c r="C40" s="545"/>
      <c r="D40" s="545"/>
      <c r="E40" s="545"/>
      <c r="F40" s="545"/>
      <c r="G40" s="545"/>
      <c r="H40" s="545"/>
      <c r="I40" s="545"/>
      <c r="J40" s="546"/>
      <c r="K40" s="293"/>
      <c r="L40" s="293"/>
      <c r="M40" s="293"/>
      <c r="N40" s="293"/>
      <c r="O40" s="293">
        <f>(SUM(M30:M38)+M27)/(SUM(D30:D38)+D27)</f>
        <v>0.57517132619208067</v>
      </c>
      <c r="P40" s="293">
        <f>(SUM(M30:M38)+M27)/(SUM(E30:E38)+E27)</f>
        <v>0.58516000977609017</v>
      </c>
      <c r="Q40" s="293"/>
      <c r="R40" s="293">
        <f>(SUM(M30:M38))/(SUM(E30:E38))</f>
        <v>0.8210491791968777</v>
      </c>
      <c r="S40" s="293"/>
      <c r="T40" s="113"/>
    </row>
    <row r="41" spans="1:20" x14ac:dyDescent="0.25">
      <c r="A41" s="405" t="s">
        <v>282</v>
      </c>
      <c r="B41" s="293"/>
      <c r="C41" s="293"/>
      <c r="D41" s="293"/>
      <c r="E41" s="293"/>
      <c r="F41" s="293"/>
      <c r="G41" s="293"/>
      <c r="H41" s="293"/>
      <c r="I41" s="293"/>
      <c r="J41" s="386"/>
      <c r="K41" s="293"/>
      <c r="L41" s="293"/>
      <c r="M41" s="293"/>
      <c r="N41" s="293"/>
      <c r="O41" s="293"/>
      <c r="P41" s="293"/>
      <c r="Q41" s="293"/>
      <c r="R41" s="293"/>
      <c r="S41" s="293"/>
      <c r="T41" s="113"/>
    </row>
    <row r="42" spans="1:20" x14ac:dyDescent="0.25">
      <c r="A42" s="402"/>
      <c r="B42" s="404">
        <f>E17</f>
        <v>2011</v>
      </c>
      <c r="C42" s="404">
        <f t="shared" ref="C42:J42" si="3">F17</f>
        <v>2015</v>
      </c>
      <c r="D42" s="404">
        <f t="shared" si="3"/>
        <v>2020</v>
      </c>
      <c r="E42" s="404">
        <f t="shared" si="3"/>
        <v>2025</v>
      </c>
      <c r="F42" s="404">
        <f t="shared" si="3"/>
        <v>2030</v>
      </c>
      <c r="G42" s="404">
        <f t="shared" si="3"/>
        <v>2035</v>
      </c>
      <c r="H42" s="404">
        <f t="shared" si="3"/>
        <v>2040</v>
      </c>
      <c r="I42" s="404">
        <f t="shared" si="3"/>
        <v>2045</v>
      </c>
      <c r="J42" s="406">
        <f t="shared" si="3"/>
        <v>2050</v>
      </c>
      <c r="K42" s="293"/>
      <c r="L42" s="293"/>
      <c r="M42" s="293"/>
      <c r="N42" s="293"/>
      <c r="O42" s="293"/>
      <c r="P42" s="293"/>
      <c r="Q42" s="293"/>
      <c r="R42" s="293"/>
      <c r="S42" s="293"/>
      <c r="T42" s="113"/>
    </row>
    <row r="43" spans="1:20" x14ac:dyDescent="0.25">
      <c r="A43" s="402" t="s">
        <v>190</v>
      </c>
      <c r="B43">
        <f>'EU-Reference CO2 emissions'!I12/'EU-Reference CO2 emissions'!$I$12</f>
        <v>1</v>
      </c>
      <c r="C43" s="438">
        <f>'EU-Reference CO2 emissions'!J12/'EU-Reference CO2 emissions'!$I$12</f>
        <v>0.94435281615002298</v>
      </c>
      <c r="D43" s="438">
        <f>'EU-Reference CO2 emissions'!K12/'EU-Reference CO2 emissions'!$I$12</f>
        <v>0.88363171018479747</v>
      </c>
      <c r="E43" s="438">
        <f>'EU-Reference CO2 emissions'!L12/'EU-Reference CO2 emissions'!$I$12</f>
        <v>0.82823307773020582</v>
      </c>
      <c r="F43" s="438">
        <v>0.75</v>
      </c>
      <c r="G43" s="438">
        <v>0.68</v>
      </c>
      <c r="H43" s="438">
        <v>0.62</v>
      </c>
      <c r="I43" s="438">
        <f>'EU-Reference CO2 emissions'!P12/'EU-Reference CO2 emissions'!$I$12</f>
        <v>0.52634359061089075</v>
      </c>
      <c r="J43" s="438">
        <f>'EU-Reference CO2 emissions'!Q12/'EU-Reference CO2 emissions'!$I$12</f>
        <v>0.44726941215822491</v>
      </c>
      <c r="K43" s="293"/>
    </row>
    <row r="44" spans="1:20" x14ac:dyDescent="0.25">
      <c r="A44" s="402" t="s">
        <v>190</v>
      </c>
      <c r="B44" s="293">
        <f t="shared" ref="B44:J44" si="4">E27/$E$27</f>
        <v>1</v>
      </c>
      <c r="C44" s="293">
        <f t="shared" si="4"/>
        <v>0.93175703099461682</v>
      </c>
      <c r="D44" s="293">
        <f t="shared" si="4"/>
        <v>0.86094907240860552</v>
      </c>
      <c r="E44" s="293">
        <f t="shared" si="4"/>
        <v>0.79231434613577856</v>
      </c>
      <c r="F44" s="293">
        <f t="shared" si="4"/>
        <v>0.68829199553439047</v>
      </c>
      <c r="G44" s="293">
        <f t="shared" si="4"/>
        <v>0.59999521992004701</v>
      </c>
      <c r="H44" s="293">
        <f t="shared" si="4"/>
        <v>0.5315929566850921</v>
      </c>
      <c r="I44" s="293">
        <f t="shared" si="4"/>
        <v>0.45581425719651453</v>
      </c>
      <c r="J44" s="386">
        <f t="shared" si="4"/>
        <v>0.37503532150343227</v>
      </c>
      <c r="K44" s="293"/>
      <c r="L44" s="293"/>
      <c r="M44" s="293"/>
      <c r="N44" s="293"/>
      <c r="O44" s="293"/>
      <c r="P44" s="293"/>
      <c r="Q44" s="293"/>
      <c r="R44" s="293"/>
      <c r="S44" s="293"/>
      <c r="T44" s="113"/>
    </row>
    <row r="45" spans="1:20" x14ac:dyDescent="0.25">
      <c r="A45" s="405" t="s">
        <v>283</v>
      </c>
      <c r="B45" s="293"/>
      <c r="C45" s="293"/>
      <c r="D45" s="293"/>
      <c r="E45" s="293"/>
      <c r="F45" s="293"/>
      <c r="G45" s="293"/>
      <c r="H45" s="293"/>
      <c r="I45" s="293"/>
      <c r="J45" s="386"/>
      <c r="K45" s="293"/>
      <c r="L45" s="293"/>
      <c r="M45" s="293"/>
      <c r="N45" s="293"/>
      <c r="O45" s="293"/>
      <c r="P45" s="293"/>
      <c r="Q45" s="293"/>
      <c r="R45" s="293"/>
      <c r="S45" s="293"/>
      <c r="T45" s="113"/>
    </row>
    <row r="46" spans="1:20" x14ac:dyDescent="0.25">
      <c r="A46" s="382"/>
      <c r="B46" s="404">
        <f>E29</f>
        <v>2011</v>
      </c>
      <c r="C46" s="404">
        <f t="shared" ref="C46:J46" si="5">F29</f>
        <v>2015</v>
      </c>
      <c r="D46" s="404">
        <f t="shared" si="5"/>
        <v>2020</v>
      </c>
      <c r="E46" s="404">
        <f t="shared" si="5"/>
        <v>2025</v>
      </c>
      <c r="F46" s="404">
        <f t="shared" si="5"/>
        <v>2030</v>
      </c>
      <c r="G46" s="404">
        <f t="shared" si="5"/>
        <v>2035</v>
      </c>
      <c r="H46" s="404">
        <f t="shared" si="5"/>
        <v>2040</v>
      </c>
      <c r="I46" s="404">
        <f t="shared" si="5"/>
        <v>2045</v>
      </c>
      <c r="J46" s="406">
        <f t="shared" si="5"/>
        <v>2050</v>
      </c>
      <c r="K46" s="293"/>
      <c r="L46" s="293"/>
      <c r="M46" s="293"/>
      <c r="N46" s="293"/>
      <c r="O46" s="293"/>
      <c r="P46" s="293"/>
      <c r="Q46" s="293"/>
      <c r="R46" s="293"/>
      <c r="S46" s="293"/>
      <c r="T46" s="113"/>
    </row>
    <row r="47" spans="1:20" x14ac:dyDescent="0.25">
      <c r="A47" s="402" t="str">
        <f>A30</f>
        <v>DEU</v>
      </c>
      <c r="B47" s="293">
        <f>E30/$E30</f>
        <v>1</v>
      </c>
      <c r="C47" s="293">
        <f t="shared" ref="C47:J55" si="6">F30/$E30</f>
        <v>0.99336429020222616</v>
      </c>
      <c r="D47" s="293">
        <f t="shared" si="6"/>
        <v>0.90144363777007752</v>
      </c>
      <c r="E47" s="293">
        <f t="shared" si="6"/>
        <v>0.85672549147802335</v>
      </c>
      <c r="F47" s="293">
        <f t="shared" si="6"/>
        <v>0.79860693655131876</v>
      </c>
      <c r="G47" s="293">
        <f t="shared" si="6"/>
        <v>0.76903314345375606</v>
      </c>
      <c r="H47" s="293">
        <f t="shared" si="6"/>
        <v>0.74916951238515184</v>
      </c>
      <c r="I47" s="293">
        <f t="shared" si="6"/>
        <v>0.73662587556620107</v>
      </c>
      <c r="J47" s="386">
        <f t="shared" si="6"/>
        <v>0.72289933713013421</v>
      </c>
      <c r="K47" s="293"/>
      <c r="L47" s="293"/>
      <c r="M47" s="293"/>
      <c r="N47" s="293"/>
      <c r="O47" s="293"/>
      <c r="P47" s="293"/>
      <c r="Q47" s="293"/>
      <c r="R47" s="293"/>
      <c r="S47" s="293"/>
      <c r="T47" s="113"/>
    </row>
    <row r="48" spans="1:20" x14ac:dyDescent="0.25">
      <c r="A48" s="402" t="str">
        <f t="shared" ref="A48:A55" si="7">A31</f>
        <v>FRA</v>
      </c>
      <c r="B48" s="293">
        <f t="shared" ref="B48:B55" si="8">E31/$E31</f>
        <v>1</v>
      </c>
      <c r="C48" s="293">
        <f t="shared" si="6"/>
        <v>0.96749986487235562</v>
      </c>
      <c r="D48" s="293">
        <f t="shared" si="6"/>
        <v>0.90188304634440941</v>
      </c>
      <c r="E48" s="293">
        <f t="shared" si="6"/>
        <v>0.8791580980165824</v>
      </c>
      <c r="F48" s="293">
        <f t="shared" si="6"/>
        <v>0.85268750394745807</v>
      </c>
      <c r="G48" s="293">
        <f t="shared" si="6"/>
        <v>0.83532322904325995</v>
      </c>
      <c r="H48" s="293">
        <f t="shared" si="6"/>
        <v>0.8245515569156916</v>
      </c>
      <c r="I48" s="293">
        <f t="shared" si="6"/>
        <v>0.81038546120140631</v>
      </c>
      <c r="J48" s="386">
        <f t="shared" si="6"/>
        <v>0.79836531948488032</v>
      </c>
      <c r="K48" s="293"/>
      <c r="L48" s="293"/>
      <c r="M48" s="293"/>
      <c r="N48" s="293"/>
      <c r="O48" s="293"/>
      <c r="P48" s="293"/>
      <c r="Q48" s="293"/>
      <c r="R48" s="293"/>
      <c r="S48" s="293"/>
      <c r="T48" s="113"/>
    </row>
    <row r="49" spans="1:20" x14ac:dyDescent="0.25">
      <c r="A49" s="402" t="str">
        <f t="shared" si="7"/>
        <v>ITA</v>
      </c>
      <c r="B49" s="293">
        <f t="shared" si="8"/>
        <v>1</v>
      </c>
      <c r="C49" s="293">
        <f t="shared" si="6"/>
        <v>0.95878871946472122</v>
      </c>
      <c r="D49" s="293">
        <f t="shared" si="6"/>
        <v>0.92160774172169491</v>
      </c>
      <c r="E49" s="293">
        <f t="shared" si="6"/>
        <v>0.89520224337935728</v>
      </c>
      <c r="F49" s="293">
        <f t="shared" si="6"/>
        <v>0.87329733552089006</v>
      </c>
      <c r="G49" s="293">
        <f t="shared" si="6"/>
        <v>0.84547455467547128</v>
      </c>
      <c r="H49" s="293">
        <f t="shared" si="6"/>
        <v>0.82541933470389173</v>
      </c>
      <c r="I49" s="293">
        <f t="shared" si="6"/>
        <v>0.82586089846878308</v>
      </c>
      <c r="J49" s="386">
        <f t="shared" si="6"/>
        <v>0.81242892427340285</v>
      </c>
      <c r="K49" s="293"/>
      <c r="L49" s="293"/>
      <c r="M49" s="293"/>
      <c r="N49" s="293"/>
      <c r="O49" s="293"/>
      <c r="P49" s="293"/>
      <c r="Q49" s="293"/>
      <c r="R49" s="293"/>
      <c r="S49" s="293"/>
      <c r="T49" s="113"/>
    </row>
    <row r="50" spans="1:20" x14ac:dyDescent="0.25">
      <c r="A50" s="402" t="str">
        <f t="shared" si="7"/>
        <v>POL</v>
      </c>
      <c r="B50" s="293">
        <f t="shared" si="8"/>
        <v>1</v>
      </c>
      <c r="C50" s="293">
        <f t="shared" si="6"/>
        <v>0.95513166954144946</v>
      </c>
      <c r="D50" s="293">
        <f t="shared" si="6"/>
        <v>0.93892518801424252</v>
      </c>
      <c r="E50" s="293">
        <f t="shared" si="6"/>
        <v>0.91013893349453168</v>
      </c>
      <c r="F50" s="293">
        <f t="shared" si="6"/>
        <v>0.88374037924140758</v>
      </c>
      <c r="G50" s="293">
        <f t="shared" si="6"/>
        <v>0.85888912005919993</v>
      </c>
      <c r="H50" s="293">
        <f t="shared" si="6"/>
        <v>0.84104135074939779</v>
      </c>
      <c r="I50" s="293">
        <f t="shared" si="6"/>
        <v>0.83502903026966457</v>
      </c>
      <c r="J50" s="386">
        <f t="shared" si="6"/>
        <v>0.82733781460130995</v>
      </c>
      <c r="K50" s="293"/>
      <c r="L50" s="293"/>
      <c r="M50" s="293"/>
      <c r="N50" s="293"/>
      <c r="O50" s="293"/>
      <c r="P50" s="293"/>
      <c r="Q50" s="293"/>
      <c r="R50" s="293"/>
      <c r="S50" s="293"/>
      <c r="T50" s="113"/>
    </row>
    <row r="51" spans="1:20" x14ac:dyDescent="0.25">
      <c r="A51" s="402" t="str">
        <f t="shared" si="7"/>
        <v>UKI</v>
      </c>
      <c r="B51" s="293">
        <f t="shared" si="8"/>
        <v>1</v>
      </c>
      <c r="C51" s="293">
        <f t="shared" si="6"/>
        <v>0.98016739976533895</v>
      </c>
      <c r="D51" s="293">
        <f t="shared" si="6"/>
        <v>0.90693392626272495</v>
      </c>
      <c r="E51" s="293">
        <f t="shared" si="6"/>
        <v>0.877953494230021</v>
      </c>
      <c r="F51" s="293">
        <f t="shared" si="6"/>
        <v>0.84137263583734256</v>
      </c>
      <c r="G51" s="293">
        <f t="shared" si="6"/>
        <v>0.83061776496179163</v>
      </c>
      <c r="H51" s="293">
        <f t="shared" si="6"/>
        <v>0.82580690798231293</v>
      </c>
      <c r="I51" s="293">
        <f t="shared" si="6"/>
        <v>0.82599254322802518</v>
      </c>
      <c r="J51" s="386">
        <f t="shared" si="6"/>
        <v>0.83268235960235371</v>
      </c>
      <c r="K51" s="293"/>
      <c r="L51" s="293"/>
      <c r="M51" s="293"/>
      <c r="N51" s="293"/>
      <c r="O51" s="293"/>
      <c r="P51" s="293"/>
      <c r="Q51" s="293"/>
      <c r="R51" s="293"/>
      <c r="S51" s="293"/>
      <c r="T51" s="113"/>
    </row>
    <row r="52" spans="1:20" x14ac:dyDescent="0.25">
      <c r="A52" s="402" t="str">
        <f t="shared" si="7"/>
        <v>ESP</v>
      </c>
      <c r="B52" s="293">
        <f t="shared" si="8"/>
        <v>1</v>
      </c>
      <c r="C52" s="293">
        <f t="shared" si="6"/>
        <v>0.94419489072492091</v>
      </c>
      <c r="D52" s="293">
        <f t="shared" si="6"/>
        <v>0.88728241877225478</v>
      </c>
      <c r="E52" s="293">
        <f t="shared" si="6"/>
        <v>0.87315137039158619</v>
      </c>
      <c r="F52" s="293">
        <f t="shared" si="6"/>
        <v>0.86839668251841229</v>
      </c>
      <c r="G52" s="293">
        <f t="shared" si="6"/>
        <v>0.87851635585404186</v>
      </c>
      <c r="H52" s="293">
        <f t="shared" si="6"/>
        <v>0.88440874630527222</v>
      </c>
      <c r="I52" s="293">
        <f t="shared" si="6"/>
        <v>0.87980598125616738</v>
      </c>
      <c r="J52" s="386">
        <f t="shared" si="6"/>
        <v>0.88451635340929302</v>
      </c>
      <c r="K52" s="293"/>
      <c r="L52" s="293"/>
      <c r="M52" s="293"/>
      <c r="N52" s="293"/>
      <c r="O52" s="293"/>
      <c r="P52" s="293"/>
      <c r="Q52" s="293"/>
      <c r="R52" s="293"/>
      <c r="S52" s="293"/>
      <c r="T52" s="113"/>
    </row>
    <row r="53" spans="1:20" x14ac:dyDescent="0.25">
      <c r="A53" s="402" t="str">
        <f t="shared" si="7"/>
        <v>BNL</v>
      </c>
      <c r="B53" s="293">
        <f t="shared" si="8"/>
        <v>1</v>
      </c>
      <c r="C53" s="293">
        <f t="shared" si="6"/>
        <v>0.96210993832702296</v>
      </c>
      <c r="D53" s="293">
        <f t="shared" si="6"/>
        <v>0.89799926043477063</v>
      </c>
      <c r="E53" s="293">
        <f t="shared" si="6"/>
        <v>0.87791667165760445</v>
      </c>
      <c r="F53" s="293">
        <f t="shared" si="6"/>
        <v>0.8588472213877506</v>
      </c>
      <c r="G53" s="293">
        <f t="shared" si="6"/>
        <v>0.85528774270216157</v>
      </c>
      <c r="H53" s="293">
        <f t="shared" si="6"/>
        <v>0.86062699525232211</v>
      </c>
      <c r="I53" s="293">
        <f t="shared" si="6"/>
        <v>0.86511736866758782</v>
      </c>
      <c r="J53" s="386">
        <f t="shared" si="6"/>
        <v>0.86762981373751125</v>
      </c>
      <c r="K53" s="293"/>
      <c r="L53" s="293"/>
      <c r="M53" s="293"/>
      <c r="N53" s="293"/>
      <c r="O53" s="293"/>
      <c r="P53" s="293"/>
      <c r="Q53" s="293"/>
      <c r="R53" s="293"/>
      <c r="S53" s="293"/>
      <c r="T53" s="113"/>
    </row>
    <row r="54" spans="1:20" x14ac:dyDescent="0.25">
      <c r="A54" s="402" t="str">
        <f t="shared" si="7"/>
        <v>EUN</v>
      </c>
      <c r="B54" s="293">
        <f t="shared" si="8"/>
        <v>1</v>
      </c>
      <c r="C54" s="293">
        <f t="shared" si="6"/>
        <v>0.93177737668609495</v>
      </c>
      <c r="D54" s="293">
        <f t="shared" si="6"/>
        <v>0.88336356187229204</v>
      </c>
      <c r="E54" s="293">
        <f t="shared" si="6"/>
        <v>0.85979259177845013</v>
      </c>
      <c r="F54" s="293">
        <f t="shared" si="6"/>
        <v>0.83456454899435117</v>
      </c>
      <c r="G54" s="293">
        <f t="shared" si="6"/>
        <v>0.82719624615695941</v>
      </c>
      <c r="H54" s="293">
        <f t="shared" si="6"/>
        <v>0.82898452599283967</v>
      </c>
      <c r="I54" s="293">
        <f t="shared" si="6"/>
        <v>0.83238709162253766</v>
      </c>
      <c r="J54" s="386">
        <f t="shared" si="6"/>
        <v>0.83796650005373363</v>
      </c>
      <c r="K54" s="293"/>
      <c r="L54" s="293"/>
      <c r="M54" s="293"/>
      <c r="N54" s="293"/>
      <c r="O54" s="293"/>
      <c r="P54" s="293"/>
      <c r="Q54" s="293"/>
      <c r="R54" s="293"/>
      <c r="S54" s="293"/>
      <c r="T54" s="113"/>
    </row>
    <row r="55" spans="1:20" x14ac:dyDescent="0.25">
      <c r="A55" s="402" t="str">
        <f t="shared" si="7"/>
        <v>EUS</v>
      </c>
      <c r="B55" s="293">
        <f t="shared" si="8"/>
        <v>1</v>
      </c>
      <c r="C55" s="293">
        <f t="shared" si="6"/>
        <v>0.95390066745574087</v>
      </c>
      <c r="D55" s="293">
        <f t="shared" si="6"/>
        <v>0.92485580321809513</v>
      </c>
      <c r="E55" s="293">
        <f t="shared" si="6"/>
        <v>0.90861640111469666</v>
      </c>
      <c r="F55" s="293">
        <f t="shared" si="6"/>
        <v>0.89686408836013209</v>
      </c>
      <c r="G55" s="293">
        <f t="shared" si="6"/>
        <v>0.90236994896694689</v>
      </c>
      <c r="H55" s="293">
        <f t="shared" si="6"/>
        <v>0.90470433666985328</v>
      </c>
      <c r="I55" s="293">
        <f t="shared" si="6"/>
        <v>0.90210496121227668</v>
      </c>
      <c r="J55" s="386">
        <f t="shared" si="6"/>
        <v>0.9028945398653454</v>
      </c>
      <c r="K55" s="293"/>
      <c r="L55" s="293"/>
      <c r="M55" s="293"/>
      <c r="N55" s="293"/>
      <c r="O55" s="293"/>
      <c r="P55" s="293"/>
      <c r="Q55" s="293"/>
      <c r="R55" s="293"/>
      <c r="S55" s="293"/>
      <c r="T55" s="113"/>
    </row>
    <row r="56" spans="1:20" x14ac:dyDescent="0.25">
      <c r="A56" s="408" t="s">
        <v>272</v>
      </c>
      <c r="B56" s="457" t="s">
        <v>352</v>
      </c>
      <c r="C56" s="409"/>
      <c r="D56" s="409"/>
      <c r="E56" s="376"/>
      <c r="F56" s="376"/>
      <c r="G56" s="376"/>
      <c r="H56" s="376"/>
      <c r="I56" s="376"/>
      <c r="J56" s="376"/>
      <c r="K56" s="376"/>
      <c r="L56" s="376"/>
      <c r="M56" s="376"/>
      <c r="N56" s="376"/>
      <c r="O56" s="376"/>
      <c r="P56" s="376"/>
      <c r="Q56" s="376"/>
      <c r="R56" s="376"/>
      <c r="S56" s="376"/>
      <c r="T56" s="392"/>
    </row>
    <row r="57" spans="1:20" x14ac:dyDescent="0.25">
      <c r="A57" s="393"/>
      <c r="B57" s="293" t="s">
        <v>353</v>
      </c>
      <c r="C57" s="293"/>
      <c r="D57" s="293"/>
      <c r="E57" s="293"/>
      <c r="F57" s="293"/>
      <c r="G57" s="293"/>
      <c r="H57" s="293"/>
      <c r="I57" s="293"/>
      <c r="J57" s="293"/>
      <c r="K57" s="293"/>
      <c r="L57" s="293">
        <f>M60/B60</f>
        <v>0.15000000000000002</v>
      </c>
      <c r="M57" s="293">
        <f>M60/E60</f>
        <v>0.18019165300718698</v>
      </c>
      <c r="N57" s="293"/>
      <c r="O57" s="293"/>
      <c r="P57" s="293"/>
      <c r="Q57" s="293"/>
      <c r="R57" s="293"/>
      <c r="S57" s="293"/>
      <c r="T57" s="113"/>
    </row>
    <row r="58" spans="1:20" x14ac:dyDescent="0.25">
      <c r="A58" s="393" t="s">
        <v>273</v>
      </c>
      <c r="B58" s="293" t="s">
        <v>274</v>
      </c>
      <c r="C58" s="293"/>
      <c r="D58" s="293"/>
      <c r="E58" s="293"/>
      <c r="F58" s="293"/>
      <c r="G58" s="293"/>
      <c r="H58" s="293"/>
      <c r="I58" s="293"/>
      <c r="J58" s="293"/>
      <c r="K58" s="293"/>
      <c r="L58" s="293"/>
      <c r="M58" s="293">
        <f>M61/E61</f>
        <v>0.37503532494593922</v>
      </c>
      <c r="N58" s="293"/>
      <c r="O58" s="293"/>
      <c r="P58" s="293"/>
      <c r="Q58" s="293"/>
      <c r="R58" s="293"/>
      <c r="S58" s="293"/>
      <c r="T58" s="113"/>
    </row>
    <row r="59" spans="1:20" x14ac:dyDescent="0.25">
      <c r="A59" s="393"/>
      <c r="B59" s="293">
        <v>1990</v>
      </c>
      <c r="C59" s="293">
        <v>2005</v>
      </c>
      <c r="D59" s="293">
        <v>2010</v>
      </c>
      <c r="E59" s="293">
        <v>2011</v>
      </c>
      <c r="F59" s="293">
        <v>2015</v>
      </c>
      <c r="G59" s="293">
        <v>2020</v>
      </c>
      <c r="H59" s="293">
        <v>2025</v>
      </c>
      <c r="I59" s="293">
        <v>2030</v>
      </c>
      <c r="J59" s="293">
        <v>2035</v>
      </c>
      <c r="K59" s="293">
        <v>2040</v>
      </c>
      <c r="L59" s="293">
        <v>2045</v>
      </c>
      <c r="M59" s="293">
        <v>2050</v>
      </c>
      <c r="N59" s="293"/>
      <c r="O59" s="293" t="s">
        <v>275</v>
      </c>
      <c r="P59" s="293"/>
      <c r="Q59" s="293"/>
      <c r="R59" s="293"/>
      <c r="S59" s="293"/>
      <c r="T59" s="113"/>
    </row>
    <row r="60" spans="1:20" x14ac:dyDescent="0.25">
      <c r="A60" s="456" t="s">
        <v>190</v>
      </c>
      <c r="B60" s="391">
        <v>5716.4</v>
      </c>
      <c r="C60" s="391">
        <v>5345.2</v>
      </c>
      <c r="D60" s="394">
        <v>4909.5</v>
      </c>
      <c r="E60" s="391">
        <v>4758.6000000000004</v>
      </c>
      <c r="F60" s="394">
        <v>4451.8</v>
      </c>
      <c r="G60" s="395">
        <f>$F$60-(($F$60-$M$60)/($M$59-$F$59)*(G$59-$F$59))</f>
        <v>3938.3228571428572</v>
      </c>
      <c r="H60" s="395">
        <f>$F$60-(($F$60-$M$60)/($M$59-$F$59)*(H$59-$F$59))</f>
        <v>3424.8457142857142</v>
      </c>
      <c r="I60" s="395">
        <f t="shared" ref="I60:K60" si="9">$F$60-(($F$60-$M$60)/($M$59-$F$59)*(I$59-$F$59))</f>
        <v>2911.3685714285716</v>
      </c>
      <c r="J60" s="395">
        <f t="shared" si="9"/>
        <v>2397.8914285714286</v>
      </c>
      <c r="K60" s="395">
        <f t="shared" si="9"/>
        <v>1884.4142857142856</v>
      </c>
      <c r="L60" s="395">
        <f>$F$60-(($F$60-$M$60)/($M$59-$F$59)*(L$59-$F$59))</f>
        <v>1370.937142857143</v>
      </c>
      <c r="M60" s="396">
        <f>B60*(1-0.85)</f>
        <v>857.46</v>
      </c>
      <c r="N60" s="293"/>
      <c r="O60" s="397" t="s">
        <v>276</v>
      </c>
      <c r="P60" s="293"/>
      <c r="Q60" s="293"/>
      <c r="R60" s="293"/>
      <c r="S60" s="293"/>
      <c r="T60" s="113"/>
    </row>
    <row r="61" spans="1:20" x14ac:dyDescent="0.25">
      <c r="A61" s="456" t="s">
        <v>348</v>
      </c>
      <c r="B61" s="293">
        <f>B60/E60*E61</f>
        <v>4368.5085552144483</v>
      </c>
      <c r="C61" s="293"/>
      <c r="D61" s="293"/>
      <c r="E61" s="455">
        <v>3636.5518177250501</v>
      </c>
      <c r="F61" s="455">
        <v>3388.3827113550301</v>
      </c>
      <c r="G61" s="455">
        <v>3130.8858978390003</v>
      </c>
      <c r="H61" s="455">
        <v>2881.2921638770299</v>
      </c>
      <c r="I61" s="455">
        <v>2503.0095046776901</v>
      </c>
      <c r="J61" s="455">
        <v>2181.9137047383397</v>
      </c>
      <c r="K61" s="455">
        <v>1933.1653299627001</v>
      </c>
      <c r="L61" s="455">
        <v>1657.5921803080901</v>
      </c>
      <c r="M61" s="455">
        <v>1363.8353926432601</v>
      </c>
      <c r="N61" s="293"/>
      <c r="O61" s="293"/>
      <c r="P61" s="293"/>
      <c r="Q61" s="398"/>
      <c r="R61" s="293"/>
      <c r="S61" s="293"/>
      <c r="T61" s="113"/>
    </row>
    <row r="62" spans="1:20" x14ac:dyDescent="0.25">
      <c r="A62" s="393" t="s">
        <v>349</v>
      </c>
      <c r="B62" s="293"/>
      <c r="C62" s="293"/>
      <c r="D62" s="293"/>
      <c r="E62" s="52">
        <v>691.36406088915874</v>
      </c>
      <c r="F62" s="52">
        <v>652.57310711846685</v>
      </c>
      <c r="G62" s="52">
        <v>563.002506631492</v>
      </c>
      <c r="H62" s="52">
        <v>481.55163994317684</v>
      </c>
      <c r="I62" s="52">
        <v>396.55766211747567</v>
      </c>
      <c r="J62" s="52">
        <v>325.39855339862805</v>
      </c>
      <c r="K62" s="52">
        <v>253.40613152964613</v>
      </c>
      <c r="L62" s="52">
        <v>173.66725419635918</v>
      </c>
      <c r="M62" s="52">
        <v>89.121166451879503</v>
      </c>
      <c r="N62" s="293"/>
      <c r="O62" s="293" t="s">
        <v>351</v>
      </c>
      <c r="P62" s="52"/>
      <c r="Q62" s="293"/>
      <c r="R62" s="293"/>
      <c r="S62" s="293"/>
      <c r="T62" s="113"/>
    </row>
    <row r="63" spans="1:20" x14ac:dyDescent="0.25">
      <c r="A63" s="456" t="s">
        <v>350</v>
      </c>
      <c r="B63" s="293"/>
      <c r="C63" s="293"/>
      <c r="D63" s="293"/>
      <c r="E63" s="293">
        <f>E61-E62</f>
        <v>2945.1877568358914</v>
      </c>
      <c r="F63" s="293">
        <f t="shared" ref="F63" si="10">F61-F62</f>
        <v>2735.8096042365632</v>
      </c>
      <c r="G63" s="293">
        <f t="shared" ref="G63" si="11">G61-G62</f>
        <v>2567.8833912075083</v>
      </c>
      <c r="H63" s="293">
        <f t="shared" ref="H63" si="12">H61-H62</f>
        <v>2399.7405239338532</v>
      </c>
      <c r="I63" s="293">
        <f t="shared" ref="I63" si="13">I61-I62</f>
        <v>2106.4518425602146</v>
      </c>
      <c r="J63" s="293">
        <f t="shared" ref="J63" si="14">J61-J62</f>
        <v>1856.5151513397116</v>
      </c>
      <c r="K63" s="293">
        <f t="shared" ref="K63" si="15">K61-K62</f>
        <v>1679.7591984330538</v>
      </c>
      <c r="L63" s="293">
        <f t="shared" ref="L63" si="16">L61-L62</f>
        <v>1483.9249261117309</v>
      </c>
      <c r="M63" s="293">
        <f t="shared" ref="M63" si="17">M61-M62</f>
        <v>1274.7142261913805</v>
      </c>
      <c r="N63" s="293"/>
      <c r="O63" s="293">
        <f>(M62+M63)/B61</f>
        <v>0.31219702912457958</v>
      </c>
      <c r="P63" s="293"/>
      <c r="Q63" s="293">
        <f>B61*0.2</f>
        <v>873.70171104288966</v>
      </c>
      <c r="R63" s="293"/>
      <c r="S63" s="293"/>
      <c r="T63" s="113"/>
    </row>
    <row r="64" spans="1:20" x14ac:dyDescent="0.25">
      <c r="A64" s="393" t="s">
        <v>277</v>
      </c>
      <c r="B64" s="391" t="s">
        <v>278</v>
      </c>
      <c r="C64" s="395" t="s">
        <v>279</v>
      </c>
      <c r="D64" s="396" t="s">
        <v>273</v>
      </c>
      <c r="E64" s="293"/>
      <c r="F64" s="293"/>
      <c r="G64" s="293" t="s">
        <v>280</v>
      </c>
      <c r="H64" s="293"/>
      <c r="I64" s="293"/>
      <c r="J64" s="293"/>
      <c r="K64" s="293"/>
      <c r="L64" s="293"/>
      <c r="M64" s="293"/>
      <c r="N64" s="293"/>
      <c r="O64" s="293"/>
      <c r="P64" s="293"/>
      <c r="Q64" s="293"/>
      <c r="R64" s="293"/>
      <c r="S64" s="293"/>
      <c r="T64" s="113"/>
    </row>
    <row r="65" spans="1:20" ht="15.75" thickBot="1" x14ac:dyDescent="0.3">
      <c r="A65" s="542" t="s">
        <v>281</v>
      </c>
      <c r="B65" s="543"/>
      <c r="C65" s="543"/>
      <c r="D65" s="543"/>
      <c r="E65" s="543"/>
      <c r="F65" s="543"/>
      <c r="G65" s="543"/>
      <c r="H65" s="543"/>
      <c r="I65" s="543"/>
      <c r="J65" s="543"/>
      <c r="K65" s="293"/>
      <c r="L65" s="293"/>
      <c r="M65" s="293"/>
      <c r="N65" s="293"/>
      <c r="O65" s="293"/>
      <c r="P65" s="293"/>
      <c r="Q65" s="293"/>
      <c r="R65" s="293"/>
      <c r="S65" s="293"/>
      <c r="T65" s="113"/>
    </row>
    <row r="66" spans="1:20" x14ac:dyDescent="0.25">
      <c r="A66" s="377"/>
      <c r="B66" s="399">
        <v>2011</v>
      </c>
      <c r="C66" s="399">
        <v>2015</v>
      </c>
      <c r="D66" s="399">
        <v>2020</v>
      </c>
      <c r="E66" s="399">
        <v>2025</v>
      </c>
      <c r="F66" s="399">
        <v>2030</v>
      </c>
      <c r="G66" s="399">
        <v>2035</v>
      </c>
      <c r="H66" s="399">
        <v>2040</v>
      </c>
      <c r="I66" s="399">
        <v>2045</v>
      </c>
      <c r="J66" s="400">
        <v>2050</v>
      </c>
      <c r="K66" s="293"/>
      <c r="L66" s="293"/>
      <c r="M66" s="293"/>
      <c r="N66" s="293"/>
      <c r="O66" s="293"/>
      <c r="P66" s="293"/>
      <c r="Q66" s="293"/>
      <c r="R66" s="293"/>
      <c r="S66" s="293"/>
      <c r="T66" s="113"/>
    </row>
    <row r="67" spans="1:20" ht="15.75" thickBot="1" x14ac:dyDescent="0.3">
      <c r="A67" s="401" t="s">
        <v>190</v>
      </c>
      <c r="B67" s="482">
        <f>E60/$E$60</f>
        <v>1</v>
      </c>
      <c r="C67" s="482">
        <f t="shared" ref="C67:J67" si="18">F60/$E$60</f>
        <v>0.93552725591560537</v>
      </c>
      <c r="D67" s="482">
        <f t="shared" si="18"/>
        <v>0.82762216978583136</v>
      </c>
      <c r="E67" s="482">
        <f>H60/$E$60</f>
        <v>0.71971708365605724</v>
      </c>
      <c r="F67" s="482">
        <f t="shared" si="18"/>
        <v>0.61181199752628324</v>
      </c>
      <c r="G67" s="482">
        <f t="shared" si="18"/>
        <v>0.50390691139650912</v>
      </c>
      <c r="H67" s="482">
        <f t="shared" si="18"/>
        <v>0.39600182526673505</v>
      </c>
      <c r="I67" s="482">
        <f>L60/$E$60</f>
        <v>0.28809673913696104</v>
      </c>
      <c r="J67" s="388">
        <f t="shared" si="18"/>
        <v>0.18019165300718698</v>
      </c>
      <c r="K67" s="293"/>
      <c r="L67" s="293"/>
      <c r="M67" s="293"/>
      <c r="N67" s="293"/>
      <c r="O67" s="293"/>
      <c r="P67" s="293"/>
      <c r="Q67" s="293"/>
      <c r="R67" s="293"/>
      <c r="S67" s="293"/>
      <c r="T67" s="113"/>
    </row>
    <row r="68" spans="1:20" x14ac:dyDescent="0.25">
      <c r="A68" s="410" t="s">
        <v>272</v>
      </c>
      <c r="B68" s="396" t="s">
        <v>377</v>
      </c>
      <c r="C68" s="396"/>
      <c r="D68" s="396"/>
      <c r="E68" s="293"/>
      <c r="F68" s="293"/>
      <c r="G68" s="293"/>
      <c r="H68" s="293"/>
      <c r="I68" s="293"/>
      <c r="J68" s="293"/>
      <c r="K68" s="376"/>
      <c r="L68" s="376"/>
      <c r="M68" s="376"/>
      <c r="N68" s="376"/>
      <c r="O68" s="376"/>
      <c r="P68" s="376"/>
      <c r="Q68" s="376"/>
      <c r="R68" s="376"/>
      <c r="S68" s="376"/>
      <c r="T68" s="392"/>
    </row>
    <row r="69" spans="1:20" x14ac:dyDescent="0.25">
      <c r="A69" s="393"/>
      <c r="B69" s="293" t="s">
        <v>376</v>
      </c>
      <c r="C69" s="293"/>
      <c r="D69" s="293"/>
      <c r="E69" s="293"/>
      <c r="F69" s="293"/>
      <c r="G69" s="293"/>
      <c r="H69" s="293"/>
      <c r="I69" s="293"/>
      <c r="J69" s="293"/>
      <c r="K69" s="293"/>
      <c r="L69" s="293"/>
      <c r="M69" s="293"/>
      <c r="N69" s="293"/>
      <c r="O69" s="293"/>
      <c r="P69" s="293"/>
      <c r="Q69" s="293"/>
      <c r="R69" s="293"/>
      <c r="S69" s="293"/>
      <c r="T69" s="113"/>
    </row>
    <row r="70" spans="1:20" x14ac:dyDescent="0.25">
      <c r="A70" s="393" t="s">
        <v>273</v>
      </c>
      <c r="B70" s="293" t="s">
        <v>378</v>
      </c>
      <c r="C70" s="293"/>
      <c r="D70" s="293"/>
      <c r="E70" s="407" t="s">
        <v>289</v>
      </c>
      <c r="F70" s="293"/>
      <c r="G70" s="293"/>
      <c r="H70" s="293"/>
      <c r="I70" s="293"/>
      <c r="J70" s="293"/>
      <c r="K70" s="293"/>
      <c r="L70" s="293"/>
      <c r="M70" s="293"/>
      <c r="N70" s="293"/>
      <c r="O70" s="293"/>
      <c r="P70" s="293"/>
      <c r="Q70" s="293"/>
      <c r="R70" s="293"/>
      <c r="S70" s="293"/>
      <c r="T70" s="113"/>
    </row>
    <row r="71" spans="1:20" x14ac:dyDescent="0.25">
      <c r="A71" s="393"/>
      <c r="B71" s="293"/>
      <c r="C71" s="293"/>
      <c r="D71" s="293"/>
      <c r="E71" s="293"/>
      <c r="F71" s="293"/>
      <c r="G71" s="293"/>
      <c r="H71" s="293"/>
      <c r="I71" s="293"/>
      <c r="J71" s="293"/>
      <c r="K71" s="293"/>
      <c r="L71" s="293"/>
      <c r="M71" s="293"/>
      <c r="N71" s="293"/>
      <c r="O71" s="293"/>
      <c r="P71" s="293"/>
      <c r="Q71" s="293"/>
      <c r="R71" s="293"/>
      <c r="S71" s="293"/>
      <c r="T71" s="113"/>
    </row>
    <row r="72" spans="1:20" ht="15.75" thickBot="1" x14ac:dyDescent="0.3">
      <c r="A72" s="393"/>
      <c r="B72" s="293"/>
      <c r="C72" s="293"/>
      <c r="D72" s="293"/>
      <c r="E72" s="293"/>
      <c r="F72" s="293"/>
      <c r="G72" s="293"/>
      <c r="H72" s="293"/>
      <c r="I72" s="293"/>
      <c r="J72" s="293"/>
      <c r="K72" s="293"/>
      <c r="L72" s="293"/>
      <c r="M72" s="293"/>
      <c r="N72" s="293"/>
      <c r="O72" s="293"/>
      <c r="P72" s="293"/>
      <c r="Q72" s="293"/>
      <c r="R72" s="293"/>
      <c r="S72" s="293"/>
      <c r="T72" s="113"/>
    </row>
    <row r="73" spans="1:20" x14ac:dyDescent="0.25">
      <c r="A73" s="544" t="s">
        <v>281</v>
      </c>
      <c r="B73" s="545"/>
      <c r="C73" s="545"/>
      <c r="D73" s="545"/>
      <c r="E73" s="545"/>
      <c r="F73" s="545"/>
      <c r="G73" s="545"/>
      <c r="H73" s="545"/>
      <c r="I73" s="545"/>
      <c r="J73" s="546"/>
      <c r="K73" s="293"/>
      <c r="L73" s="293"/>
      <c r="M73" s="293"/>
      <c r="N73" s="293"/>
      <c r="O73" s="293"/>
      <c r="P73" s="293"/>
      <c r="Q73" s="293"/>
      <c r="R73" s="293"/>
      <c r="S73" s="293"/>
      <c r="T73" s="113"/>
    </row>
    <row r="74" spans="1:20" x14ac:dyDescent="0.25">
      <c r="A74" s="405" t="s">
        <v>282</v>
      </c>
      <c r="B74" s="293"/>
      <c r="C74" s="293"/>
      <c r="D74" s="293"/>
      <c r="E74" s="293"/>
      <c r="F74" s="293"/>
      <c r="G74" s="293"/>
      <c r="H74" s="293"/>
      <c r="I74" s="293"/>
      <c r="J74" s="386"/>
      <c r="K74" s="293"/>
      <c r="L74" s="293"/>
      <c r="M74" s="293"/>
      <c r="N74" s="293"/>
      <c r="O74" s="293"/>
      <c r="P74" s="293"/>
      <c r="Q74" s="293"/>
      <c r="R74" s="293"/>
      <c r="S74" s="293"/>
      <c r="T74" s="113"/>
    </row>
    <row r="75" spans="1:20" x14ac:dyDescent="0.25">
      <c r="A75" s="402"/>
      <c r="B75" s="404">
        <v>2011</v>
      </c>
      <c r="C75" s="404">
        <v>2015</v>
      </c>
      <c r="D75" s="404">
        <v>2020</v>
      </c>
      <c r="E75" s="404">
        <v>2025</v>
      </c>
      <c r="F75" s="404">
        <v>2030</v>
      </c>
      <c r="G75" s="404">
        <v>2035</v>
      </c>
      <c r="H75" s="404">
        <v>2040</v>
      </c>
      <c r="I75" s="404">
        <v>2045</v>
      </c>
      <c r="J75" s="406">
        <v>2050</v>
      </c>
      <c r="K75" s="293"/>
      <c r="L75" s="293"/>
      <c r="M75" s="293"/>
      <c r="N75" s="293"/>
      <c r="O75" s="293"/>
      <c r="P75" s="293"/>
      <c r="Q75" s="293"/>
      <c r="R75" s="293"/>
      <c r="S75" s="293"/>
      <c r="T75" s="113"/>
    </row>
    <row r="76" spans="1:20" ht="15.75" thickBot="1" x14ac:dyDescent="0.3">
      <c r="A76" s="401" t="s">
        <v>190</v>
      </c>
      <c r="B76" s="88">
        <f>'[9]E3-starkes Europa'!$I$12</f>
        <v>1</v>
      </c>
      <c r="C76" s="88">
        <f>'[9]E3-starkes Europa'!$I$14</f>
        <v>0.92100000000000004</v>
      </c>
      <c r="D76" s="88">
        <f>'[9]E3-starkes Europa'!$I$31</f>
        <v>0.88495458326136955</v>
      </c>
      <c r="E76" s="88">
        <f>'[9]E3-starkes Europa'!$I$32</f>
        <v>0.7471953644133662</v>
      </c>
      <c r="F76" s="88">
        <f>'[9]E3-starkes Europa'!$I$33</f>
        <v>0.60943614556536285</v>
      </c>
      <c r="G76" s="88">
        <f>'[9]E3-starkes Europa'!$I$34</f>
        <v>0.4716769267173595</v>
      </c>
      <c r="H76" s="88">
        <f>'[9]E3-starkes Europa'!$I$35</f>
        <v>0.33391770786935615</v>
      </c>
      <c r="I76" s="88">
        <f>'[9]E3-starkes Europa'!$I$36</f>
        <v>0.19615848902135272</v>
      </c>
      <c r="J76" s="388">
        <f>'[9]E3-starkes Europa'!$I$37</f>
        <v>5.8399270173349449E-2</v>
      </c>
      <c r="K76" s="38"/>
      <c r="L76" s="38"/>
      <c r="M76" s="38"/>
      <c r="N76" s="38"/>
      <c r="O76" s="38"/>
      <c r="P76" s="38"/>
      <c r="Q76" s="38"/>
      <c r="R76" s="38"/>
      <c r="S76" s="38"/>
      <c r="T76" s="195"/>
    </row>
    <row r="77" spans="1:20" x14ac:dyDescent="0.25">
      <c r="A77" s="408" t="s">
        <v>272</v>
      </c>
      <c r="B77" s="409" t="s">
        <v>381</v>
      </c>
      <c r="C77" s="409"/>
      <c r="D77" s="409"/>
      <c r="E77" s="376"/>
      <c r="F77" s="376"/>
      <c r="G77" s="376"/>
      <c r="H77" s="376"/>
      <c r="I77" s="376"/>
      <c r="J77" s="376"/>
    </row>
    <row r="78" spans="1:20" s="438" customFormat="1" x14ac:dyDescent="0.25">
      <c r="A78" s="393"/>
      <c r="B78" s="293" t="s">
        <v>287</v>
      </c>
      <c r="C78" s="293"/>
      <c r="D78" s="293"/>
      <c r="E78" s="293"/>
      <c r="F78" s="293"/>
      <c r="G78" s="293"/>
      <c r="H78" s="293"/>
      <c r="I78" s="293"/>
      <c r="J78" s="293"/>
    </row>
    <row r="79" spans="1:20" s="438" customFormat="1" x14ac:dyDescent="0.25">
      <c r="A79" s="393" t="s">
        <v>273</v>
      </c>
      <c r="B79" s="293" t="s">
        <v>382</v>
      </c>
      <c r="C79" s="293"/>
      <c r="D79" s="293"/>
      <c r="E79" s="407" t="s">
        <v>289</v>
      </c>
      <c r="F79" s="293"/>
      <c r="G79" s="293"/>
      <c r="H79" s="293"/>
      <c r="I79" s="293"/>
      <c r="J79" s="293"/>
    </row>
    <row r="80" spans="1:20" s="438" customFormat="1" x14ac:dyDescent="0.25">
      <c r="A80" s="393"/>
      <c r="B80" s="293"/>
      <c r="C80" s="293"/>
      <c r="D80" s="293"/>
      <c r="E80" s="293"/>
      <c r="F80" s="293"/>
      <c r="G80" s="293"/>
      <c r="H80" s="293"/>
      <c r="I80" s="293"/>
      <c r="J80" s="293"/>
    </row>
    <row r="81" spans="1:22" s="438" customFormat="1" ht="15.75" thickBot="1" x14ac:dyDescent="0.3">
      <c r="A81" s="393"/>
      <c r="B81" s="293"/>
      <c r="C81" s="293"/>
      <c r="D81" s="293"/>
      <c r="E81" s="293"/>
      <c r="F81" s="293"/>
      <c r="G81" s="293"/>
      <c r="H81" s="293"/>
      <c r="I81" s="293"/>
      <c r="J81" s="293"/>
    </row>
    <row r="82" spans="1:22" s="438" customFormat="1" x14ac:dyDescent="0.25">
      <c r="A82" s="544" t="s">
        <v>281</v>
      </c>
      <c r="B82" s="545"/>
      <c r="C82" s="545"/>
      <c r="D82" s="545"/>
      <c r="E82" s="545"/>
      <c r="F82" s="545"/>
      <c r="G82" s="545"/>
      <c r="H82" s="545"/>
      <c r="I82" s="545"/>
      <c r="J82" s="546"/>
    </row>
    <row r="83" spans="1:22" s="438" customFormat="1" x14ac:dyDescent="0.25">
      <c r="A83" s="405" t="s">
        <v>282</v>
      </c>
      <c r="B83" s="293"/>
      <c r="C83" s="293"/>
      <c r="D83" s="293"/>
      <c r="E83" s="293"/>
      <c r="F83" s="293"/>
      <c r="G83" s="293"/>
      <c r="H83" s="293"/>
      <c r="I83" s="293"/>
      <c r="J83" s="386"/>
    </row>
    <row r="84" spans="1:22" s="438" customFormat="1" x14ac:dyDescent="0.25">
      <c r="A84" s="402"/>
      <c r="B84" s="404">
        <v>2011</v>
      </c>
      <c r="C84" s="404">
        <v>2015</v>
      </c>
      <c r="D84" s="404">
        <v>2020</v>
      </c>
      <c r="E84" s="404">
        <v>2025</v>
      </c>
      <c r="F84" s="404">
        <v>2030</v>
      </c>
      <c r="G84" s="404">
        <v>2035</v>
      </c>
      <c r="H84" s="404">
        <v>2040</v>
      </c>
      <c r="I84" s="404">
        <v>2045</v>
      </c>
      <c r="J84" s="406">
        <v>2050</v>
      </c>
    </row>
    <row r="85" spans="1:22" s="38" customFormat="1" ht="15.75" thickBot="1" x14ac:dyDescent="0.3">
      <c r="A85" s="401" t="s">
        <v>190</v>
      </c>
      <c r="B85" s="88">
        <v>1</v>
      </c>
      <c r="C85" s="88">
        <v>0.89506083073153597</v>
      </c>
      <c r="D85" s="88">
        <v>0.93385923691497741</v>
      </c>
      <c r="E85" s="88">
        <v>0.89168794671410867</v>
      </c>
      <c r="F85" s="88">
        <v>0.78587611884613817</v>
      </c>
      <c r="G85" s="88">
        <v>0.7032327404983808</v>
      </c>
      <c r="H85" s="88">
        <v>0.63976315811546192</v>
      </c>
      <c r="I85" s="88">
        <v>0.56666927245187948</v>
      </c>
      <c r="J85" s="388">
        <v>0.48153684570095112</v>
      </c>
    </row>
    <row r="86" spans="1:22" s="438" customFormat="1" x14ac:dyDescent="0.25"/>
    <row r="89" spans="1:22" x14ac:dyDescent="0.25">
      <c r="B89" s="438"/>
      <c r="C89" s="438"/>
      <c r="D89" s="438"/>
      <c r="E89" s="438"/>
      <c r="F89" s="438"/>
      <c r="G89" s="438"/>
      <c r="H89" s="438"/>
      <c r="I89" s="438"/>
      <c r="J89" s="438"/>
      <c r="K89" s="438"/>
      <c r="L89" s="438"/>
    </row>
    <row r="90" spans="1:22" x14ac:dyDescent="0.25">
      <c r="A90" s="477" t="s">
        <v>370</v>
      </c>
      <c r="B90" s="438"/>
      <c r="C90" s="438"/>
    </row>
    <row r="91" spans="1:22" x14ac:dyDescent="0.25">
      <c r="A91" s="477" t="s">
        <v>371</v>
      </c>
      <c r="B91" s="438"/>
    </row>
    <row r="92" spans="1:22" x14ac:dyDescent="0.25">
      <c r="A92" s="477" t="s">
        <v>372</v>
      </c>
      <c r="B92" s="438"/>
      <c r="C92" s="438"/>
      <c r="D92" s="438"/>
      <c r="E92" s="438"/>
      <c r="F92" s="438"/>
      <c r="G92" s="438"/>
      <c r="H92" s="438"/>
      <c r="I92" s="438"/>
      <c r="J92" s="438"/>
    </row>
    <row r="93" spans="1:22" x14ac:dyDescent="0.25">
      <c r="A93" s="477" t="s">
        <v>373</v>
      </c>
      <c r="B93" s="438"/>
      <c r="C93" s="438"/>
      <c r="D93" s="438"/>
      <c r="E93" s="438"/>
      <c r="F93" s="438"/>
      <c r="G93" s="438"/>
      <c r="H93" s="438"/>
      <c r="I93" s="438"/>
      <c r="J93" s="438"/>
      <c r="M93" s="438"/>
      <c r="N93" s="438"/>
      <c r="O93" s="438"/>
      <c r="P93" s="438"/>
      <c r="Q93" s="438"/>
      <c r="R93" s="438"/>
      <c r="S93" s="438"/>
      <c r="T93" s="438"/>
      <c r="U93" s="438"/>
      <c r="V93" s="438"/>
    </row>
    <row r="94" spans="1:22" x14ac:dyDescent="0.25">
      <c r="A94" s="438"/>
      <c r="B94" s="438"/>
      <c r="C94" s="438"/>
      <c r="D94" s="438"/>
      <c r="E94" s="438"/>
      <c r="F94" s="438"/>
      <c r="G94" s="438"/>
      <c r="H94" s="438"/>
      <c r="I94" s="438"/>
      <c r="J94" s="438"/>
      <c r="M94" s="438"/>
      <c r="N94" s="438"/>
      <c r="O94" s="438"/>
      <c r="P94" s="438"/>
      <c r="Q94" s="438"/>
      <c r="R94" s="438"/>
      <c r="S94" s="438"/>
      <c r="T94" s="438"/>
      <c r="U94" s="438"/>
      <c r="V94" s="438"/>
    </row>
    <row r="95" spans="1:22" x14ac:dyDescent="0.25">
      <c r="A95" s="438"/>
      <c r="B95" s="438"/>
      <c r="C95" s="438"/>
      <c r="D95" s="438"/>
      <c r="E95" s="438"/>
      <c r="F95" s="438"/>
      <c r="G95" s="438"/>
      <c r="H95" s="438"/>
      <c r="I95" s="438"/>
      <c r="J95" s="438"/>
    </row>
    <row r="96" spans="1:22" x14ac:dyDescent="0.25">
      <c r="C96" s="438"/>
      <c r="D96" s="438"/>
      <c r="E96" s="438"/>
      <c r="F96" s="438"/>
      <c r="G96" s="438"/>
      <c r="H96" s="438"/>
      <c r="I96" s="438"/>
      <c r="J96" s="438"/>
    </row>
    <row r="97" spans="1:14" x14ac:dyDescent="0.25">
      <c r="A97" s="438"/>
      <c r="B97" s="438"/>
      <c r="C97" s="438"/>
      <c r="D97" s="438"/>
      <c r="E97" s="438"/>
      <c r="F97" s="438"/>
      <c r="G97" s="438"/>
      <c r="H97" s="438"/>
      <c r="I97" s="438"/>
      <c r="J97" s="438"/>
    </row>
    <row r="98" spans="1:14" x14ac:dyDescent="0.25">
      <c r="C98" s="438"/>
      <c r="D98" s="438"/>
      <c r="E98" s="438"/>
      <c r="F98" s="438"/>
      <c r="G98" s="438"/>
      <c r="H98" s="438"/>
      <c r="I98" s="438"/>
      <c r="J98" s="438"/>
    </row>
    <row r="99" spans="1:14" x14ac:dyDescent="0.25">
      <c r="A99" s="438"/>
      <c r="B99" s="438"/>
      <c r="C99" s="438"/>
      <c r="D99" s="438"/>
      <c r="E99" s="438"/>
      <c r="F99" s="438"/>
      <c r="G99" s="438"/>
      <c r="H99" s="438"/>
      <c r="I99" s="438"/>
      <c r="J99" s="438"/>
      <c r="K99" s="438"/>
      <c r="L99" s="438"/>
      <c r="M99" s="438"/>
      <c r="N99" s="438"/>
    </row>
    <row r="100" spans="1:14" x14ac:dyDescent="0.25">
      <c r="A100" s="438"/>
      <c r="B100" s="438"/>
      <c r="C100" s="438"/>
      <c r="D100" s="438"/>
      <c r="E100" s="438"/>
      <c r="F100" s="438"/>
      <c r="G100" s="438"/>
      <c r="H100" s="438"/>
      <c r="I100" s="438"/>
      <c r="J100" s="438"/>
    </row>
    <row r="103" spans="1:14" x14ac:dyDescent="0.25">
      <c r="C103" s="438"/>
      <c r="D103" s="438"/>
      <c r="E103" s="438"/>
      <c r="F103" s="438"/>
      <c r="G103" s="438"/>
      <c r="H103" s="438"/>
      <c r="I103" s="438"/>
      <c r="J103" s="438"/>
    </row>
    <row r="105" spans="1:14" x14ac:dyDescent="0.25">
      <c r="C105" s="438"/>
      <c r="D105" s="438"/>
      <c r="E105" s="438"/>
      <c r="F105" s="438"/>
      <c r="G105" s="438"/>
      <c r="H105" s="438"/>
      <c r="I105" s="438"/>
      <c r="J105" s="438"/>
    </row>
  </sheetData>
  <mergeCells count="5">
    <mergeCell ref="A10:J10"/>
    <mergeCell ref="A40:J40"/>
    <mergeCell ref="A65:J65"/>
    <mergeCell ref="A73:J73"/>
    <mergeCell ref="A82:J82"/>
  </mergeCells>
  <hyperlinks>
    <hyperlink ref="E15" r:id="rId1"/>
  </hyperlink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I9" sqref="I9"/>
    </sheetView>
  </sheetViews>
  <sheetFormatPr defaultRowHeight="15" x14ac:dyDescent="0.25"/>
  <sheetData>
    <row r="1" spans="1:19" x14ac:dyDescent="0.25">
      <c r="A1" s="559" t="s">
        <v>407</v>
      </c>
      <c r="B1" s="560"/>
      <c r="C1" s="559" t="s">
        <v>408</v>
      </c>
      <c r="D1" s="560"/>
      <c r="E1" s="376"/>
      <c r="F1" s="376"/>
      <c r="G1" s="376"/>
      <c r="H1" s="376"/>
      <c r="I1" s="376"/>
      <c r="J1" s="376"/>
      <c r="K1" s="376"/>
      <c r="L1" s="376"/>
      <c r="M1" s="376"/>
      <c r="N1" s="376"/>
      <c r="O1" s="376"/>
      <c r="P1" s="376"/>
      <c r="Q1" s="376"/>
      <c r="R1" s="376"/>
      <c r="S1" s="376"/>
    </row>
    <row r="2" spans="1:19" ht="15.75" thickBot="1" x14ac:dyDescent="0.3">
      <c r="A2" s="393"/>
      <c r="B2" s="293"/>
      <c r="C2" s="293"/>
      <c r="D2" s="293"/>
      <c r="E2" s="293"/>
      <c r="F2" s="293"/>
      <c r="G2" s="293"/>
      <c r="H2" s="293"/>
      <c r="I2" s="293"/>
      <c r="J2" s="293"/>
      <c r="K2" s="293"/>
      <c r="L2" s="293"/>
      <c r="M2" s="293"/>
      <c r="N2" s="293"/>
      <c r="O2" s="293"/>
      <c r="P2" s="293"/>
      <c r="Q2" s="293"/>
      <c r="R2" s="293"/>
      <c r="S2" s="293"/>
    </row>
    <row r="3" spans="1:19" x14ac:dyDescent="0.25">
      <c r="A3" s="377"/>
      <c r="B3" s="399">
        <v>2011</v>
      </c>
      <c r="C3" s="399">
        <v>2015</v>
      </c>
      <c r="D3" s="399">
        <v>2020</v>
      </c>
      <c r="E3" s="399">
        <v>2025</v>
      </c>
      <c r="F3" s="399">
        <v>2030</v>
      </c>
      <c r="G3" s="399">
        <v>2035</v>
      </c>
      <c r="H3" s="399">
        <v>2040</v>
      </c>
      <c r="I3" s="399">
        <v>2045</v>
      </c>
      <c r="J3" s="400">
        <v>2050</v>
      </c>
      <c r="K3" s="293"/>
      <c r="L3" s="293"/>
      <c r="M3" s="293"/>
      <c r="N3" s="438"/>
      <c r="O3" s="293"/>
      <c r="P3" s="293"/>
      <c r="Q3" s="293"/>
      <c r="R3" s="293"/>
      <c r="S3" s="438"/>
    </row>
    <row r="4" spans="1:19" ht="15.75" thickBot="1" x14ac:dyDescent="0.3">
      <c r="A4" s="401" t="s">
        <v>190</v>
      </c>
      <c r="B4" s="482">
        <v>1</v>
      </c>
      <c r="C4" s="482">
        <v>0.90768094862303461</v>
      </c>
      <c r="D4" s="482">
        <v>0.80534136723705463</v>
      </c>
      <c r="E4" s="482">
        <v>0.77663367490968127</v>
      </c>
      <c r="F4" s="482">
        <v>0.73073928234542518</v>
      </c>
      <c r="G4" s="482">
        <v>0.64320052615977596</v>
      </c>
      <c r="H4" s="482">
        <v>0.55145805121378011</v>
      </c>
      <c r="I4" s="482">
        <v>0.46725317874147121</v>
      </c>
      <c r="J4" s="388">
        <v>0.37821903565726095</v>
      </c>
      <c r="R4" s="293"/>
      <c r="S4" s="293"/>
    </row>
    <row r="5" spans="1:19" x14ac:dyDescent="0.25">
      <c r="R5" s="293"/>
      <c r="S5" s="293"/>
    </row>
    <row r="6" spans="1:19" x14ac:dyDescent="0.25">
      <c r="A6" s="52"/>
      <c r="B6" s="438"/>
      <c r="C6" s="438"/>
      <c r="D6" s="438"/>
      <c r="E6" s="455"/>
      <c r="F6" s="455"/>
      <c r="G6" s="455"/>
      <c r="H6" s="455"/>
      <c r="I6" s="455"/>
      <c r="J6" s="455"/>
      <c r="R6" s="293"/>
      <c r="S6" s="293"/>
    </row>
    <row r="7" spans="1:19" x14ac:dyDescent="0.25">
      <c r="A7" s="393"/>
      <c r="B7" s="293"/>
      <c r="C7" s="293"/>
      <c r="D7" s="293"/>
      <c r="E7" s="52"/>
      <c r="F7" s="52"/>
      <c r="G7" s="52"/>
      <c r="H7" s="52"/>
      <c r="I7" s="52"/>
      <c r="J7" s="52"/>
      <c r="R7" s="293"/>
      <c r="S7" s="293"/>
    </row>
    <row r="8" spans="1:19" x14ac:dyDescent="0.25">
      <c r="A8" s="52"/>
      <c r="B8" s="438"/>
      <c r="C8" s="438"/>
      <c r="D8" s="438"/>
      <c r="E8" s="438"/>
      <c r="F8" s="438"/>
      <c r="G8" s="438"/>
      <c r="H8" s="438"/>
      <c r="I8" s="438"/>
      <c r="J8" s="438"/>
      <c r="R8" s="293"/>
      <c r="S8" s="293"/>
    </row>
    <row r="9" spans="1:19" x14ac:dyDescent="0.25">
      <c r="R9" s="293"/>
      <c r="S9" s="293"/>
    </row>
    <row r="10" spans="1:19" x14ac:dyDescent="0.25">
      <c r="R10" s="293"/>
      <c r="S10" s="293"/>
    </row>
    <row r="11" spans="1:19" x14ac:dyDescent="0.25">
      <c r="N11" s="293"/>
      <c r="O11" s="293"/>
      <c r="P11" s="293"/>
      <c r="Q11" s="293"/>
      <c r="R11" s="293"/>
      <c r="S11" s="293"/>
    </row>
    <row r="12" spans="1:19" x14ac:dyDescent="0.25">
      <c r="N12" s="293"/>
      <c r="O12" s="293"/>
      <c r="P12" s="293"/>
      <c r="Q12" s="293"/>
      <c r="R12" s="293"/>
      <c r="S12" s="293"/>
    </row>
  </sheetData>
  <mergeCells count="2">
    <mergeCell ref="A1:B1"/>
    <mergeCell ref="C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T135"/>
  <sheetViews>
    <sheetView topLeftCell="A7" workbookViewId="0">
      <selection activeCell="P119" sqref="P119"/>
    </sheetView>
  </sheetViews>
  <sheetFormatPr defaultColWidth="11.42578125" defaultRowHeight="15" x14ac:dyDescent="0.25"/>
  <sheetData>
    <row r="1" spans="1:20" x14ac:dyDescent="0.25">
      <c r="A1" s="410" t="s">
        <v>272</v>
      </c>
      <c r="B1" s="396" t="s">
        <v>363</v>
      </c>
      <c r="C1" s="396"/>
      <c r="D1" s="396"/>
      <c r="E1" s="293"/>
      <c r="F1" s="293"/>
      <c r="G1" s="293"/>
      <c r="H1" s="293"/>
      <c r="I1" s="293"/>
      <c r="J1" s="293"/>
      <c r="K1" s="376"/>
      <c r="L1" s="376"/>
      <c r="M1" s="376"/>
      <c r="N1" s="376"/>
      <c r="O1" s="376"/>
      <c r="P1" s="376"/>
      <c r="Q1" s="376"/>
      <c r="R1" s="376"/>
      <c r="S1" s="376"/>
      <c r="T1" s="392"/>
    </row>
    <row r="2" spans="1:20" x14ac:dyDescent="0.25">
      <c r="A2" s="393"/>
      <c r="B2" s="293" t="s">
        <v>365</v>
      </c>
      <c r="C2" s="293"/>
      <c r="D2" s="293"/>
      <c r="E2" s="293"/>
      <c r="F2" s="293"/>
      <c r="G2" s="293"/>
      <c r="H2" s="293"/>
      <c r="I2" s="293"/>
      <c r="J2" s="293"/>
      <c r="K2" s="293"/>
      <c r="L2" s="293"/>
      <c r="M2" s="293"/>
      <c r="N2" s="293"/>
      <c r="O2" s="293"/>
      <c r="P2" s="293"/>
      <c r="Q2" s="293"/>
      <c r="R2" s="293"/>
      <c r="S2" s="293"/>
      <c r="T2" s="113"/>
    </row>
    <row r="3" spans="1:20" x14ac:dyDescent="0.25">
      <c r="A3" s="393" t="s">
        <v>273</v>
      </c>
      <c r="B3" s="293" t="s">
        <v>288</v>
      </c>
      <c r="C3" s="293"/>
      <c r="D3" s="293"/>
      <c r="E3" s="407" t="s">
        <v>289</v>
      </c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3"/>
      <c r="R3" s="293"/>
      <c r="S3" s="293"/>
      <c r="T3" s="113"/>
    </row>
    <row r="4" spans="1:20" x14ac:dyDescent="0.25">
      <c r="A4" s="393"/>
      <c r="B4" s="293"/>
      <c r="C4" s="293"/>
      <c r="D4" s="293"/>
      <c r="E4" s="293"/>
      <c r="F4" s="293"/>
      <c r="G4" s="293"/>
      <c r="H4" s="293"/>
      <c r="I4" s="293"/>
      <c r="J4" s="293"/>
      <c r="K4" s="293"/>
      <c r="L4" s="293"/>
      <c r="M4" s="293"/>
      <c r="N4" s="293"/>
      <c r="O4" s="293"/>
      <c r="P4" s="293"/>
      <c r="Q4" s="293"/>
      <c r="R4" s="293"/>
      <c r="S4" s="293"/>
      <c r="T4" s="113"/>
    </row>
    <row r="5" spans="1:20" x14ac:dyDescent="0.25">
      <c r="A5" s="403" t="str">
        <f>'EU-Pfad_ENAVI'!A17</f>
        <v>ETS</v>
      </c>
      <c r="B5" s="389">
        <f>'EU-Pfad_ENAVI'!B17</f>
        <v>2000</v>
      </c>
      <c r="C5" s="389">
        <f>'EU-Pfad_ENAVI'!C17</f>
        <v>2005</v>
      </c>
      <c r="D5" s="389">
        <f>'EU-Pfad_ENAVI'!D17</f>
        <v>2010</v>
      </c>
      <c r="E5" s="389">
        <f>'EU-Pfad_ENAVI'!E17</f>
        <v>2011</v>
      </c>
      <c r="F5" s="389">
        <f>'EU-Pfad_ENAVI'!F17</f>
        <v>2015</v>
      </c>
      <c r="G5" s="389">
        <f>'EU-Pfad_ENAVI'!G17</f>
        <v>2020</v>
      </c>
      <c r="H5" s="389">
        <f>'EU-Pfad_ENAVI'!H17</f>
        <v>2025</v>
      </c>
      <c r="I5" s="389">
        <f>'EU-Pfad_ENAVI'!I17</f>
        <v>2030</v>
      </c>
      <c r="J5" s="389">
        <f>'EU-Pfad_ENAVI'!J17</f>
        <v>2035</v>
      </c>
      <c r="K5" s="389">
        <f>'EU-Pfad_ENAVI'!K17</f>
        <v>2040</v>
      </c>
      <c r="L5" s="389">
        <f>'EU-Pfad_ENAVI'!L17</f>
        <v>2045</v>
      </c>
      <c r="M5" s="389">
        <f>'EU-Pfad_ENAVI'!M17</f>
        <v>2050</v>
      </c>
      <c r="N5" s="293"/>
      <c r="O5" s="293"/>
      <c r="P5" s="293"/>
      <c r="Q5" s="293"/>
      <c r="R5" s="293"/>
      <c r="S5" s="293"/>
      <c r="T5" s="113"/>
    </row>
    <row r="6" spans="1:20" x14ac:dyDescent="0.25">
      <c r="A6" s="389" t="str">
        <f>'EU-Pfad_ENAVI'!A18</f>
        <v>DEU</v>
      </c>
      <c r="B6" s="455">
        <f>'EU-Pfad_ENAVI'!B18</f>
        <v>488.91820002711898</v>
      </c>
      <c r="C6" s="455">
        <f>'EU-Pfad_ENAVI'!C18</f>
        <v>486.48388875822275</v>
      </c>
      <c r="D6" s="455">
        <f>'EU-Pfad_ENAVI'!D18</f>
        <v>463.3738824095135</v>
      </c>
      <c r="E6" s="455">
        <f>'EU-Pfad_ENAVI'!E18</f>
        <v>461.55702699358528</v>
      </c>
      <c r="F6" s="455">
        <f>'EU-Pfad_ENAVI'!F18</f>
        <v>456.10646074580069</v>
      </c>
      <c r="G6" s="455">
        <f>'EU-Pfad_ENAVI'!G18</f>
        <v>442.26652391554785</v>
      </c>
      <c r="H6" s="455">
        <f>'EU-Pfad_ENAVI'!H18</f>
        <v>436.90256087013887</v>
      </c>
      <c r="I6" s="455">
        <f>'EU-Pfad_ENAVI'!I18</f>
        <v>385.42383338251597</v>
      </c>
      <c r="J6" s="455">
        <f>'EU-Pfad_ENAVI'!J18</f>
        <v>330.99252730216068</v>
      </c>
      <c r="K6" s="455">
        <f>'EU-Pfad_ENAVI'!K18</f>
        <v>293.45762788285134</v>
      </c>
      <c r="L6" s="455">
        <f>'EU-Pfad_ENAVI'!L18</f>
        <v>244.19368533092873</v>
      </c>
      <c r="M6" s="455">
        <f>'EU-Pfad_ENAVI'!M18</f>
        <v>184.81828439634086</v>
      </c>
      <c r="N6" s="293"/>
      <c r="O6" s="293"/>
      <c r="P6" s="293"/>
      <c r="Q6" s="293"/>
      <c r="R6" s="293"/>
      <c r="S6" s="293"/>
      <c r="T6" s="113"/>
    </row>
    <row r="7" spans="1:20" x14ac:dyDescent="0.25">
      <c r="A7" s="389" t="str">
        <f>'EU-Pfad_ENAVI'!A19</f>
        <v>FRA</v>
      </c>
      <c r="B7" s="455">
        <f>'EU-Pfad_ENAVI'!B19</f>
        <v>141.13842754867071</v>
      </c>
      <c r="C7" s="455">
        <f>'EU-Pfad_ENAVI'!C19</f>
        <v>136.96329688088758</v>
      </c>
      <c r="D7" s="455">
        <f>'EU-Pfad_ENAVI'!D19</f>
        <v>117.23985890726397</v>
      </c>
      <c r="E7" s="455">
        <f>'EU-Pfad_ENAVI'!E19</f>
        <v>112.97337786499926</v>
      </c>
      <c r="F7" s="455">
        <f>'EU-Pfad_ENAVI'!F19</f>
        <v>100.17393473820515</v>
      </c>
      <c r="G7" s="455">
        <f>'EU-Pfad_ENAVI'!G19</f>
        <v>91.301972850770056</v>
      </c>
      <c r="H7" s="455">
        <f>'EU-Pfad_ENAVI'!H19</f>
        <v>77.068893485345214</v>
      </c>
      <c r="I7" s="455">
        <f>'EU-Pfad_ENAVI'!I19</f>
        <v>65.700797635235389</v>
      </c>
      <c r="J7" s="455">
        <f>'EU-Pfad_ENAVI'!J19</f>
        <v>57.337228996633826</v>
      </c>
      <c r="K7" s="455">
        <f>'EU-Pfad_ENAVI'!K19</f>
        <v>64.269632779331118</v>
      </c>
      <c r="L7" s="455">
        <f>'EU-Pfad_ENAVI'!L19</f>
        <v>61.112213244801865</v>
      </c>
      <c r="M7" s="455">
        <f>'EU-Pfad_ENAVI'!M19</f>
        <v>53.267947733264918</v>
      </c>
      <c r="N7" s="293"/>
      <c r="O7" s="293"/>
      <c r="P7" s="293"/>
      <c r="Q7" s="293"/>
      <c r="R7" s="293"/>
      <c r="S7" s="293"/>
      <c r="T7" s="113"/>
    </row>
    <row r="8" spans="1:20" x14ac:dyDescent="0.25">
      <c r="A8" s="389" t="str">
        <f>'EU-Pfad_ENAVI'!A20</f>
        <v>ITA</v>
      </c>
      <c r="B8" s="455">
        <f>'EU-Pfad_ENAVI'!B20</f>
        <v>231.04274234766692</v>
      </c>
      <c r="C8" s="455">
        <f>'EU-Pfad_ENAVI'!C20</f>
        <v>249.39983412189059</v>
      </c>
      <c r="D8" s="455">
        <f>'EU-Pfad_ENAVI'!D20</f>
        <v>201.76059488578264</v>
      </c>
      <c r="E8" s="455">
        <f>'EU-Pfad_ENAVI'!E20</f>
        <v>192.12914418519935</v>
      </c>
      <c r="F8" s="455">
        <f>'EU-Pfad_ENAVI'!F20</f>
        <v>163.23479208344949</v>
      </c>
      <c r="G8" s="455">
        <f>'EU-Pfad_ENAVI'!G20</f>
        <v>177.64551991098381</v>
      </c>
      <c r="H8" s="455">
        <f>'EU-Pfad_ENAVI'!H20</f>
        <v>147.38037425215498</v>
      </c>
      <c r="I8" s="455">
        <f>'EU-Pfad_ENAVI'!I20</f>
        <v>134.23745668021002</v>
      </c>
      <c r="J8" s="455">
        <f>'EU-Pfad_ENAVI'!J20</f>
        <v>123.8991766666489</v>
      </c>
      <c r="K8" s="455">
        <f>'EU-Pfad_ENAVI'!K20</f>
        <v>105.97027368886343</v>
      </c>
      <c r="L8" s="455">
        <f>'EU-Pfad_ENAVI'!L20</f>
        <v>96.108630127694383</v>
      </c>
      <c r="M8" s="455">
        <f>'EU-Pfad_ENAVI'!M20</f>
        <v>85.66121394731438</v>
      </c>
      <c r="N8" s="293"/>
      <c r="O8" s="293"/>
      <c r="P8" s="293"/>
      <c r="Q8" s="293"/>
      <c r="R8" s="293"/>
      <c r="S8" s="293"/>
      <c r="T8" s="113"/>
    </row>
    <row r="9" spans="1:20" x14ac:dyDescent="0.25">
      <c r="A9" s="389" t="str">
        <f>'EU-Pfad_ENAVI'!A21</f>
        <v>POL</v>
      </c>
      <c r="B9" s="455">
        <f>'EU-Pfad_ENAVI'!B21</f>
        <v>229.4952579912586</v>
      </c>
      <c r="C9" s="455">
        <f>'EU-Pfad_ENAVI'!C21</f>
        <v>215.53817687929265</v>
      </c>
      <c r="D9" s="455">
        <f>'EU-Pfad_ENAVI'!D21</f>
        <v>204.5287738595392</v>
      </c>
      <c r="E9" s="455">
        <f>'EU-Pfad_ENAVI'!E21</f>
        <v>204.01104643828651</v>
      </c>
      <c r="F9" s="455">
        <f>'EU-Pfad_ENAVI'!F21</f>
        <v>202.45786417452842</v>
      </c>
      <c r="G9" s="455">
        <f>'EU-Pfad_ENAVI'!G21</f>
        <v>198.98712532892287</v>
      </c>
      <c r="H9" s="455">
        <f>'EU-Pfad_ENAVI'!H21</f>
        <v>192.13271378107578</v>
      </c>
      <c r="I9" s="455">
        <f>'EU-Pfad_ENAVI'!I21</f>
        <v>186.06482399965626</v>
      </c>
      <c r="J9" s="455">
        <f>'EU-Pfad_ENAVI'!J21</f>
        <v>154.67691898992777</v>
      </c>
      <c r="K9" s="455">
        <f>'EU-Pfad_ENAVI'!K21</f>
        <v>126.1203725400871</v>
      </c>
      <c r="L9" s="455">
        <f>'EU-Pfad_ENAVI'!L21</f>
        <v>87.795183452855369</v>
      </c>
      <c r="M9" s="455">
        <f>'EU-Pfad_ENAVI'!M21</f>
        <v>60.499510118646064</v>
      </c>
      <c r="N9" s="293"/>
      <c r="O9" s="293"/>
      <c r="P9" s="293"/>
      <c r="Q9" s="293"/>
      <c r="R9" s="293"/>
      <c r="S9" s="293"/>
      <c r="T9" s="113"/>
    </row>
    <row r="10" spans="1:20" x14ac:dyDescent="0.25">
      <c r="A10" s="389" t="str">
        <f>'EU-Pfad_ENAVI'!A22</f>
        <v>UKI</v>
      </c>
      <c r="B10" s="455">
        <f>'EU-Pfad_ENAVI'!B22</f>
        <v>302.92928030144441</v>
      </c>
      <c r="C10" s="455">
        <f>'EU-Pfad_ENAVI'!C22</f>
        <v>302.28670923173541</v>
      </c>
      <c r="D10" s="455">
        <f>'EU-Pfad_ENAVI'!D22</f>
        <v>259.7938832438482</v>
      </c>
      <c r="E10" s="455">
        <f>'EU-Pfad_ENAVI'!E22</f>
        <v>251.32691667462282</v>
      </c>
      <c r="F10" s="455">
        <f>'EU-Pfad_ENAVI'!F22</f>
        <v>225.92601696694666</v>
      </c>
      <c r="G10" s="455">
        <f>'EU-Pfad_ENAVI'!G22</f>
        <v>140.93158805526608</v>
      </c>
      <c r="H10" s="455">
        <f>'EU-Pfad_ENAVI'!H22</f>
        <v>120.0296978724646</v>
      </c>
      <c r="I10" s="455">
        <f>'EU-Pfad_ENAVI'!I22</f>
        <v>89.136345927282179</v>
      </c>
      <c r="J10" s="455">
        <f>'EU-Pfad_ENAVI'!J22</f>
        <v>81.952968319659306</v>
      </c>
      <c r="K10" s="455">
        <f>'EU-Pfad_ENAVI'!K22</f>
        <v>81.620791217275084</v>
      </c>
      <c r="L10" s="455">
        <f>'EU-Pfad_ENAVI'!L22</f>
        <v>79.792754289135075</v>
      </c>
      <c r="M10" s="455">
        <f>'EU-Pfad_ENAVI'!M22</f>
        <v>67.640936345091021</v>
      </c>
      <c r="N10" s="293"/>
      <c r="O10" s="293"/>
      <c r="P10" s="293"/>
      <c r="Q10" s="293"/>
      <c r="R10" s="293"/>
      <c r="S10" s="293"/>
      <c r="T10" s="113"/>
    </row>
    <row r="11" spans="1:20" x14ac:dyDescent="0.25">
      <c r="A11" s="389" t="str">
        <f>'EU-Pfad_ENAVI'!A23</f>
        <v>ESP</v>
      </c>
      <c r="B11" s="455">
        <f>'EU-Pfad_ENAVI'!B23</f>
        <v>198.32630353778518</v>
      </c>
      <c r="C11" s="455">
        <f>'EU-Pfad_ENAVI'!C23</f>
        <v>226.66907263973206</v>
      </c>
      <c r="D11" s="455">
        <f>'EU-Pfad_ENAVI'!D23</f>
        <v>152.51948586979279</v>
      </c>
      <c r="E11" s="455">
        <f>'EU-Pfad_ENAVI'!E23</f>
        <v>155.35220414925755</v>
      </c>
      <c r="F11" s="455">
        <f>'EU-Pfad_ENAVI'!F23</f>
        <v>163.85035898765187</v>
      </c>
      <c r="G11" s="455">
        <f>'EU-Pfad_ENAVI'!G23</f>
        <v>148.95612605323024</v>
      </c>
      <c r="H11" s="455">
        <f>'EU-Pfad_ENAVI'!H23</f>
        <v>121.72461944432661</v>
      </c>
      <c r="I11" s="455">
        <f>'EU-Pfad_ENAVI'!I23</f>
        <v>90.727591186146626</v>
      </c>
      <c r="J11" s="455">
        <f>'EU-Pfad_ENAVI'!J23</f>
        <v>74.676957278128839</v>
      </c>
      <c r="K11" s="455">
        <f>'EU-Pfad_ENAVI'!K23</f>
        <v>70.552182051491826</v>
      </c>
      <c r="L11" s="455">
        <f>'EU-Pfad_ENAVI'!L23</f>
        <v>66.402900768181041</v>
      </c>
      <c r="M11" s="455">
        <f>'EU-Pfad_ENAVI'!M23</f>
        <v>57.095036556541679</v>
      </c>
      <c r="N11" s="293"/>
      <c r="O11" s="293"/>
      <c r="P11" s="293"/>
      <c r="Q11" s="293"/>
      <c r="R11" s="293"/>
      <c r="S11" s="293"/>
      <c r="T11" s="113"/>
    </row>
    <row r="12" spans="1:20" x14ac:dyDescent="0.25">
      <c r="A12" s="389" t="str">
        <f>'EU-Pfad_ENAVI'!A24</f>
        <v>BNL</v>
      </c>
      <c r="B12" s="455">
        <f>'EU-Pfad_ENAVI'!B24</f>
        <v>155.55010813336861</v>
      </c>
      <c r="C12" s="455">
        <f>'EU-Pfad_ENAVI'!C24</f>
        <v>149.84843036550777</v>
      </c>
      <c r="D12" s="455">
        <f>'EU-Pfad_ENAVI'!D24</f>
        <v>137.98585137115342</v>
      </c>
      <c r="E12" s="455">
        <f>'EU-Pfad_ENAVI'!E24</f>
        <v>136.75403488387275</v>
      </c>
      <c r="F12" s="455">
        <f>'EU-Pfad_ENAVI'!F24</f>
        <v>133.05858542203069</v>
      </c>
      <c r="G12" s="455">
        <f>'EU-Pfad_ENAVI'!G24</f>
        <v>113.87490893708164</v>
      </c>
      <c r="H12" s="455">
        <f>'EU-Pfad_ENAVI'!H24</f>
        <v>118.97463329386686</v>
      </c>
      <c r="I12" s="455">
        <f>'EU-Pfad_ENAVI'!I24</f>
        <v>105.34555806192131</v>
      </c>
      <c r="J12" s="455">
        <f>'EU-Pfad_ENAVI'!J24</f>
        <v>98.704328823158207</v>
      </c>
      <c r="K12" s="455">
        <f>'EU-Pfad_ENAVI'!K24</f>
        <v>95.13095680614245</v>
      </c>
      <c r="L12" s="455">
        <f>'EU-Pfad_ENAVI'!L24</f>
        <v>91.294512807131028</v>
      </c>
      <c r="M12" s="455">
        <f>'EU-Pfad_ENAVI'!M24</f>
        <v>85.265954382368307</v>
      </c>
      <c r="N12" s="293"/>
      <c r="O12" s="293"/>
      <c r="P12" s="293"/>
      <c r="Q12" s="293"/>
      <c r="R12" s="293"/>
      <c r="S12" s="293"/>
      <c r="T12" s="113"/>
    </row>
    <row r="13" spans="1:20" x14ac:dyDescent="0.25">
      <c r="A13" s="389" t="str">
        <f>'EU-Pfad_ENAVI'!A25</f>
        <v>EUN</v>
      </c>
      <c r="B13" s="455">
        <f>'EU-Pfad_ENAVI'!B25</f>
        <v>135.57712109881277</v>
      </c>
      <c r="C13" s="455">
        <f>'EU-Pfad_ENAVI'!C25</f>
        <v>132.88834639973263</v>
      </c>
      <c r="D13" s="455">
        <f>'EU-Pfad_ENAVI'!D25</f>
        <v>135.41107208426203</v>
      </c>
      <c r="E13" s="455">
        <f>'EU-Pfad_ENAVI'!E25</f>
        <v>125.89438431958624</v>
      </c>
      <c r="F13" s="455">
        <f>'EU-Pfad_ENAVI'!F25</f>
        <v>97.344321025558855</v>
      </c>
      <c r="G13" s="455">
        <f>'EU-Pfad_ENAVI'!G25</f>
        <v>94.161967902106838</v>
      </c>
      <c r="H13" s="455">
        <f>'EU-Pfad_ENAVI'!H25</f>
        <v>90.26616760959007</v>
      </c>
      <c r="I13" s="455">
        <f>'EU-Pfad_ENAVI'!I25</f>
        <v>76.857697251065758</v>
      </c>
      <c r="J13" s="455">
        <f>'EU-Pfad_ENAVI'!J25</f>
        <v>66.721407884727043</v>
      </c>
      <c r="K13" s="455">
        <f>'EU-Pfad_ENAVI'!K25</f>
        <v>52.73097369982235</v>
      </c>
      <c r="L13" s="455">
        <f>'EU-Pfad_ENAVI'!L25</f>
        <v>43.535689925767798</v>
      </c>
      <c r="M13" s="455">
        <f>'EU-Pfad_ENAVI'!M25</f>
        <v>39.97694195834567</v>
      </c>
      <c r="N13" s="293"/>
      <c r="O13" s="293"/>
      <c r="P13" s="293"/>
      <c r="Q13" s="293"/>
      <c r="R13" s="293"/>
      <c r="S13" s="293"/>
      <c r="T13" s="113"/>
    </row>
    <row r="14" spans="1:20" x14ac:dyDescent="0.25">
      <c r="A14" s="389" t="str">
        <f>'EU-Pfad_ENAVI'!A26</f>
        <v>EUS</v>
      </c>
      <c r="B14" s="455">
        <f>'EU-Pfad_ENAVI'!B26</f>
        <v>381.60163704440595</v>
      </c>
      <c r="C14" s="455">
        <f>'EU-Pfad_ENAVI'!C26</f>
        <v>391.47034745315034</v>
      </c>
      <c r="D14" s="455">
        <f>'EU-Pfad_ENAVI'!D26</f>
        <v>338.37814030571838</v>
      </c>
      <c r="E14" s="455">
        <f>'EU-Pfad_ENAVI'!E26</f>
        <v>326.26551758267283</v>
      </c>
      <c r="F14" s="455">
        <f>'EU-Pfad_ENAVI'!F26</f>
        <v>289.92764941353619</v>
      </c>
      <c r="G14" s="455">
        <f>'EU-Pfad_ENAVI'!G26</f>
        <v>284.72713528647506</v>
      </c>
      <c r="H14" s="455">
        <f>'EU-Pfad_ENAVI'!H26</f>
        <v>253.4192400212379</v>
      </c>
      <c r="I14" s="455">
        <f>'EU-Pfad_ENAVI'!I26</f>
        <v>219.86942940945659</v>
      </c>
      <c r="J14" s="455">
        <f>'EU-Pfad_ENAVI'!J26</f>
        <v>190.78727869673457</v>
      </c>
      <c r="K14" s="455">
        <f>'EU-Pfad_ENAVI'!K26</f>
        <v>155.39909830378573</v>
      </c>
      <c r="L14" s="455">
        <f>'EU-Pfad_ENAVI'!L26</f>
        <v>126.01543654017749</v>
      </c>
      <c r="M14" s="455">
        <f>'EU-Pfad_ENAVI'!M26</f>
        <v>103.19249585998952</v>
      </c>
      <c r="N14" s="293"/>
      <c r="O14" s="293"/>
      <c r="P14" s="293"/>
      <c r="Q14" s="293"/>
      <c r="R14" s="293"/>
      <c r="S14" s="293"/>
      <c r="T14" s="113"/>
    </row>
    <row r="15" spans="1:20" x14ac:dyDescent="0.25">
      <c r="A15" s="389" t="str">
        <f>'EU-Pfad_ENAVI'!A27</f>
        <v>EU28</v>
      </c>
      <c r="B15" s="455">
        <f>'EU-Pfad_ENAVI'!B27</f>
        <v>2264.5790780305319</v>
      </c>
      <c r="C15" s="455">
        <f>'EU-Pfad_ENAVI'!C27</f>
        <v>2291.5481027301516</v>
      </c>
      <c r="D15" s="455">
        <f>'EU-Pfad_ENAVI'!D27</f>
        <v>2010.9915429368743</v>
      </c>
      <c r="E15" s="455">
        <f>'EU-Pfad_ENAVI'!E27</f>
        <v>1966.2636530920827</v>
      </c>
      <c r="F15" s="455">
        <f>'EU-Pfad_ENAVI'!F27</f>
        <v>1832.0799835577081</v>
      </c>
      <c r="G15" s="455">
        <f>'EU-Pfad_ENAVI'!G27</f>
        <v>1692.8528682403846</v>
      </c>
      <c r="H15" s="455">
        <f>'EU-Pfad_ENAVI'!H27</f>
        <v>1557.8989006302008</v>
      </c>
      <c r="I15" s="455">
        <f>'EU-Pfad_ENAVI'!I27</f>
        <v>1353.36353353349</v>
      </c>
      <c r="J15" s="455">
        <f>'EU-Pfad_ENAVI'!J27</f>
        <v>1179.7487929577792</v>
      </c>
      <c r="K15" s="455">
        <f>'EU-Pfad_ENAVI'!K27</f>
        <v>1045.2519089696505</v>
      </c>
      <c r="L15" s="455">
        <f>'EU-Pfad_ENAVI'!L27</f>
        <v>896.25100648667274</v>
      </c>
      <c r="M15" s="455">
        <f>'EU-Pfad_ENAVI'!M27</f>
        <v>737.41832129790248</v>
      </c>
      <c r="N15" s="293"/>
      <c r="O15" s="293"/>
      <c r="P15" s="293"/>
      <c r="Q15" s="293"/>
      <c r="R15" s="293"/>
      <c r="S15" s="293"/>
      <c r="T15" s="113"/>
    </row>
    <row r="16" spans="1:20" x14ac:dyDescent="0.25">
      <c r="A16" s="393"/>
      <c r="B16" s="293"/>
      <c r="C16" s="293"/>
      <c r="D16" s="293"/>
      <c r="E16" s="293"/>
      <c r="F16" s="293"/>
      <c r="G16" s="293"/>
      <c r="H16" s="293"/>
      <c r="I16" s="293"/>
      <c r="J16" s="293"/>
      <c r="K16" s="293"/>
      <c r="L16" s="293"/>
      <c r="M16" s="293"/>
      <c r="N16" s="293"/>
      <c r="O16" s="293"/>
      <c r="P16" s="293"/>
      <c r="Q16" s="293"/>
      <c r="R16" s="293"/>
      <c r="S16" s="293"/>
      <c r="T16" s="113"/>
    </row>
    <row r="17" spans="1:20" x14ac:dyDescent="0.25">
      <c r="A17" s="403" t="s">
        <v>283</v>
      </c>
      <c r="B17" s="393">
        <f>'EU-Reference CO2 emissions'!F14</f>
        <v>2000</v>
      </c>
      <c r="C17" s="393">
        <f>'EU-Reference CO2 emissions'!G14</f>
        <v>2005</v>
      </c>
      <c r="D17" s="393">
        <f>'EU-Reference CO2 emissions'!H14</f>
        <v>2010</v>
      </c>
      <c r="E17" s="393">
        <f>'EU-Reference CO2 emissions'!I14</f>
        <v>2011</v>
      </c>
      <c r="F17" s="393">
        <f>'EU-Reference CO2 emissions'!J14</f>
        <v>2015</v>
      </c>
      <c r="G17" s="393">
        <f>'EU-Reference CO2 emissions'!K14</f>
        <v>2020</v>
      </c>
      <c r="H17" s="393">
        <f>'EU-Reference CO2 emissions'!L14</f>
        <v>2025</v>
      </c>
      <c r="I17" s="393">
        <f>'EU-Reference CO2 emissions'!M14</f>
        <v>2030</v>
      </c>
      <c r="J17" s="393">
        <f>'EU-Reference CO2 emissions'!N14</f>
        <v>2035</v>
      </c>
      <c r="K17" s="393">
        <f>'EU-Reference CO2 emissions'!O14</f>
        <v>2040</v>
      </c>
      <c r="L17" s="393">
        <f>'EU-Reference CO2 emissions'!P14</f>
        <v>2045</v>
      </c>
      <c r="M17" s="393">
        <f>'EU-Reference CO2 emissions'!Q14</f>
        <v>2050</v>
      </c>
      <c r="N17" s="293"/>
      <c r="O17" s="293"/>
      <c r="P17" s="293"/>
      <c r="Q17" s="293"/>
      <c r="R17" s="293"/>
      <c r="S17" s="293"/>
      <c r="T17" s="113"/>
    </row>
    <row r="18" spans="1:20" x14ac:dyDescent="0.25">
      <c r="A18" s="393" t="str">
        <f>'EU-Reference CO2 emissions'!B15</f>
        <v>DEU</v>
      </c>
      <c r="B18" s="393">
        <f>'EU-Reference CO2 emissions'!F15</f>
        <v>363.19003914032862</v>
      </c>
      <c r="C18" s="393">
        <f>'EU-Reference CO2 emissions'!G15</f>
        <v>338.76372295093802</v>
      </c>
      <c r="D18" s="393">
        <f>'EU-Reference CO2 emissions'!H15</f>
        <v>324.43346484088443</v>
      </c>
      <c r="E18" s="393">
        <f>'EU-Reference CO2 emissions'!I15</f>
        <v>323.71743319316772</v>
      </c>
      <c r="F18" s="393">
        <f>'EU-Reference CO2 emissions'!J15</f>
        <v>321.56933825001761</v>
      </c>
      <c r="G18" s="393">
        <f>'EU-Reference CO2 emissions'!K15</f>
        <v>291.81302058724117</v>
      </c>
      <c r="H18" s="393">
        <f>'EU-Reference CO2 emissions'!L15</f>
        <v>277.33697705242082</v>
      </c>
      <c r="I18" s="393">
        <f>'EU-Reference CO2 emissions'!M15</f>
        <v>258.52298763065187</v>
      </c>
      <c r="J18" s="393">
        <f>'EU-Reference CO2 emissions'!N15</f>
        <v>248.94943523932304</v>
      </c>
      <c r="K18" s="393">
        <f>'EU-Reference CO2 emissions'!O15</f>
        <v>242.51923157589843</v>
      </c>
      <c r="L18" s="393">
        <f>'EU-Reference CO2 emissions'!P15</f>
        <v>238.45863766196038</v>
      </c>
      <c r="M18" s="393">
        <f>'EU-Reference CO2 emissions'!Q15</f>
        <v>234.01511787280947</v>
      </c>
      <c r="N18" s="293"/>
      <c r="O18" s="293"/>
      <c r="P18" s="293"/>
      <c r="Q18" s="293"/>
      <c r="R18" s="293"/>
      <c r="S18" s="293"/>
      <c r="T18" s="113"/>
    </row>
    <row r="19" spans="1:20" x14ac:dyDescent="0.25">
      <c r="A19" s="393" t="str">
        <f>'EU-Reference CO2 emissions'!B16</f>
        <v>FRA</v>
      </c>
      <c r="B19" s="393">
        <f>'EU-Reference CO2 emissions'!F16</f>
        <v>247.12609809914568</v>
      </c>
      <c r="C19" s="393">
        <f>'EU-Reference CO2 emissions'!G16</f>
        <v>257.3978702205535</v>
      </c>
      <c r="D19" s="393">
        <f>'EU-Reference CO2 emissions'!H16</f>
        <v>242.710331607916</v>
      </c>
      <c r="E19" s="393">
        <f>'EU-Reference CO2 emissions'!I16</f>
        <v>240.10913845947755</v>
      </c>
      <c r="F19" s="393">
        <f>'EU-Reference CO2 emissions'!J16</f>
        <v>232.30555901416224</v>
      </c>
      <c r="G19" s="393">
        <f>'EU-Reference CO2 emissions'!K16</f>
        <v>216.5503612489652</v>
      </c>
      <c r="H19" s="393">
        <f>'EU-Reference CO2 emissions'!L16</f>
        <v>211.09389348443452</v>
      </c>
      <c r="I19" s="393">
        <f>'EU-Reference CO2 emissions'!M16</f>
        <v>204.73806194798652</v>
      </c>
      <c r="J19" s="393">
        <f>'EU-Reference CO2 emissions'!N16</f>
        <v>200.56874086076598</v>
      </c>
      <c r="K19" s="393">
        <f>'EU-Reference CO2 emissions'!O16</f>
        <v>197.98236394644758</v>
      </c>
      <c r="L19" s="393">
        <f>'EU-Reference CO2 emissions'!P16</f>
        <v>194.58095490915605</v>
      </c>
      <c r="M19" s="393">
        <f>'EU-Reference CO2 emissions'!Q16</f>
        <v>191.69480903744017</v>
      </c>
      <c r="N19" s="293"/>
      <c r="O19" s="293"/>
      <c r="P19" s="293"/>
      <c r="Q19" s="293"/>
      <c r="R19" s="293"/>
      <c r="S19" s="293"/>
      <c r="T19" s="113"/>
    </row>
    <row r="20" spans="1:20" x14ac:dyDescent="0.25">
      <c r="A20" s="393" t="str">
        <f>'EU-Reference CO2 emissions'!B17</f>
        <v>ITA</v>
      </c>
      <c r="B20" s="393">
        <f>'EU-Reference CO2 emissions'!F17</f>
        <v>201.4952260902611</v>
      </c>
      <c r="C20" s="393">
        <f>'EU-Reference CO2 emissions'!G17</f>
        <v>221.02037806096394</v>
      </c>
      <c r="D20" s="393">
        <f>'EU-Reference CO2 emissions'!H17</f>
        <v>202.42680042950434</v>
      </c>
      <c r="E20" s="393">
        <f>'EU-Reference CO2 emissions'!I17</f>
        <v>199.68372640707375</v>
      </c>
      <c r="F20" s="393">
        <f>'EU-Reference CO2 emissions'!J17</f>
        <v>191.45450433978198</v>
      </c>
      <c r="G20" s="393">
        <f>'EU-Reference CO2 emissions'!K17</f>
        <v>184.03006815259602</v>
      </c>
      <c r="H20" s="393">
        <f>'EU-Reference CO2 emissions'!L17</f>
        <v>178.75731984596223</v>
      </c>
      <c r="I20" s="393">
        <f>'EU-Reference CO2 emissions'!M17</f>
        <v>174.3832662181799</v>
      </c>
      <c r="J20" s="393">
        <f>'EU-Reference CO2 emissions'!N17</f>
        <v>168.82750965995933</v>
      </c>
      <c r="K20" s="393">
        <f>'EU-Reference CO2 emissions'!O17</f>
        <v>164.82280860212074</v>
      </c>
      <c r="L20" s="393">
        <f>'EU-Reference CO2 emissions'!P17</f>
        <v>164.91098170014058</v>
      </c>
      <c r="M20" s="393">
        <f>'EU-Reference CO2 emissions'!Q17</f>
        <v>162.22883503980341</v>
      </c>
      <c r="N20" s="293"/>
      <c r="O20" s="293"/>
      <c r="P20" s="293"/>
      <c r="Q20" s="293"/>
      <c r="R20" s="293"/>
      <c r="S20" s="293"/>
      <c r="T20" s="113"/>
    </row>
    <row r="21" spans="1:20" x14ac:dyDescent="0.25">
      <c r="A21" s="393" t="str">
        <f>'EU-Reference CO2 emissions'!B18</f>
        <v>POL</v>
      </c>
      <c r="B21" s="393">
        <f>'EU-Reference CO2 emissions'!F18</f>
        <v>73.78726096449077</v>
      </c>
      <c r="C21" s="393">
        <f>'EU-Reference CO2 emissions'!G18</f>
        <v>92.002429139983789</v>
      </c>
      <c r="D21" s="393">
        <f>'EU-Reference CO2 emissions'!H18</f>
        <v>116.16039670755603</v>
      </c>
      <c r="E21" s="393">
        <f>'EU-Reference CO2 emissions'!I18</f>
        <v>114.44868950053666</v>
      </c>
      <c r="F21" s="393">
        <f>'EU-Reference CO2 emissions'!J18</f>
        <v>109.31356787947854</v>
      </c>
      <c r="G21" s="393">
        <f>'EU-Reference CO2 emissions'!K18</f>
        <v>107.45875730727505</v>
      </c>
      <c r="H21" s="393">
        <f>'EU-Reference CO2 emissions'!L18</f>
        <v>104.16420820186524</v>
      </c>
      <c r="I21" s="393">
        <f>'EU-Reference CO2 emissions'!M18</f>
        <v>101.14292826288637</v>
      </c>
      <c r="J21" s="393">
        <f>'EU-Reference CO2 emissions'!N18</f>
        <v>98.298734217044526</v>
      </c>
      <c r="K21" s="393">
        <f>'EU-Reference CO2 emissions'!O18</f>
        <v>96.256080409029778</v>
      </c>
      <c r="L21" s="393">
        <f>'EU-Reference CO2 emissions'!P18</f>
        <v>95.567978209267068</v>
      </c>
      <c r="M21" s="393">
        <f>'EU-Reference CO2 emissions'!Q18</f>
        <v>94.687728655357887</v>
      </c>
      <c r="N21" s="293"/>
      <c r="O21" s="293"/>
      <c r="P21" s="293"/>
      <c r="Q21" s="293"/>
      <c r="R21" s="293"/>
      <c r="S21" s="293"/>
      <c r="T21" s="113"/>
    </row>
    <row r="22" spans="1:20" x14ac:dyDescent="0.25">
      <c r="A22" s="393" t="str">
        <f>'EU-Reference CO2 emissions'!B19</f>
        <v>UKI</v>
      </c>
      <c r="B22" s="393">
        <f>'EU-Reference CO2 emissions'!F19</f>
        <v>265.23051901144999</v>
      </c>
      <c r="C22" s="393">
        <f>'EU-Reference CO2 emissions'!G19</f>
        <v>271.14517170392389</v>
      </c>
      <c r="D22" s="393">
        <f>'EU-Reference CO2 emissions'!H19</f>
        <v>258.48590870909436</v>
      </c>
      <c r="E22" s="393">
        <f>'EU-Reference CO2 emissions'!I19</f>
        <v>256.78831537450947</v>
      </c>
      <c r="F22" s="393">
        <f>'EU-Reference CO2 emissions'!J19</f>
        <v>251.69553537075475</v>
      </c>
      <c r="G22" s="393">
        <f>'EU-Reference CO2 emissions'!K19</f>
        <v>232.89003508099472</v>
      </c>
      <c r="H22" s="393">
        <f>'EU-Reference CO2 emissions'!L19</f>
        <v>225.44819876049121</v>
      </c>
      <c r="I22" s="393">
        <f>'EU-Reference CO2 emissions'!M19</f>
        <v>216.05466175888182</v>
      </c>
      <c r="J22" s="393">
        <f>'EU-Reference CO2 emissions'!N19</f>
        <v>213.29293658467873</v>
      </c>
      <c r="K22" s="393">
        <f>'EU-Reference CO2 emissions'!O19</f>
        <v>212.05756472541069</v>
      </c>
      <c r="L22" s="393">
        <f>'EU-Reference CO2 emissions'!P19</f>
        <v>212.10523368743128</v>
      </c>
      <c r="M22" s="393">
        <f>'EU-Reference CO2 emissions'!Q19</f>
        <v>213.8231003643599</v>
      </c>
      <c r="N22" s="293"/>
      <c r="O22" s="293"/>
      <c r="P22" s="293"/>
      <c r="Q22" s="293"/>
      <c r="R22" s="293"/>
      <c r="S22" s="293"/>
      <c r="T22" s="113"/>
    </row>
    <row r="23" spans="1:20" x14ac:dyDescent="0.25">
      <c r="A23" s="393" t="str">
        <f>'EU-Reference CO2 emissions'!B20</f>
        <v>ESP</v>
      </c>
      <c r="B23" s="393">
        <f>'EU-Reference CO2 emissions'!F20</f>
        <v>154.24678052993687</v>
      </c>
      <c r="C23" s="393">
        <f>'EU-Reference CO2 emissions'!G20</f>
        <v>185.18824450849652</v>
      </c>
      <c r="D23" s="393">
        <f>'EU-Reference CO2 emissions'!H20</f>
        <v>169.67442112387275</v>
      </c>
      <c r="E23" s="393">
        <f>'EU-Reference CO2 emissions'!I20</f>
        <v>166.57582704689324</v>
      </c>
      <c r="F23" s="393">
        <f>'EU-Reference CO2 emissions'!J20</f>
        <v>157.28004481595468</v>
      </c>
      <c r="G23" s="393">
        <f>'EU-Reference CO2 emissions'!K20</f>
        <v>147.79980273115621</v>
      </c>
      <c r="H23" s="393">
        <f>'EU-Reference CO2 emissions'!L20</f>
        <v>145.44591166010667</v>
      </c>
      <c r="I23" s="393">
        <f>'EU-Reference CO2 emissions'!M20</f>
        <v>144.6538955952829</v>
      </c>
      <c r="J23" s="393">
        <f>'EU-Reference CO2 emissions'!N20</f>
        <v>146.33958855060979</v>
      </c>
      <c r="K23" s="393">
        <f>'EU-Reference CO2 emissions'!O20</f>
        <v>147.32111836330671</v>
      </c>
      <c r="L23" s="393">
        <f>'EU-Reference CO2 emissions'!P20</f>
        <v>146.55440896854952</v>
      </c>
      <c r="M23" s="393">
        <f>'EU-Reference CO2 emissions'!Q20</f>
        <v>147.33904310565509</v>
      </c>
      <c r="N23" s="293"/>
      <c r="O23" s="293"/>
      <c r="P23" s="293"/>
      <c r="Q23" s="293"/>
      <c r="R23" s="293"/>
      <c r="S23" s="293"/>
      <c r="T23" s="113"/>
    </row>
    <row r="24" spans="1:20" x14ac:dyDescent="0.25">
      <c r="A24" s="393" t="str">
        <f>'EU-Reference CO2 emissions'!B21</f>
        <v>BNL</v>
      </c>
      <c r="B24" s="393">
        <f>'EU-Reference CO2 emissions'!F21</f>
        <v>144.44151059309155</v>
      </c>
      <c r="C24" s="393">
        <f>'EU-Reference CO2 emissions'!G21</f>
        <v>152.62203516501074</v>
      </c>
      <c r="D24" s="393">
        <f>'EU-Reference CO2 emissions'!H21</f>
        <v>155.17806335393158</v>
      </c>
      <c r="E24" s="393">
        <f>'EU-Reference CO2 emissions'!I21</f>
        <v>153.24260608872177</v>
      </c>
      <c r="F24" s="393">
        <f>'EU-Reference CO2 emissions'!J21</f>
        <v>147.43623429309238</v>
      </c>
      <c r="G24" s="393">
        <f>'EU-Reference CO2 emissions'!K21</f>
        <v>137.61174693476903</v>
      </c>
      <c r="H24" s="393">
        <f>'EU-Reference CO2 emissions'!L21</f>
        <v>134.53423869354796</v>
      </c>
      <c r="I24" s="393">
        <f>'EU-Reference CO2 emissions'!M21</f>
        <v>131.61198643751629</v>
      </c>
      <c r="J24" s="393">
        <f>'EU-Reference CO2 emissions'!N21</f>
        <v>131.06652264741936</v>
      </c>
      <c r="K24" s="393">
        <f>'EU-Reference CO2 emissions'!O21</f>
        <v>131.88472362277182</v>
      </c>
      <c r="L24" s="393">
        <f>'EU-Reference CO2 emissions'!P21</f>
        <v>132.57284014723865</v>
      </c>
      <c r="M24" s="393">
        <f>'EU-Reference CO2 emissions'!Q21</f>
        <v>132.95785377740847</v>
      </c>
      <c r="N24" s="293"/>
      <c r="O24" s="293"/>
      <c r="P24" s="293"/>
      <c r="Q24" s="293"/>
      <c r="R24" s="293"/>
      <c r="S24" s="293"/>
      <c r="T24" s="113"/>
    </row>
    <row r="25" spans="1:20" x14ac:dyDescent="0.25">
      <c r="A25" s="393" t="str">
        <f>'EU-Reference CO2 emissions'!B22</f>
        <v>EUN</v>
      </c>
      <c r="B25" s="393">
        <f>'EU-Reference CO2 emissions'!F22</f>
        <v>102.40170507459747</v>
      </c>
      <c r="C25" s="393">
        <f>'EU-Reference CO2 emissions'!G22</f>
        <v>109.92190106765914</v>
      </c>
      <c r="D25" s="393">
        <f>'EU-Reference CO2 emissions'!H22</f>
        <v>106.78858652169323</v>
      </c>
      <c r="E25" s="393">
        <f>'EU-Reference CO2 emissions'!I22</f>
        <v>104.41411817081944</v>
      </c>
      <c r="F25" s="393">
        <f>'EU-Reference CO2 emissions'!J22</f>
        <v>97.290713118198056</v>
      </c>
      <c r="G25" s="393">
        <f>'EU-Reference CO2 emissions'!K22</f>
        <v>92.235627337129472</v>
      </c>
      <c r="H25" s="393">
        <f>'EU-Reference CO2 emissions'!L22</f>
        <v>89.774485280350206</v>
      </c>
      <c r="I25" s="393">
        <f>'EU-Reference CO2 emissions'!M22</f>
        <v>87.140321439872807</v>
      </c>
      <c r="J25" s="393">
        <f>'EU-Reference CO2 emissions'!N22</f>
        <v>86.370966596691005</v>
      </c>
      <c r="K25" s="393">
        <f>'EU-Reference CO2 emissions'!O22</f>
        <v>86.5576882587971</v>
      </c>
      <c r="L25" s="393">
        <f>'EU-Reference CO2 emissions'!P22</f>
        <v>86.912964148540354</v>
      </c>
      <c r="M25" s="393">
        <f>'EU-Reference CO2 emissions'!Q22</f>
        <v>87.495533159798512</v>
      </c>
      <c r="N25" s="293"/>
      <c r="O25" s="293"/>
      <c r="P25" s="293"/>
      <c r="Q25" s="293"/>
      <c r="R25" s="293"/>
      <c r="S25" s="293"/>
      <c r="T25" s="113"/>
    </row>
    <row r="26" spans="1:20" x14ac:dyDescent="0.25">
      <c r="A26" s="393" t="str">
        <f>'EU-Reference CO2 emissions'!B23</f>
        <v>EUS</v>
      </c>
      <c r="B26" s="393">
        <f>'EU-Reference CO2 emissions'!F23</f>
        <v>175.65299071192658</v>
      </c>
      <c r="C26" s="393">
        <f>'EU-Reference CO2 emissions'!G23</f>
        <v>207.52385890951729</v>
      </c>
      <c r="D26" s="393">
        <f>'EU-Reference CO2 emissions'!H23</f>
        <v>195.48132352457904</v>
      </c>
      <c r="E26" s="393">
        <f>'EU-Reference CO2 emissions'!I23</f>
        <v>192.52293065699499</v>
      </c>
      <c r="F26" s="393">
        <f>'EU-Reference CO2 emissions'!J23</f>
        <v>183.64775205424283</v>
      </c>
      <c r="G26" s="393">
        <f>'EU-Reference CO2 emissions'!K23</f>
        <v>178.05594967067674</v>
      </c>
      <c r="H26" s="393">
        <f>'EU-Reference CO2 emissions'!L23</f>
        <v>174.92949238561309</v>
      </c>
      <c r="I26" s="393">
        <f>'EU-Reference CO2 emissions'!M23</f>
        <v>172.66690269210673</v>
      </c>
      <c r="J26" s="393">
        <f>'EU-Reference CO2 emissions'!N23</f>
        <v>173.72690711191962</v>
      </c>
      <c r="K26" s="393">
        <f>'EU-Reference CO2 emissions'!O23</f>
        <v>174.17633027377281</v>
      </c>
      <c r="L26" s="393">
        <f>'EU-Reference CO2 emissions'!P23</f>
        <v>173.6758908928023</v>
      </c>
      <c r="M26" s="393">
        <f>'EU-Reference CO2 emissions'!Q23</f>
        <v>173.82790288907529</v>
      </c>
      <c r="N26" s="293"/>
      <c r="O26" s="293"/>
      <c r="P26" s="293"/>
      <c r="Q26" s="293"/>
      <c r="R26" s="293"/>
      <c r="S26" s="293"/>
      <c r="T26" s="113"/>
    </row>
    <row r="27" spans="1:20" ht="15.75" thickBot="1" x14ac:dyDescent="0.3">
      <c r="A27" s="393"/>
      <c r="B27" s="293"/>
      <c r="C27" s="293"/>
      <c r="D27" s="293"/>
      <c r="E27" s="293"/>
      <c r="F27" s="293"/>
      <c r="G27" s="293"/>
      <c r="H27" s="293"/>
      <c r="I27" s="293"/>
      <c r="J27" s="293"/>
      <c r="K27" s="293"/>
      <c r="L27" s="293"/>
      <c r="M27" s="293"/>
      <c r="N27" s="293"/>
      <c r="O27" s="293"/>
      <c r="P27" s="293"/>
      <c r="Q27" s="293"/>
      <c r="R27" s="293"/>
      <c r="S27" s="293"/>
      <c r="T27" s="113"/>
    </row>
    <row r="28" spans="1:20" x14ac:dyDescent="0.25">
      <c r="A28" s="544" t="s">
        <v>281</v>
      </c>
      <c r="B28" s="545"/>
      <c r="C28" s="545"/>
      <c r="D28" s="545"/>
      <c r="E28" s="545"/>
      <c r="F28" s="545"/>
      <c r="G28" s="545"/>
      <c r="H28" s="545"/>
      <c r="I28" s="545"/>
      <c r="J28" s="546"/>
      <c r="K28" s="293"/>
      <c r="L28" s="293"/>
      <c r="M28" s="293"/>
      <c r="N28" s="293"/>
      <c r="O28" s="293"/>
      <c r="P28" s="293"/>
      <c r="Q28" s="293"/>
      <c r="R28" s="293"/>
      <c r="S28" s="293"/>
      <c r="T28" s="113"/>
    </row>
    <row r="29" spans="1:20" x14ac:dyDescent="0.25">
      <c r="A29" s="405" t="s">
        <v>282</v>
      </c>
      <c r="B29" s="293"/>
      <c r="C29" s="293"/>
      <c r="D29" s="293"/>
      <c r="E29" s="293"/>
      <c r="F29" s="293"/>
      <c r="G29" s="293"/>
      <c r="H29" s="293"/>
      <c r="I29" s="293"/>
      <c r="J29" s="386"/>
      <c r="K29" s="293"/>
      <c r="L29" s="293"/>
      <c r="M29" s="293"/>
      <c r="N29" s="293"/>
      <c r="O29" s="293"/>
      <c r="P29" s="293"/>
      <c r="Q29" s="293"/>
      <c r="R29" s="293"/>
      <c r="S29" s="293"/>
      <c r="T29" s="113"/>
    </row>
    <row r="30" spans="1:20" x14ac:dyDescent="0.25">
      <c r="A30" s="402"/>
      <c r="B30" s="404">
        <f>E5</f>
        <v>2011</v>
      </c>
      <c r="C30" s="404">
        <f t="shared" ref="C30:J30" si="0">F5</f>
        <v>2015</v>
      </c>
      <c r="D30" s="404">
        <f t="shared" si="0"/>
        <v>2020</v>
      </c>
      <c r="E30" s="404">
        <f t="shared" si="0"/>
        <v>2025</v>
      </c>
      <c r="F30" s="404">
        <f t="shared" si="0"/>
        <v>2030</v>
      </c>
      <c r="G30" s="404">
        <f t="shared" si="0"/>
        <v>2035</v>
      </c>
      <c r="H30" s="404">
        <f t="shared" si="0"/>
        <v>2040</v>
      </c>
      <c r="I30" s="404">
        <f t="shared" si="0"/>
        <v>2045</v>
      </c>
      <c r="J30" s="406">
        <f t="shared" si="0"/>
        <v>2050</v>
      </c>
      <c r="K30" s="293"/>
      <c r="L30" s="293"/>
      <c r="M30" s="293"/>
      <c r="N30" s="293"/>
      <c r="O30" s="293"/>
      <c r="P30" s="293"/>
      <c r="Q30" s="293"/>
      <c r="R30" s="293"/>
      <c r="S30" s="293"/>
      <c r="T30" s="113"/>
    </row>
    <row r="31" spans="1:20" x14ac:dyDescent="0.25">
      <c r="A31" s="402" t="s">
        <v>190</v>
      </c>
      <c r="B31" s="293">
        <f>E15/$E$15</f>
        <v>1</v>
      </c>
      <c r="C31" s="293">
        <f t="shared" ref="C31:J31" si="1">F15/$E$15</f>
        <v>0.93175703099461682</v>
      </c>
      <c r="D31" s="293">
        <f t="shared" si="1"/>
        <v>0.86094907240860552</v>
      </c>
      <c r="E31" s="293">
        <f t="shared" si="1"/>
        <v>0.79231434613577856</v>
      </c>
      <c r="F31" s="293">
        <f t="shared" si="1"/>
        <v>0.68829199553439047</v>
      </c>
      <c r="G31" s="293">
        <f t="shared" si="1"/>
        <v>0.59999521992004701</v>
      </c>
      <c r="H31" s="293">
        <f t="shared" si="1"/>
        <v>0.5315929566850921</v>
      </c>
      <c r="I31" s="293">
        <f t="shared" si="1"/>
        <v>0.45581425719651453</v>
      </c>
      <c r="J31" s="386">
        <f t="shared" si="1"/>
        <v>0.37503532150343227</v>
      </c>
      <c r="K31" s="293"/>
      <c r="L31" s="438"/>
      <c r="M31" s="438"/>
      <c r="N31" s="438"/>
      <c r="O31" s="438"/>
      <c r="P31" s="438"/>
      <c r="Q31" s="438"/>
      <c r="R31" s="438"/>
      <c r="S31" s="438"/>
      <c r="T31" s="438"/>
    </row>
    <row r="32" spans="1:20" x14ac:dyDescent="0.25">
      <c r="A32" s="382"/>
      <c r="B32" s="293"/>
      <c r="C32" s="293"/>
      <c r="D32" s="293"/>
      <c r="E32" s="293"/>
      <c r="F32" s="293"/>
      <c r="G32" s="293"/>
      <c r="H32" s="293"/>
      <c r="I32" s="293"/>
      <c r="J32" s="386"/>
      <c r="K32" s="293"/>
      <c r="L32" s="293"/>
      <c r="M32" s="293"/>
      <c r="N32" s="293"/>
      <c r="O32" s="293"/>
      <c r="P32" s="293"/>
      <c r="Q32" s="293"/>
      <c r="R32" s="293"/>
      <c r="S32" s="293"/>
      <c r="T32" s="113"/>
    </row>
    <row r="33" spans="1:20" x14ac:dyDescent="0.25">
      <c r="A33" s="405" t="s">
        <v>283</v>
      </c>
      <c r="B33" s="293"/>
      <c r="C33" s="293"/>
      <c r="D33" s="293"/>
      <c r="E33" s="293"/>
      <c r="F33" s="293"/>
      <c r="G33" s="293"/>
      <c r="H33" s="293"/>
      <c r="I33" s="293"/>
      <c r="J33" s="386"/>
      <c r="K33" s="293"/>
      <c r="L33" s="293"/>
      <c r="M33" s="293"/>
      <c r="N33" s="293"/>
      <c r="O33" s="293"/>
      <c r="P33" s="293"/>
      <c r="Q33" s="293"/>
      <c r="R33" s="293"/>
      <c r="S33" s="293"/>
      <c r="T33" s="113"/>
    </row>
    <row r="34" spans="1:20" x14ac:dyDescent="0.25">
      <c r="A34" s="382"/>
      <c r="B34" s="404">
        <f>B30</f>
        <v>2011</v>
      </c>
      <c r="C34" s="404">
        <f t="shared" ref="C34:J34" si="2">C30</f>
        <v>2015</v>
      </c>
      <c r="D34" s="404">
        <f t="shared" si="2"/>
        <v>2020</v>
      </c>
      <c r="E34" s="404">
        <f t="shared" si="2"/>
        <v>2025</v>
      </c>
      <c r="F34" s="404">
        <f t="shared" si="2"/>
        <v>2030</v>
      </c>
      <c r="G34" s="404">
        <f t="shared" si="2"/>
        <v>2035</v>
      </c>
      <c r="H34" s="404">
        <f t="shared" si="2"/>
        <v>2040</v>
      </c>
      <c r="I34" s="404">
        <f t="shared" si="2"/>
        <v>2045</v>
      </c>
      <c r="J34" s="406">
        <f t="shared" si="2"/>
        <v>2050</v>
      </c>
      <c r="K34" s="293"/>
      <c r="L34" s="293"/>
      <c r="M34" s="293"/>
      <c r="N34" s="293"/>
      <c r="O34" s="293"/>
      <c r="P34" s="293"/>
      <c r="Q34" s="293"/>
      <c r="R34" s="293"/>
      <c r="S34" s="293"/>
      <c r="T34" s="113"/>
    </row>
    <row r="35" spans="1:20" x14ac:dyDescent="0.25">
      <c r="A35" s="402" t="str">
        <f>A18</f>
        <v>DEU</v>
      </c>
      <c r="B35" s="293">
        <f>E18/$E18</f>
        <v>1</v>
      </c>
      <c r="C35" s="293">
        <f>F18/$E18</f>
        <v>0.99336429020222616</v>
      </c>
      <c r="D35" s="293">
        <f t="shared" ref="C35:J43" si="3">G18/$E18</f>
        <v>0.90144363777007752</v>
      </c>
      <c r="E35" s="293">
        <f t="shared" si="3"/>
        <v>0.85672549147802335</v>
      </c>
      <c r="F35" s="293">
        <f t="shared" si="3"/>
        <v>0.79860693655131876</v>
      </c>
      <c r="G35" s="293">
        <f t="shared" si="3"/>
        <v>0.76903314345375606</v>
      </c>
      <c r="H35" s="293">
        <f t="shared" si="3"/>
        <v>0.74916951238515184</v>
      </c>
      <c r="I35" s="293">
        <f t="shared" si="3"/>
        <v>0.73662587556620107</v>
      </c>
      <c r="J35" s="386">
        <f t="shared" si="3"/>
        <v>0.72289933713013421</v>
      </c>
      <c r="K35" s="293"/>
      <c r="L35" s="293"/>
      <c r="M35" s="293"/>
      <c r="N35" s="293"/>
      <c r="O35" s="293"/>
      <c r="P35" s="293"/>
      <c r="Q35" s="293"/>
      <c r="R35" s="293"/>
      <c r="S35" s="293"/>
      <c r="T35" s="113"/>
    </row>
    <row r="36" spans="1:20" x14ac:dyDescent="0.25">
      <c r="A36" s="402" t="str">
        <f t="shared" ref="A36:A43" si="4">A19</f>
        <v>FRA</v>
      </c>
      <c r="B36" s="293">
        <f t="shared" ref="B36:B43" si="5">E19/$E19</f>
        <v>1</v>
      </c>
      <c r="C36" s="293">
        <f t="shared" si="3"/>
        <v>0.96749986487235562</v>
      </c>
      <c r="D36" s="293">
        <f t="shared" si="3"/>
        <v>0.90188304634440941</v>
      </c>
      <c r="E36" s="293">
        <f t="shared" si="3"/>
        <v>0.8791580980165824</v>
      </c>
      <c r="F36" s="293">
        <f>I19/$E19</f>
        <v>0.85268750394745807</v>
      </c>
      <c r="G36" s="293">
        <f t="shared" si="3"/>
        <v>0.83532322904325995</v>
      </c>
      <c r="H36" s="293">
        <f t="shared" si="3"/>
        <v>0.8245515569156916</v>
      </c>
      <c r="I36" s="293">
        <f t="shared" si="3"/>
        <v>0.81038546120140631</v>
      </c>
      <c r="J36" s="386">
        <f t="shared" si="3"/>
        <v>0.79836531948488032</v>
      </c>
      <c r="K36" s="293"/>
      <c r="L36" s="293"/>
      <c r="M36" s="293"/>
      <c r="N36" s="293"/>
      <c r="O36" s="293"/>
      <c r="P36" s="293"/>
      <c r="Q36" s="293"/>
      <c r="R36" s="293"/>
      <c r="S36" s="293"/>
      <c r="T36" s="113"/>
    </row>
    <row r="37" spans="1:20" x14ac:dyDescent="0.25">
      <c r="A37" s="402" t="str">
        <f t="shared" si="4"/>
        <v>ITA</v>
      </c>
      <c r="B37" s="293">
        <f t="shared" si="5"/>
        <v>1</v>
      </c>
      <c r="C37" s="293">
        <f t="shared" si="3"/>
        <v>0.95878871946472122</v>
      </c>
      <c r="D37" s="293">
        <f t="shared" si="3"/>
        <v>0.92160774172169491</v>
      </c>
      <c r="E37" s="293">
        <f t="shared" si="3"/>
        <v>0.89520224337935728</v>
      </c>
      <c r="F37" s="293">
        <f t="shared" si="3"/>
        <v>0.87329733552089006</v>
      </c>
      <c r="G37" s="293">
        <f t="shared" si="3"/>
        <v>0.84547455467547128</v>
      </c>
      <c r="H37" s="293">
        <f t="shared" si="3"/>
        <v>0.82541933470389173</v>
      </c>
      <c r="I37" s="293">
        <f t="shared" si="3"/>
        <v>0.82586089846878308</v>
      </c>
      <c r="J37" s="386">
        <f t="shared" si="3"/>
        <v>0.81242892427340285</v>
      </c>
      <c r="K37" s="293"/>
      <c r="L37" s="293"/>
      <c r="M37" s="293"/>
      <c r="N37" s="293"/>
      <c r="O37" s="293"/>
      <c r="P37" s="293"/>
      <c r="Q37" s="293"/>
      <c r="R37" s="293"/>
      <c r="S37" s="293"/>
      <c r="T37" s="113"/>
    </row>
    <row r="38" spans="1:20" x14ac:dyDescent="0.25">
      <c r="A38" s="402" t="str">
        <f t="shared" si="4"/>
        <v>POL</v>
      </c>
      <c r="B38" s="293">
        <f t="shared" si="5"/>
        <v>1</v>
      </c>
      <c r="C38" s="293">
        <f t="shared" si="3"/>
        <v>0.95513166954144946</v>
      </c>
      <c r="D38" s="293">
        <f t="shared" si="3"/>
        <v>0.93892518801424252</v>
      </c>
      <c r="E38" s="293">
        <f t="shared" si="3"/>
        <v>0.91013893349453168</v>
      </c>
      <c r="F38" s="293">
        <f t="shared" si="3"/>
        <v>0.88374037924140758</v>
      </c>
      <c r="G38" s="293">
        <f t="shared" si="3"/>
        <v>0.85888912005919993</v>
      </c>
      <c r="H38" s="293">
        <f t="shared" si="3"/>
        <v>0.84104135074939779</v>
      </c>
      <c r="I38" s="293">
        <f t="shared" si="3"/>
        <v>0.83502903026966457</v>
      </c>
      <c r="J38" s="386">
        <f t="shared" si="3"/>
        <v>0.82733781460130995</v>
      </c>
      <c r="K38" s="293"/>
      <c r="L38" s="293"/>
      <c r="M38" s="293"/>
      <c r="N38" s="293"/>
      <c r="O38" s="293"/>
      <c r="P38" s="293"/>
      <c r="Q38" s="293"/>
      <c r="R38" s="293"/>
      <c r="S38" s="293"/>
      <c r="T38" s="113"/>
    </row>
    <row r="39" spans="1:20" x14ac:dyDescent="0.25">
      <c r="A39" s="402" t="str">
        <f t="shared" si="4"/>
        <v>UKI</v>
      </c>
      <c r="B39" s="293">
        <f t="shared" si="5"/>
        <v>1</v>
      </c>
      <c r="C39" s="293">
        <f t="shared" si="3"/>
        <v>0.98016739976533895</v>
      </c>
      <c r="D39" s="293">
        <f t="shared" si="3"/>
        <v>0.90693392626272495</v>
      </c>
      <c r="E39" s="293">
        <f t="shared" si="3"/>
        <v>0.877953494230021</v>
      </c>
      <c r="F39" s="293">
        <f t="shared" si="3"/>
        <v>0.84137263583734256</v>
      </c>
      <c r="G39" s="293">
        <f t="shared" si="3"/>
        <v>0.83061776496179163</v>
      </c>
      <c r="H39" s="293">
        <f t="shared" si="3"/>
        <v>0.82580690798231293</v>
      </c>
      <c r="I39" s="293">
        <f t="shared" si="3"/>
        <v>0.82599254322802518</v>
      </c>
      <c r="J39" s="386">
        <f t="shared" si="3"/>
        <v>0.83268235960235371</v>
      </c>
      <c r="K39" s="293"/>
      <c r="L39" s="293"/>
      <c r="M39" s="293"/>
      <c r="N39" s="293"/>
      <c r="O39" s="293"/>
      <c r="P39" s="293"/>
      <c r="Q39" s="293"/>
      <c r="R39" s="293"/>
      <c r="S39" s="293"/>
      <c r="T39" s="113"/>
    </row>
    <row r="40" spans="1:20" x14ac:dyDescent="0.25">
      <c r="A40" s="402" t="str">
        <f t="shared" si="4"/>
        <v>ESP</v>
      </c>
      <c r="B40" s="293">
        <f t="shared" si="5"/>
        <v>1</v>
      </c>
      <c r="C40" s="293">
        <f t="shared" si="3"/>
        <v>0.94419489072492091</v>
      </c>
      <c r="D40" s="293">
        <f t="shared" si="3"/>
        <v>0.88728241877225478</v>
      </c>
      <c r="E40" s="293">
        <f t="shared" si="3"/>
        <v>0.87315137039158619</v>
      </c>
      <c r="F40" s="293">
        <f t="shared" si="3"/>
        <v>0.86839668251841229</v>
      </c>
      <c r="G40" s="293">
        <f t="shared" si="3"/>
        <v>0.87851635585404186</v>
      </c>
      <c r="H40" s="293">
        <f t="shared" si="3"/>
        <v>0.88440874630527222</v>
      </c>
      <c r="I40" s="293">
        <f t="shared" si="3"/>
        <v>0.87980598125616738</v>
      </c>
      <c r="J40" s="386">
        <f t="shared" si="3"/>
        <v>0.88451635340929302</v>
      </c>
      <c r="K40" s="293"/>
      <c r="L40" s="293"/>
      <c r="M40" s="293"/>
      <c r="N40" s="293"/>
      <c r="O40" s="293"/>
      <c r="P40" s="293"/>
      <c r="Q40" s="293"/>
      <c r="R40" s="293"/>
      <c r="S40" s="293"/>
      <c r="T40" s="113"/>
    </row>
    <row r="41" spans="1:20" x14ac:dyDescent="0.25">
      <c r="A41" s="402" t="str">
        <f t="shared" si="4"/>
        <v>BNL</v>
      </c>
      <c r="B41" s="293">
        <f t="shared" si="5"/>
        <v>1</v>
      </c>
      <c r="C41" s="293">
        <f t="shared" si="3"/>
        <v>0.96210993832702296</v>
      </c>
      <c r="D41" s="293">
        <f t="shared" si="3"/>
        <v>0.89799926043477063</v>
      </c>
      <c r="E41" s="293">
        <f t="shared" si="3"/>
        <v>0.87791667165760445</v>
      </c>
      <c r="F41" s="293">
        <f t="shared" si="3"/>
        <v>0.8588472213877506</v>
      </c>
      <c r="G41" s="293">
        <f t="shared" si="3"/>
        <v>0.85528774270216157</v>
      </c>
      <c r="H41" s="293">
        <f t="shared" si="3"/>
        <v>0.86062699525232211</v>
      </c>
      <c r="I41" s="293">
        <f t="shared" si="3"/>
        <v>0.86511736866758782</v>
      </c>
      <c r="J41" s="386">
        <f t="shared" si="3"/>
        <v>0.86762981373751125</v>
      </c>
      <c r="K41" s="293"/>
      <c r="L41" s="293"/>
      <c r="M41" s="293"/>
      <c r="N41" s="293"/>
      <c r="O41" s="293"/>
      <c r="P41" s="293"/>
      <c r="Q41" s="293"/>
      <c r="R41" s="293"/>
      <c r="S41" s="293"/>
      <c r="T41" s="113"/>
    </row>
    <row r="42" spans="1:20" x14ac:dyDescent="0.25">
      <c r="A42" s="402" t="str">
        <f t="shared" si="4"/>
        <v>EUN</v>
      </c>
      <c r="B42" s="293">
        <f t="shared" si="5"/>
        <v>1</v>
      </c>
      <c r="C42" s="293">
        <f t="shared" si="3"/>
        <v>0.93177737668609495</v>
      </c>
      <c r="D42" s="293">
        <f t="shared" si="3"/>
        <v>0.88336356187229204</v>
      </c>
      <c r="E42" s="293">
        <f t="shared" si="3"/>
        <v>0.85979259177845013</v>
      </c>
      <c r="F42" s="293">
        <f t="shared" si="3"/>
        <v>0.83456454899435117</v>
      </c>
      <c r="G42" s="293">
        <f t="shared" si="3"/>
        <v>0.82719624615695941</v>
      </c>
      <c r="H42" s="293">
        <f t="shared" si="3"/>
        <v>0.82898452599283967</v>
      </c>
      <c r="I42" s="293">
        <f t="shared" si="3"/>
        <v>0.83238709162253766</v>
      </c>
      <c r="J42" s="386">
        <f t="shared" si="3"/>
        <v>0.83796650005373363</v>
      </c>
      <c r="K42" s="293"/>
      <c r="L42" s="293"/>
      <c r="M42" s="293"/>
      <c r="N42" s="293"/>
      <c r="O42" s="293"/>
      <c r="P42" s="293"/>
      <c r="Q42" s="293"/>
      <c r="R42" s="293"/>
      <c r="S42" s="293"/>
      <c r="T42" s="113"/>
    </row>
    <row r="43" spans="1:20" ht="15.75" thickBot="1" x14ac:dyDescent="0.3">
      <c r="A43" s="401" t="str">
        <f t="shared" si="4"/>
        <v>EUS</v>
      </c>
      <c r="B43" s="88">
        <f t="shared" si="5"/>
        <v>1</v>
      </c>
      <c r="C43" s="88">
        <f t="shared" si="3"/>
        <v>0.95390066745574087</v>
      </c>
      <c r="D43" s="88">
        <f t="shared" si="3"/>
        <v>0.92485580321809513</v>
      </c>
      <c r="E43" s="88">
        <f t="shared" si="3"/>
        <v>0.90861640111469666</v>
      </c>
      <c r="F43" s="88">
        <f t="shared" si="3"/>
        <v>0.89686408836013209</v>
      </c>
      <c r="G43" s="88">
        <f t="shared" si="3"/>
        <v>0.90236994896694689</v>
      </c>
      <c r="H43" s="88">
        <f t="shared" si="3"/>
        <v>0.90470433666985328</v>
      </c>
      <c r="I43" s="88">
        <f t="shared" si="3"/>
        <v>0.90210496121227668</v>
      </c>
      <c r="J43" s="388">
        <f t="shared" si="3"/>
        <v>0.9028945398653454</v>
      </c>
      <c r="K43" s="293"/>
      <c r="L43" s="293"/>
      <c r="M43" s="293"/>
      <c r="N43" s="293"/>
      <c r="O43" s="293"/>
      <c r="P43" s="293"/>
      <c r="Q43" s="293"/>
      <c r="R43" s="293"/>
      <c r="S43" s="293"/>
      <c r="T43" s="113"/>
    </row>
    <row r="44" spans="1:20" x14ac:dyDescent="0.25">
      <c r="A44" s="410" t="s">
        <v>272</v>
      </c>
      <c r="B44" s="396" t="s">
        <v>366</v>
      </c>
      <c r="C44" s="396"/>
      <c r="D44" s="396"/>
      <c r="E44" s="293"/>
      <c r="F44" s="293"/>
      <c r="G44" s="293"/>
      <c r="H44" s="293"/>
      <c r="I44" s="293"/>
      <c r="J44" s="293"/>
      <c r="K44" s="376"/>
      <c r="L44" s="376"/>
      <c r="M44" s="376"/>
      <c r="N44" s="376"/>
      <c r="O44" s="376"/>
      <c r="P44" s="376"/>
      <c r="Q44" s="376"/>
      <c r="R44" s="376"/>
      <c r="S44" s="376"/>
      <c r="T44" s="392"/>
    </row>
    <row r="45" spans="1:20" x14ac:dyDescent="0.25">
      <c r="A45" s="393"/>
      <c r="B45" s="293" t="s">
        <v>364</v>
      </c>
      <c r="C45" s="293"/>
      <c r="D45" s="293"/>
      <c r="E45" s="293"/>
      <c r="F45" s="293"/>
      <c r="G45" s="293"/>
      <c r="H45" s="293"/>
      <c r="I45" s="293"/>
      <c r="J45" s="293"/>
      <c r="K45" s="293"/>
      <c r="L45" s="293"/>
      <c r="M45" s="293"/>
      <c r="N45" s="293"/>
      <c r="O45" s="293"/>
      <c r="P45" s="293"/>
      <c r="Q45" s="293"/>
      <c r="R45" s="293"/>
      <c r="S45" s="293"/>
      <c r="T45" s="113"/>
    </row>
    <row r="46" spans="1:20" x14ac:dyDescent="0.25">
      <c r="A46" s="393" t="s">
        <v>273</v>
      </c>
      <c r="B46" s="293" t="s">
        <v>367</v>
      </c>
      <c r="C46" s="293"/>
      <c r="D46" s="293"/>
      <c r="E46" s="407" t="s">
        <v>368</v>
      </c>
      <c r="F46" s="293"/>
      <c r="G46" s="293"/>
      <c r="H46" s="293"/>
      <c r="I46" s="293"/>
      <c r="J46" s="293"/>
      <c r="K46" s="293"/>
      <c r="L46" s="293"/>
      <c r="M46" s="293"/>
      <c r="N46" s="293"/>
      <c r="O46" s="293"/>
      <c r="P46" s="293"/>
      <c r="Q46" s="293"/>
      <c r="R46" s="293"/>
      <c r="S46" s="293"/>
      <c r="T46" s="113"/>
    </row>
    <row r="47" spans="1:20" x14ac:dyDescent="0.25">
      <c r="A47" s="393"/>
      <c r="B47" s="293"/>
      <c r="C47" s="293"/>
      <c r="D47" s="293"/>
      <c r="E47" s="293"/>
      <c r="F47" s="293"/>
      <c r="G47" s="293"/>
      <c r="H47" s="293"/>
      <c r="I47" s="293"/>
      <c r="J47" s="293"/>
      <c r="K47" s="293"/>
      <c r="L47" s="293"/>
      <c r="M47" s="293"/>
      <c r="N47" s="293"/>
      <c r="O47" s="293"/>
      <c r="P47" s="293"/>
      <c r="Q47" s="293"/>
      <c r="R47" s="293"/>
      <c r="S47" s="293"/>
      <c r="T47" s="113"/>
    </row>
    <row r="48" spans="1:20" ht="15.75" thickBot="1" x14ac:dyDescent="0.3">
      <c r="A48" s="393"/>
      <c r="B48" s="293"/>
      <c r="C48" s="293"/>
      <c r="D48" s="293"/>
      <c r="E48" s="293"/>
      <c r="F48" s="293"/>
      <c r="G48" s="293"/>
      <c r="H48" s="293"/>
      <c r="I48" s="293"/>
      <c r="J48" s="293"/>
      <c r="K48" s="293"/>
      <c r="L48" s="293"/>
      <c r="M48" s="293"/>
      <c r="N48" s="293"/>
      <c r="O48" s="293"/>
      <c r="P48" s="293"/>
      <c r="Q48" s="293"/>
      <c r="R48" s="293"/>
      <c r="S48" s="293"/>
      <c r="T48" s="113"/>
    </row>
    <row r="49" spans="1:20" x14ac:dyDescent="0.25">
      <c r="A49" s="544" t="s">
        <v>281</v>
      </c>
      <c r="B49" s="545"/>
      <c r="C49" s="545"/>
      <c r="D49" s="545"/>
      <c r="E49" s="545"/>
      <c r="F49" s="545"/>
      <c r="G49" s="545"/>
      <c r="H49" s="545"/>
      <c r="I49" s="545"/>
      <c r="J49" s="546"/>
      <c r="K49" s="293"/>
      <c r="L49" s="293"/>
      <c r="M49" s="293"/>
      <c r="N49" s="293"/>
      <c r="O49" s="293"/>
      <c r="P49" s="293"/>
      <c r="Q49" s="293"/>
      <c r="R49" s="293"/>
      <c r="S49" s="293"/>
      <c r="T49" s="113"/>
    </row>
    <row r="50" spans="1:20" x14ac:dyDescent="0.25">
      <c r="A50" s="405" t="s">
        <v>282</v>
      </c>
      <c r="B50" s="293"/>
      <c r="C50" s="293"/>
      <c r="D50" s="293"/>
      <c r="E50" s="293"/>
      <c r="F50" s="293"/>
      <c r="G50" s="293"/>
      <c r="H50" s="293"/>
      <c r="I50" s="293"/>
      <c r="J50" s="386"/>
      <c r="K50" s="293"/>
      <c r="L50" s="293"/>
      <c r="M50" s="293"/>
      <c r="N50" s="293"/>
      <c r="O50" s="293"/>
      <c r="P50" s="293"/>
      <c r="Q50" s="293"/>
      <c r="R50" s="293"/>
      <c r="S50" s="293"/>
      <c r="T50" s="113"/>
    </row>
    <row r="51" spans="1:20" x14ac:dyDescent="0.25">
      <c r="A51" s="402"/>
      <c r="B51" s="293">
        <v>2011</v>
      </c>
      <c r="C51" s="293">
        <v>2015</v>
      </c>
      <c r="D51" s="293">
        <v>2020</v>
      </c>
      <c r="E51" s="293">
        <v>2025</v>
      </c>
      <c r="F51" s="293">
        <v>2030</v>
      </c>
      <c r="G51" s="293">
        <v>2035</v>
      </c>
      <c r="H51" s="293">
        <v>2040</v>
      </c>
      <c r="I51" s="293">
        <v>2045</v>
      </c>
      <c r="J51" s="386">
        <v>2050</v>
      </c>
      <c r="K51" s="293"/>
      <c r="L51" s="293"/>
      <c r="M51" s="293"/>
      <c r="N51" s="293"/>
      <c r="O51" s="293"/>
      <c r="P51" s="293"/>
      <c r="Q51" s="293"/>
      <c r="R51" s="293"/>
      <c r="S51" s="293"/>
      <c r="T51" s="113"/>
    </row>
    <row r="52" spans="1:20" x14ac:dyDescent="0.25">
      <c r="A52" s="402" t="s">
        <v>190</v>
      </c>
      <c r="B52" s="293">
        <f>'EU-Reference CO2 emissions'!I33</f>
        <v>1</v>
      </c>
      <c r="C52" s="293">
        <f>'EU-Reference CO2 emissions'!J33</f>
        <v>0.93175703099461682</v>
      </c>
      <c r="D52" s="293">
        <f>'EU-Reference CO2 emissions'!K33</f>
        <v>0.92069189109505456</v>
      </c>
      <c r="E52" s="293">
        <f>'EU-Reference CO2 emissions'!L33</f>
        <v>0.7924942860058698</v>
      </c>
      <c r="F52" s="293">
        <f>'EU-Reference CO2 emissions'!M33</f>
        <v>0.66429668091668492</v>
      </c>
      <c r="G52" s="293">
        <f>'EU-Reference CO2 emissions'!N33</f>
        <v>0.5477534035628806</v>
      </c>
      <c r="H52" s="293">
        <f>'EU-Reference CO2 emissions'!O33</f>
        <v>0.43121012620907623</v>
      </c>
      <c r="I52" s="293">
        <f>'EU-Reference CO2 emissions'!P33</f>
        <v>0.3146668488552718</v>
      </c>
      <c r="J52" s="386">
        <f>'EU-Reference CO2 emissions'!Q33</f>
        <v>0.19812357150146748</v>
      </c>
      <c r="K52" s="293"/>
      <c r="L52" s="293"/>
      <c r="M52" s="293"/>
      <c r="N52" s="293"/>
      <c r="O52" s="293"/>
      <c r="P52" s="293"/>
      <c r="Q52" s="293"/>
      <c r="R52" s="293"/>
      <c r="S52" s="293"/>
      <c r="T52" s="113"/>
    </row>
    <row r="53" spans="1:20" x14ac:dyDescent="0.25">
      <c r="A53" s="382"/>
      <c r="B53" s="293"/>
      <c r="C53" s="293"/>
      <c r="D53" s="293"/>
      <c r="E53" s="293"/>
      <c r="F53" s="293"/>
      <c r="G53" s="293"/>
      <c r="H53" s="293"/>
      <c r="I53" s="293"/>
      <c r="J53" s="386"/>
      <c r="K53" s="293"/>
      <c r="L53" s="293"/>
      <c r="M53" s="293"/>
      <c r="N53" s="293"/>
      <c r="O53" s="293"/>
      <c r="P53" s="293"/>
      <c r="Q53" s="293"/>
      <c r="R53" s="293"/>
      <c r="S53" s="293"/>
      <c r="T53" s="113"/>
    </row>
    <row r="54" spans="1:20" x14ac:dyDescent="0.25">
      <c r="A54" s="405" t="s">
        <v>283</v>
      </c>
      <c r="B54" s="293"/>
      <c r="C54" s="293"/>
      <c r="D54" s="293"/>
      <c r="E54" s="293"/>
      <c r="F54" s="293"/>
      <c r="G54" s="293"/>
      <c r="H54" s="293"/>
      <c r="I54" s="293"/>
      <c r="J54" s="386"/>
      <c r="K54" s="293"/>
      <c r="L54" s="293"/>
      <c r="M54" s="293"/>
      <c r="N54" s="293"/>
      <c r="O54" s="293"/>
      <c r="P54" s="293"/>
      <c r="Q54" s="293"/>
      <c r="R54" s="293"/>
      <c r="S54" s="293"/>
      <c r="T54" s="113"/>
    </row>
    <row r="55" spans="1:20" x14ac:dyDescent="0.25">
      <c r="A55" s="382"/>
      <c r="B55" s="293">
        <f>[10]input_NEWAGE!B1</f>
        <v>2011</v>
      </c>
      <c r="C55" s="293">
        <f>[10]input_NEWAGE!C1</f>
        <v>2015</v>
      </c>
      <c r="D55" s="293">
        <f>[10]input_NEWAGE!D1</f>
        <v>2020</v>
      </c>
      <c r="E55" s="293">
        <f>[10]input_NEWAGE!E1</f>
        <v>2025</v>
      </c>
      <c r="F55" s="293">
        <f>[10]input_NEWAGE!F1</f>
        <v>2030</v>
      </c>
      <c r="G55" s="293">
        <f>[10]input_NEWAGE!G1</f>
        <v>2035</v>
      </c>
      <c r="H55" s="293">
        <f>[10]input_NEWAGE!H1</f>
        <v>2040</v>
      </c>
      <c r="I55" s="293">
        <f>[10]input_NEWAGE!I1</f>
        <v>2045</v>
      </c>
      <c r="J55" s="386">
        <f>[10]input_NEWAGE!J1</f>
        <v>2050</v>
      </c>
      <c r="K55" s="293"/>
      <c r="L55" s="293"/>
      <c r="M55" s="293"/>
      <c r="N55" s="293"/>
      <c r="O55" s="293"/>
      <c r="P55" s="293"/>
      <c r="Q55" s="293"/>
      <c r="R55" s="293"/>
      <c r="S55" s="293"/>
      <c r="T55" s="113"/>
    </row>
    <row r="56" spans="1:20" x14ac:dyDescent="0.25">
      <c r="A56" s="402" t="str">
        <f>[10]input_NEWAGE!A2</f>
        <v>DEU</v>
      </c>
      <c r="B56" s="293">
        <f>[10]input_NEWAGE!B2</f>
        <v>1</v>
      </c>
      <c r="C56" s="293">
        <f>[10]input_NEWAGE!C2</f>
        <v>1.0108350415606064</v>
      </c>
      <c r="D56" s="293">
        <f>[10]input_NEWAGE!D2</f>
        <v>0.90748181019530105</v>
      </c>
      <c r="E56" s="293">
        <f>[10]input_NEWAGE!E2</f>
        <v>0.78085644133084042</v>
      </c>
      <c r="F56" s="293">
        <f>[10]input_NEWAGE!F2</f>
        <v>0.65423107246637979</v>
      </c>
      <c r="G56" s="293">
        <f>[10]input_NEWAGE!G2</f>
        <v>0.54343387470997684</v>
      </c>
      <c r="H56" s="293">
        <f>[10]input_NEWAGE!H2</f>
        <v>0.43263667695357377</v>
      </c>
      <c r="I56" s="293">
        <f>[10]input_NEWAGE!I2</f>
        <v>0.32183947919717071</v>
      </c>
      <c r="J56" s="386">
        <f>[10]input_NEWAGE!J2</f>
        <v>0.21104228144076762</v>
      </c>
      <c r="K56" s="293"/>
      <c r="L56" s="293"/>
      <c r="M56" s="293"/>
      <c r="N56" s="293"/>
      <c r="O56" s="293"/>
      <c r="P56" s="293"/>
      <c r="Q56" s="293"/>
      <c r="R56" s="293"/>
      <c r="S56" s="293"/>
      <c r="T56" s="113"/>
    </row>
    <row r="57" spans="1:20" x14ac:dyDescent="0.25">
      <c r="A57" s="402" t="str">
        <f>[10]input_NEWAGE!A3</f>
        <v>FRA</v>
      </c>
      <c r="B57" s="293">
        <f>[10]input_NEWAGE!B3</f>
        <v>1</v>
      </c>
      <c r="C57" s="293">
        <f>[10]input_NEWAGE!C3</f>
        <v>1.0001643655489809</v>
      </c>
      <c r="D57" s="293">
        <f>[10]input_NEWAGE!D3</f>
        <v>0.93197293447293428</v>
      </c>
      <c r="E57" s="293">
        <f>[10]input_NEWAGE!E3</f>
        <v>0.80734864672364659</v>
      </c>
      <c r="F57" s="293">
        <f>[10]input_NEWAGE!F3</f>
        <v>0.6827243589743589</v>
      </c>
      <c r="G57" s="293">
        <f>[10]input_NEWAGE!G3</f>
        <v>0.56622774216524208</v>
      </c>
      <c r="H57" s="293">
        <f>[10]input_NEWAGE!H3</f>
        <v>0.44973112535612531</v>
      </c>
      <c r="I57" s="293">
        <f>[10]input_NEWAGE!I3</f>
        <v>0.33323450854700853</v>
      </c>
      <c r="J57" s="386">
        <f>[10]input_NEWAGE!J3</f>
        <v>0.21673789173789168</v>
      </c>
      <c r="K57" s="293"/>
      <c r="L57" s="293"/>
      <c r="M57" s="293"/>
      <c r="N57" s="293"/>
      <c r="O57" s="293"/>
      <c r="P57" s="293"/>
      <c r="Q57" s="293"/>
      <c r="R57" s="293"/>
      <c r="S57" s="293"/>
      <c r="T57" s="113"/>
    </row>
    <row r="58" spans="1:20" x14ac:dyDescent="0.25">
      <c r="A58" s="402" t="str">
        <f>[10]input_NEWAGE!A4</f>
        <v>ITA</v>
      </c>
      <c r="B58" s="293">
        <f>[10]input_NEWAGE!B4</f>
        <v>1</v>
      </c>
      <c r="C58" s="293">
        <f>[10]input_NEWAGE!C4</f>
        <v>0.92295704024935621</v>
      </c>
      <c r="D58" s="293">
        <f>[10]input_NEWAGE!D4</f>
        <v>0.95900664046618755</v>
      </c>
      <c r="E58" s="293">
        <f>[10]input_NEWAGE!E4</f>
        <v>0.85306986041469013</v>
      </c>
      <c r="F58" s="293">
        <f>[10]input_NEWAGE!F4</f>
        <v>0.7471330803631927</v>
      </c>
      <c r="G58" s="293">
        <f>[10]input_NEWAGE!G4</f>
        <v>0.61610601029949852</v>
      </c>
      <c r="H58" s="293">
        <f>[10]input_NEWAGE!H4</f>
        <v>0.48507894023580433</v>
      </c>
      <c r="I58" s="293">
        <f>[10]input_NEWAGE!I4</f>
        <v>0.35405187017210998</v>
      </c>
      <c r="J58" s="386">
        <f>[10]input_NEWAGE!J4</f>
        <v>0.22302480010841572</v>
      </c>
      <c r="K58" s="293"/>
      <c r="L58" s="293"/>
      <c r="M58" s="293"/>
      <c r="N58" s="293"/>
      <c r="O58" s="293"/>
      <c r="P58" s="293"/>
      <c r="Q58" s="293"/>
      <c r="R58" s="293"/>
      <c r="S58" s="293"/>
      <c r="T58" s="113"/>
    </row>
    <row r="59" spans="1:20" x14ac:dyDescent="0.25">
      <c r="A59" s="402" t="str">
        <f>[10]input_NEWAGE!A5</f>
        <v>POL</v>
      </c>
      <c r="B59" s="293">
        <f>[10]input_NEWAGE!B5</f>
        <v>1</v>
      </c>
      <c r="C59" s="293">
        <f>[10]input_NEWAGE!C5</f>
        <v>0.94899132434409961</v>
      </c>
      <c r="D59" s="293">
        <f>[10]input_NEWAGE!D5</f>
        <v>1.0486641580432738</v>
      </c>
      <c r="E59" s="293">
        <f>[10]input_NEWAGE!E5</f>
        <v>0.95207666980244576</v>
      </c>
      <c r="F59" s="293">
        <f>[10]input_NEWAGE!F5</f>
        <v>0.85548918156161791</v>
      </c>
      <c r="G59" s="293">
        <f>[10]input_NEWAGE!G5</f>
        <v>0.75660199121981808</v>
      </c>
      <c r="H59" s="293">
        <f>[10]input_NEWAGE!H5</f>
        <v>0.65771480087801826</v>
      </c>
      <c r="I59" s="293">
        <f>[10]input_NEWAGE!I5</f>
        <v>0.55882761053621821</v>
      </c>
      <c r="J59" s="386">
        <f>[10]input_NEWAGE!J5</f>
        <v>0.45994042019441828</v>
      </c>
      <c r="K59" s="293"/>
      <c r="L59" s="293"/>
      <c r="M59" s="293"/>
      <c r="N59" s="293"/>
      <c r="O59" s="293"/>
      <c r="P59" s="293"/>
      <c r="Q59" s="293"/>
      <c r="R59" s="293"/>
      <c r="S59" s="293"/>
      <c r="T59" s="113"/>
    </row>
    <row r="60" spans="1:20" x14ac:dyDescent="0.25">
      <c r="A60" s="402" t="str">
        <f>[10]input_NEWAGE!A6</f>
        <v>UKI</v>
      </c>
      <c r="B60" s="293">
        <f>[10]input_NEWAGE!B6</f>
        <v>1</v>
      </c>
      <c r="C60" s="293">
        <f>[10]input_NEWAGE!C6</f>
        <v>0.96924029727497929</v>
      </c>
      <c r="D60" s="293">
        <f>[10]input_NEWAGE!D6</f>
        <v>1.0273575557390586</v>
      </c>
      <c r="E60" s="293">
        <f>[10]input_NEWAGE!E6</f>
        <v>0.89893786127167619</v>
      </c>
      <c r="F60" s="293">
        <f>[10]input_NEWAGE!F6</f>
        <v>0.77051816680429397</v>
      </c>
      <c r="G60" s="293">
        <f>[10]input_NEWAGE!G6</f>
        <v>0.63904086056387877</v>
      </c>
      <c r="H60" s="293">
        <f>[10]input_NEWAGE!H6</f>
        <v>0.50756355432346345</v>
      </c>
      <c r="I60" s="293">
        <f>[10]input_NEWAGE!I6</f>
        <v>0.37608624808304825</v>
      </c>
      <c r="J60" s="386">
        <f>[10]input_NEWAGE!J6</f>
        <v>0.24460894184263296</v>
      </c>
      <c r="K60" s="293"/>
      <c r="L60" s="293"/>
      <c r="M60" s="293"/>
      <c r="N60" s="293"/>
      <c r="O60" s="293"/>
      <c r="P60" s="293"/>
      <c r="Q60" s="293"/>
      <c r="R60" s="293"/>
      <c r="S60" s="293"/>
      <c r="T60" s="113"/>
    </row>
    <row r="61" spans="1:20" x14ac:dyDescent="0.25">
      <c r="A61" s="402" t="str">
        <f>[10]input_NEWAGE!A7</f>
        <v>ESP</v>
      </c>
      <c r="B61" s="293">
        <f>[10]input_NEWAGE!B7</f>
        <v>1</v>
      </c>
      <c r="C61" s="293">
        <f>[10]input_NEWAGE!C7</f>
        <v>0.92070246015782142</v>
      </c>
      <c r="D61" s="293">
        <f>[10]input_NEWAGE!D7</f>
        <v>1.0075866470679253</v>
      </c>
      <c r="E61" s="293">
        <f>[10]input_NEWAGE!E7</f>
        <v>0.91798081386353103</v>
      </c>
      <c r="F61" s="293">
        <f>[10]input_NEWAGE!F7</f>
        <v>0.82837498065913673</v>
      </c>
      <c r="G61" s="293">
        <f>[10]input_NEWAGE!G7</f>
        <v>0.67608744004332366</v>
      </c>
      <c r="H61" s="293">
        <f>[10]input_NEWAGE!H7</f>
        <v>0.52379989942751048</v>
      </c>
      <c r="I61" s="293">
        <f>[10]input_NEWAGE!I7</f>
        <v>0.37151235881169736</v>
      </c>
      <c r="J61" s="386">
        <f>[10]input_NEWAGE!J7</f>
        <v>0.21922481819588424</v>
      </c>
      <c r="K61" s="293"/>
      <c r="L61" s="293"/>
      <c r="M61" s="293"/>
      <c r="N61" s="293"/>
      <c r="O61" s="293"/>
      <c r="P61" s="293"/>
      <c r="Q61" s="293"/>
      <c r="R61" s="293"/>
      <c r="S61" s="293"/>
      <c r="T61" s="113"/>
    </row>
    <row r="62" spans="1:20" x14ac:dyDescent="0.25">
      <c r="A62" s="402" t="str">
        <f>[10]input_NEWAGE!A8</f>
        <v>BNL</v>
      </c>
      <c r="B62" s="293">
        <f>[10]input_NEWAGE!B8</f>
        <v>1</v>
      </c>
      <c r="C62" s="293">
        <f>[10]input_NEWAGE!C8</f>
        <v>0.91278434488924209</v>
      </c>
      <c r="D62" s="293">
        <f>[10]input_NEWAGE!D8</f>
        <v>0.88304956789510269</v>
      </c>
      <c r="E62" s="293">
        <f>[10]input_NEWAGE!E8</f>
        <v>0.77814741233733964</v>
      </c>
      <c r="F62" s="293">
        <f>[10]input_NEWAGE!F8</f>
        <v>0.67324525677957681</v>
      </c>
      <c r="G62" s="293">
        <f>[10]input_NEWAGE!G8</f>
        <v>0.55738502036356419</v>
      </c>
      <c r="H62" s="293">
        <f>[10]input_NEWAGE!H8</f>
        <v>0.44152478394755151</v>
      </c>
      <c r="I62" s="293">
        <f>[10]input_NEWAGE!I8</f>
        <v>0.32566454753153867</v>
      </c>
      <c r="J62" s="386">
        <f>[10]input_NEWAGE!J8</f>
        <v>0.20980431111552592</v>
      </c>
      <c r="K62" s="293"/>
      <c r="L62" s="293"/>
      <c r="M62" s="293"/>
      <c r="N62" s="293"/>
      <c r="O62" s="293"/>
      <c r="P62" s="293"/>
      <c r="Q62" s="293"/>
      <c r="R62" s="293"/>
      <c r="S62" s="293"/>
      <c r="T62" s="113"/>
    </row>
    <row r="63" spans="1:20" x14ac:dyDescent="0.25">
      <c r="A63" s="402" t="str">
        <f>[10]input_NEWAGE!A9</f>
        <v>EUN</v>
      </c>
      <c r="B63" s="293">
        <f>[10]input_NEWAGE!B9</f>
        <v>1</v>
      </c>
      <c r="C63" s="293">
        <f>[10]input_NEWAGE!C9</f>
        <v>0.94918433467856533</v>
      </c>
      <c r="D63" s="293">
        <f>[10]input_NEWAGE!D9</f>
        <v>0.92254703575285635</v>
      </c>
      <c r="E63" s="293">
        <f>[10]input_NEWAGE!E9</f>
        <v>0.82076735065082707</v>
      </c>
      <c r="F63" s="293">
        <f>[10]input_NEWAGE!F9</f>
        <v>0.71898766554879767</v>
      </c>
      <c r="G63" s="293">
        <f>[10]input_NEWAGE!G9</f>
        <v>0.59993534360256917</v>
      </c>
      <c r="H63" s="293">
        <f>[10]input_NEWAGE!H9</f>
        <v>0.48088302165634056</v>
      </c>
      <c r="I63" s="293">
        <f>[10]input_NEWAGE!I9</f>
        <v>0.36183069971011195</v>
      </c>
      <c r="J63" s="386">
        <f>[10]input_NEWAGE!J9</f>
        <v>0.24277837776388334</v>
      </c>
      <c r="K63" s="293"/>
      <c r="L63" s="293"/>
      <c r="M63" s="293"/>
      <c r="N63" s="293"/>
      <c r="O63" s="293"/>
      <c r="P63" s="293"/>
      <c r="Q63" s="293"/>
      <c r="R63" s="293"/>
      <c r="S63" s="293"/>
      <c r="T63" s="113"/>
    </row>
    <row r="64" spans="1:20" ht="15.75" thickBot="1" x14ac:dyDescent="0.3">
      <c r="A64" s="401" t="str">
        <f>[10]input_NEWAGE!A10</f>
        <v>EUS</v>
      </c>
      <c r="B64" s="88">
        <f>[10]input_NEWAGE!B10</f>
        <v>1</v>
      </c>
      <c r="C64" s="88">
        <f>[10]input_NEWAGE!C10</f>
        <v>0.95053995068167008</v>
      </c>
      <c r="D64" s="88">
        <f>[10]input_NEWAGE!D10</f>
        <v>1.1457983050367055</v>
      </c>
      <c r="E64" s="88">
        <f>[10]input_NEWAGE!E10</f>
        <v>1.0413949434539838</v>
      </c>
      <c r="F64" s="88">
        <f>[10]input_NEWAGE!F10</f>
        <v>0.93699158187126208</v>
      </c>
      <c r="G64" s="88">
        <f>[10]input_NEWAGE!G10</f>
        <v>0.80718021031149922</v>
      </c>
      <c r="H64" s="88">
        <f>[10]input_NEWAGE!H10</f>
        <v>0.67736883875173626</v>
      </c>
      <c r="I64" s="88">
        <f>[10]input_NEWAGE!I10</f>
        <v>0.54755746719197307</v>
      </c>
      <c r="J64" s="388">
        <f>[10]input_NEWAGE!J10</f>
        <v>0.41774609563220999</v>
      </c>
      <c r="K64" s="38"/>
      <c r="L64" s="38"/>
      <c r="M64" s="38"/>
      <c r="N64" s="38"/>
      <c r="O64" s="38"/>
      <c r="P64" s="38"/>
      <c r="Q64" s="38"/>
      <c r="R64" s="38"/>
      <c r="S64" s="38"/>
      <c r="T64" s="195"/>
    </row>
    <row r="65" spans="1:10" s="293" customFormat="1" x14ac:dyDescent="0.25">
      <c r="A65" s="410" t="s">
        <v>272</v>
      </c>
      <c r="B65" s="396" t="s">
        <v>385</v>
      </c>
      <c r="C65" s="396"/>
      <c r="D65" s="396"/>
    </row>
    <row r="66" spans="1:10" s="293" customFormat="1" x14ac:dyDescent="0.25">
      <c r="A66" s="393"/>
      <c r="B66" s="293" t="s">
        <v>364</v>
      </c>
    </row>
    <row r="67" spans="1:10" s="293" customFormat="1" x14ac:dyDescent="0.25">
      <c r="A67" s="393" t="s">
        <v>273</v>
      </c>
      <c r="B67" s="293" t="s">
        <v>387</v>
      </c>
      <c r="E67" s="407" t="s">
        <v>368</v>
      </c>
    </row>
    <row r="68" spans="1:10" s="293" customFormat="1" x14ac:dyDescent="0.25">
      <c r="A68" s="393"/>
    </row>
    <row r="69" spans="1:10" s="293" customFormat="1" ht="15.75" thickBot="1" x14ac:dyDescent="0.3">
      <c r="A69" s="393"/>
    </row>
    <row r="70" spans="1:10" s="293" customFormat="1" x14ac:dyDescent="0.25">
      <c r="A70" s="544" t="s">
        <v>281</v>
      </c>
      <c r="B70" s="545"/>
      <c r="C70" s="545"/>
      <c r="D70" s="545"/>
      <c r="E70" s="545"/>
      <c r="F70" s="545"/>
      <c r="G70" s="545"/>
      <c r="H70" s="545"/>
      <c r="I70" s="545"/>
      <c r="J70" s="546"/>
    </row>
    <row r="71" spans="1:10" s="293" customFormat="1" x14ac:dyDescent="0.25">
      <c r="A71" s="405" t="s">
        <v>282</v>
      </c>
      <c r="J71" s="386"/>
    </row>
    <row r="72" spans="1:10" s="293" customFormat="1" x14ac:dyDescent="0.25">
      <c r="A72" s="402"/>
      <c r="B72" s="293">
        <v>2011</v>
      </c>
      <c r="C72" s="293">
        <v>2015</v>
      </c>
      <c r="D72" s="293">
        <v>2020</v>
      </c>
      <c r="E72" s="293">
        <v>2025</v>
      </c>
      <c r="F72" s="293">
        <v>2030</v>
      </c>
      <c r="G72" s="293">
        <v>2035</v>
      </c>
      <c r="H72" s="293">
        <v>2040</v>
      </c>
      <c r="I72" s="293">
        <v>2045</v>
      </c>
      <c r="J72" s="386">
        <v>2050</v>
      </c>
    </row>
    <row r="73" spans="1:10" s="38" customFormat="1" ht="15.75" thickBot="1" x14ac:dyDescent="0.3">
      <c r="A73" s="401" t="s">
        <v>190</v>
      </c>
      <c r="B73" s="88">
        <f>'EU-Reference CO2 emissions'!I36</f>
        <v>1</v>
      </c>
      <c r="C73" s="88">
        <f>'EU-Reference CO2 emissions'!J36</f>
        <v>0.93175703099461682</v>
      </c>
      <c r="D73" s="88">
        <f>'EU-Reference CO2 emissions'!K36</f>
        <v>0.92069189109505456</v>
      </c>
      <c r="E73" s="88">
        <f>'EU-Reference CO2 emissions'!L36</f>
        <v>0.78666712213817958</v>
      </c>
      <c r="F73" s="88">
        <f>'EU-Reference CO2 emissions'!M36</f>
        <v>0.65264235318130448</v>
      </c>
      <c r="G73" s="88">
        <f>'EU-Reference CO2 emissions'!N36</f>
        <v>0.51861758422442938</v>
      </c>
      <c r="H73" s="88">
        <f>'EU-Reference CO2 emissions'!O36</f>
        <v>0.3845928152675544</v>
      </c>
      <c r="I73" s="88">
        <f>'EU-Reference CO2 emissions'!P36</f>
        <v>0.25056804631067936</v>
      </c>
      <c r="J73" s="388">
        <f>'EU-Reference CO2 emissions'!Q36</f>
        <v>0.11654327735380433</v>
      </c>
    </row>
    <row r="74" spans="1:10" s="293" customFormat="1" x14ac:dyDescent="0.25">
      <c r="A74" s="410" t="s">
        <v>272</v>
      </c>
      <c r="B74" s="396" t="s">
        <v>386</v>
      </c>
      <c r="C74" s="396"/>
      <c r="D74" s="396"/>
    </row>
    <row r="75" spans="1:10" s="293" customFormat="1" x14ac:dyDescent="0.25">
      <c r="A75" s="393"/>
      <c r="B75" s="293" t="s">
        <v>364</v>
      </c>
    </row>
    <row r="76" spans="1:10" s="293" customFormat="1" x14ac:dyDescent="0.25">
      <c r="A76" s="393" t="s">
        <v>273</v>
      </c>
      <c r="B76" s="293" t="s">
        <v>388</v>
      </c>
      <c r="E76" s="407" t="s">
        <v>368</v>
      </c>
    </row>
    <row r="77" spans="1:10" s="293" customFormat="1" x14ac:dyDescent="0.25">
      <c r="A77" s="393"/>
    </row>
    <row r="78" spans="1:10" s="293" customFormat="1" ht="15.75" thickBot="1" x14ac:dyDescent="0.3">
      <c r="A78" s="393"/>
    </row>
    <row r="79" spans="1:10" s="293" customFormat="1" x14ac:dyDescent="0.25">
      <c r="A79" s="544" t="s">
        <v>281</v>
      </c>
      <c r="B79" s="545"/>
      <c r="C79" s="545"/>
      <c r="D79" s="545"/>
      <c r="E79" s="545"/>
      <c r="F79" s="545"/>
      <c r="G79" s="545"/>
      <c r="H79" s="545"/>
      <c r="I79" s="545"/>
      <c r="J79" s="546"/>
    </row>
    <row r="80" spans="1:10" s="293" customFormat="1" x14ac:dyDescent="0.25">
      <c r="A80" s="405" t="s">
        <v>282</v>
      </c>
      <c r="J80" s="386"/>
    </row>
    <row r="81" spans="1:20" s="293" customFormat="1" x14ac:dyDescent="0.25">
      <c r="A81" s="402"/>
      <c r="B81" s="293">
        <v>2011</v>
      </c>
      <c r="C81" s="293">
        <v>2015</v>
      </c>
      <c r="D81" s="293">
        <v>2020</v>
      </c>
      <c r="E81" s="293">
        <v>2025</v>
      </c>
      <c r="F81" s="293">
        <v>2030</v>
      </c>
      <c r="G81" s="293">
        <v>2035</v>
      </c>
      <c r="H81" s="293">
        <v>2040</v>
      </c>
      <c r="I81" s="293">
        <v>2045</v>
      </c>
      <c r="J81" s="386">
        <v>2050</v>
      </c>
    </row>
    <row r="82" spans="1:20" s="38" customFormat="1" ht="15.75" thickBot="1" x14ac:dyDescent="0.3">
      <c r="A82" s="401" t="s">
        <v>190</v>
      </c>
      <c r="B82" s="88">
        <f>'EU-Reference CO2 emissions'!I39</f>
        <v>1</v>
      </c>
      <c r="C82" s="88">
        <f>'EU-Reference CO2 emissions'!J39</f>
        <v>0.93175703099461682</v>
      </c>
      <c r="D82" s="88">
        <f>'EU-Reference CO2 emissions'!K39</f>
        <v>0.92069189109505456</v>
      </c>
      <c r="E82" s="88">
        <f>'EU-Reference CO2 emissions'!L39</f>
        <v>0.77695518235869587</v>
      </c>
      <c r="F82" s="88">
        <f>'EU-Reference CO2 emissions'!M39</f>
        <v>0.63321847362233707</v>
      </c>
      <c r="G82" s="88">
        <f>'EU-Reference CO2 emissions'!N39</f>
        <v>0.48948176488597839</v>
      </c>
      <c r="H82" s="88">
        <f>'EU-Reference CO2 emissions'!O39</f>
        <v>0.34574505614961965</v>
      </c>
      <c r="I82" s="88">
        <f>'EU-Reference CO2 emissions'!P39</f>
        <v>0.20200834741326093</v>
      </c>
      <c r="J82" s="388">
        <f>'EU-Reference CO2 emissions'!Q39</f>
        <v>5.8271638676902236E-2</v>
      </c>
    </row>
    <row r="83" spans="1:20" s="438" customFormat="1" x14ac:dyDescent="0.25">
      <c r="A83" s="408" t="s">
        <v>272</v>
      </c>
      <c r="B83" s="409" t="s">
        <v>271</v>
      </c>
      <c r="C83" s="409"/>
      <c r="D83" s="409"/>
      <c r="E83" s="376"/>
      <c r="F83" s="376"/>
      <c r="G83" s="376"/>
      <c r="H83" s="376"/>
      <c r="I83" s="376"/>
      <c r="J83" s="376"/>
      <c r="K83" s="376"/>
      <c r="L83" s="376"/>
      <c r="M83" s="376"/>
      <c r="N83" s="376"/>
      <c r="O83" s="376"/>
      <c r="P83" s="376"/>
      <c r="Q83" s="376"/>
      <c r="R83" s="376"/>
      <c r="S83" s="376"/>
      <c r="T83" s="392"/>
    </row>
    <row r="84" spans="1:20" s="438" customFormat="1" x14ac:dyDescent="0.25">
      <c r="A84" s="393"/>
      <c r="B84" s="293" t="s">
        <v>270</v>
      </c>
      <c r="C84" s="293"/>
      <c r="D84" s="293"/>
      <c r="E84" s="293"/>
      <c r="F84" s="293"/>
      <c r="G84" s="293"/>
      <c r="H84" s="293"/>
      <c r="I84" s="293"/>
      <c r="J84" s="293"/>
      <c r="K84" s="293"/>
      <c r="L84" s="293">
        <f>M87/B87</f>
        <v>9.9999999999999978E-2</v>
      </c>
      <c r="M84" s="293">
        <f>M87/E87</f>
        <v>0.11711953646610544</v>
      </c>
      <c r="N84" s="293"/>
      <c r="O84" s="293"/>
      <c r="P84" s="293"/>
      <c r="Q84" s="293"/>
      <c r="R84" s="293"/>
      <c r="S84" s="293"/>
      <c r="T84" s="113"/>
    </row>
    <row r="85" spans="1:20" s="438" customFormat="1" x14ac:dyDescent="0.25">
      <c r="A85" s="393" t="s">
        <v>273</v>
      </c>
      <c r="B85" s="293" t="s">
        <v>389</v>
      </c>
      <c r="C85" s="293"/>
      <c r="D85" s="293"/>
      <c r="E85" s="293"/>
      <c r="F85" s="293"/>
      <c r="G85" s="293"/>
      <c r="H85" s="293"/>
      <c r="I85" s="293"/>
      <c r="J85" s="293"/>
      <c r="K85" s="293"/>
      <c r="L85" s="293"/>
      <c r="M85" s="293">
        <f>M88/E88</f>
        <v>0.37503532494593922</v>
      </c>
      <c r="O85" s="293"/>
      <c r="P85" s="293"/>
      <c r="Q85" s="293"/>
      <c r="R85" s="293"/>
      <c r="T85" s="113"/>
    </row>
    <row r="86" spans="1:20" s="438" customFormat="1" x14ac:dyDescent="0.25">
      <c r="A86" s="393"/>
      <c r="B86" s="293">
        <v>1990</v>
      </c>
      <c r="C86" s="293">
        <v>2005</v>
      </c>
      <c r="D86" s="293">
        <v>2010</v>
      </c>
      <c r="E86" s="293">
        <v>2011</v>
      </c>
      <c r="F86" s="293">
        <v>2015</v>
      </c>
      <c r="G86" s="293">
        <v>2020</v>
      </c>
      <c r="H86" s="293">
        <v>2025</v>
      </c>
      <c r="I86" s="293">
        <v>2030</v>
      </c>
      <c r="J86" s="293">
        <v>2035</v>
      </c>
      <c r="K86" s="293">
        <v>2040</v>
      </c>
      <c r="L86" s="293">
        <v>2045</v>
      </c>
      <c r="M86" s="293">
        <v>2050</v>
      </c>
      <c r="N86" s="293"/>
      <c r="O86" s="293" t="s">
        <v>275</v>
      </c>
      <c r="P86" s="293"/>
      <c r="Q86" s="293"/>
      <c r="R86" s="293"/>
      <c r="S86" s="293"/>
      <c r="T86" s="113"/>
    </row>
    <row r="87" spans="1:20" s="438" customFormat="1" x14ac:dyDescent="0.25">
      <c r="A87" s="52" t="s">
        <v>190</v>
      </c>
      <c r="B87" s="391">
        <v>4385.7047848695101</v>
      </c>
      <c r="C87" s="391">
        <v>4214.6075718738202</v>
      </c>
      <c r="D87" s="394">
        <v>3883.28358034851</v>
      </c>
      <c r="E87" s="391">
        <v>3744.6398075002098</v>
      </c>
      <c r="F87" s="394">
        <v>3469.6708222153802</v>
      </c>
      <c r="G87" s="395">
        <f>$F$87-(($F$87-$M$87)/($M$86-$F$86)*(G$86-$F$86))</f>
        <v>3036.6564873970333</v>
      </c>
      <c r="H87" s="395">
        <f t="shared" ref="H87:L87" si="6">$F$87-(($F$87-$M$87)/($M$86-$F$86)*(H$86-$F$86))</f>
        <v>2603.6421525786864</v>
      </c>
      <c r="I87" s="395">
        <f t="shared" si="6"/>
        <v>2170.627817760339</v>
      </c>
      <c r="J87" s="395">
        <f t="shared" si="6"/>
        <v>1737.6134829419921</v>
      </c>
      <c r="K87" s="395">
        <f t="shared" si="6"/>
        <v>1304.5991481236447</v>
      </c>
      <c r="L87" s="395">
        <f t="shared" si="6"/>
        <v>871.58481330529776</v>
      </c>
      <c r="M87" s="396">
        <f>B87*(1-0.9)</f>
        <v>438.57047848695089</v>
      </c>
      <c r="O87" s="397" t="s">
        <v>276</v>
      </c>
      <c r="P87" s="293"/>
      <c r="Q87" s="293"/>
      <c r="R87" s="293"/>
      <c r="S87" s="293">
        <v>4368.5085552144483</v>
      </c>
      <c r="T87" s="113"/>
    </row>
    <row r="88" spans="1:20" s="438" customFormat="1" x14ac:dyDescent="0.25">
      <c r="A88" s="52" t="s">
        <v>348</v>
      </c>
      <c r="B88" s="438">
        <f>B87/E87*E88</f>
        <v>4259.1126322693117</v>
      </c>
      <c r="E88" s="455">
        <v>3636.5518177250501</v>
      </c>
      <c r="F88" s="455">
        <v>3388.3827113550301</v>
      </c>
      <c r="G88" s="455">
        <v>3130.8858978390003</v>
      </c>
      <c r="H88" s="455">
        <v>2881.2921638770299</v>
      </c>
      <c r="I88" s="455">
        <v>2503.0095046776901</v>
      </c>
      <c r="J88" s="455">
        <v>2181.9137047383397</v>
      </c>
      <c r="K88" s="455">
        <v>1933.1653299627001</v>
      </c>
      <c r="L88" s="455">
        <v>1657.5921803080901</v>
      </c>
      <c r="M88" s="455">
        <v>1363.8353926432601</v>
      </c>
      <c r="P88" s="293"/>
      <c r="Q88" s="398"/>
      <c r="R88" s="293"/>
      <c r="S88" s="293"/>
      <c r="T88" s="113"/>
    </row>
    <row r="89" spans="1:20" s="438" customFormat="1" x14ac:dyDescent="0.25">
      <c r="A89" s="393" t="s">
        <v>349</v>
      </c>
      <c r="B89" s="293"/>
      <c r="C89" s="293"/>
      <c r="D89" s="293"/>
      <c r="E89" s="52">
        <v>691.36406088915874</v>
      </c>
      <c r="F89" s="52">
        <v>652.57310711846685</v>
      </c>
      <c r="G89" s="52">
        <v>563.002506631492</v>
      </c>
      <c r="H89" s="52">
        <v>481.55163994317684</v>
      </c>
      <c r="I89" s="52">
        <v>396.55766211747567</v>
      </c>
      <c r="J89" s="52">
        <v>325.39855339862805</v>
      </c>
      <c r="K89" s="52">
        <v>253.40613152964613</v>
      </c>
      <c r="L89" s="52">
        <v>173.66725419635918</v>
      </c>
      <c r="M89" s="52">
        <v>89.121166451879503</v>
      </c>
      <c r="N89" s="293"/>
      <c r="O89" s="293" t="s">
        <v>351</v>
      </c>
      <c r="P89" s="52"/>
      <c r="Q89" s="293"/>
      <c r="R89" s="293"/>
      <c r="S89" s="293"/>
      <c r="T89" s="113"/>
    </row>
    <row r="90" spans="1:20" s="438" customFormat="1" x14ac:dyDescent="0.25">
      <c r="A90" s="52" t="s">
        <v>350</v>
      </c>
      <c r="E90" s="438">
        <f>E88-E89</f>
        <v>2945.1877568358914</v>
      </c>
      <c r="F90" s="438">
        <f t="shared" ref="F90:M90" si="7">F88-F89</f>
        <v>2735.8096042365632</v>
      </c>
      <c r="G90" s="438">
        <f t="shared" si="7"/>
        <v>2567.8833912075083</v>
      </c>
      <c r="H90" s="438">
        <f t="shared" si="7"/>
        <v>2399.7405239338532</v>
      </c>
      <c r="I90" s="438">
        <f t="shared" si="7"/>
        <v>2106.4518425602146</v>
      </c>
      <c r="J90" s="438">
        <f t="shared" si="7"/>
        <v>1856.5151513397116</v>
      </c>
      <c r="K90" s="438">
        <f t="shared" si="7"/>
        <v>1679.7591984330538</v>
      </c>
      <c r="L90" s="438">
        <f t="shared" si="7"/>
        <v>1483.9249261117309</v>
      </c>
      <c r="M90" s="438">
        <f t="shared" si="7"/>
        <v>1274.7142261913805</v>
      </c>
      <c r="O90" s="438">
        <f>(M89+M90)/B88</f>
        <v>0.32021585489665494</v>
      </c>
      <c r="P90" s="293"/>
      <c r="Q90" s="293">
        <f>B88*0.2</f>
        <v>851.82252645386234</v>
      </c>
      <c r="R90" s="293"/>
      <c r="S90" s="293"/>
      <c r="T90" s="113"/>
    </row>
    <row r="91" spans="1:20" s="438" customFormat="1" x14ac:dyDescent="0.25">
      <c r="A91" s="393" t="s">
        <v>277</v>
      </c>
      <c r="B91" s="391" t="s">
        <v>278</v>
      </c>
      <c r="C91" s="395" t="s">
        <v>279</v>
      </c>
      <c r="D91" s="396" t="s">
        <v>273</v>
      </c>
      <c r="E91" s="293"/>
      <c r="F91" s="293"/>
      <c r="G91" s="293" t="s">
        <v>280</v>
      </c>
      <c r="H91" s="293"/>
      <c r="I91" s="293"/>
      <c r="J91" s="293"/>
      <c r="K91" s="293"/>
      <c r="L91" s="293"/>
      <c r="M91" s="293"/>
      <c r="N91" s="293"/>
      <c r="O91" s="293"/>
      <c r="P91" s="293"/>
      <c r="Q91" s="293"/>
      <c r="R91" s="293"/>
      <c r="S91" s="293"/>
      <c r="T91" s="113"/>
    </row>
    <row r="92" spans="1:20" s="438" customFormat="1" ht="15.75" thickBot="1" x14ac:dyDescent="0.3">
      <c r="A92" s="542" t="s">
        <v>281</v>
      </c>
      <c r="B92" s="543"/>
      <c r="C92" s="543"/>
      <c r="D92" s="543"/>
      <c r="E92" s="543"/>
      <c r="F92" s="543"/>
      <c r="G92" s="543"/>
      <c r="H92" s="543"/>
      <c r="I92" s="543"/>
      <c r="J92" s="543"/>
      <c r="K92" s="293"/>
      <c r="L92" s="293"/>
      <c r="M92" s="293"/>
      <c r="N92" s="293"/>
      <c r="O92" s="293"/>
      <c r="P92" s="293"/>
      <c r="Q92" s="293"/>
      <c r="R92" s="293"/>
      <c r="S92" s="293"/>
      <c r="T92" s="113"/>
    </row>
    <row r="93" spans="1:20" s="438" customFormat="1" x14ac:dyDescent="0.25">
      <c r="A93" s="377"/>
      <c r="B93" s="399">
        <v>2011</v>
      </c>
      <c r="C93" s="399">
        <v>2015</v>
      </c>
      <c r="D93" s="399">
        <v>2020</v>
      </c>
      <c r="E93" s="399">
        <v>2025</v>
      </c>
      <c r="F93" s="399">
        <v>2030</v>
      </c>
      <c r="G93" s="399">
        <v>2035</v>
      </c>
      <c r="H93" s="399">
        <v>2040</v>
      </c>
      <c r="I93" s="399">
        <v>2045</v>
      </c>
      <c r="J93" s="400">
        <v>2050</v>
      </c>
      <c r="K93" s="293"/>
      <c r="L93" s="293"/>
      <c r="M93" s="293"/>
      <c r="N93" s="293"/>
      <c r="O93" s="293"/>
      <c r="P93" s="293"/>
      <c r="Q93" s="293"/>
      <c r="R93" s="293"/>
      <c r="S93" s="293"/>
      <c r="T93" s="113"/>
    </row>
    <row r="94" spans="1:20" s="38" customFormat="1" ht="15.75" thickBot="1" x14ac:dyDescent="0.3">
      <c r="A94" s="401" t="s">
        <v>190</v>
      </c>
      <c r="B94" s="88">
        <f>E87/$E$87</f>
        <v>1</v>
      </c>
      <c r="C94" s="88">
        <f t="shared" ref="C94:J94" si="8">F87/$E$87</f>
        <v>0.92656997750916148</v>
      </c>
      <c r="D94" s="88">
        <f t="shared" si="8"/>
        <v>0.81093420021729634</v>
      </c>
      <c r="E94" s="88">
        <f t="shared" si="8"/>
        <v>0.6952984229254312</v>
      </c>
      <c r="F94" s="88">
        <f t="shared" si="8"/>
        <v>0.57966264563356606</v>
      </c>
      <c r="G94" s="88">
        <f t="shared" si="8"/>
        <v>0.46402686834170087</v>
      </c>
      <c r="H94" s="88">
        <f t="shared" si="8"/>
        <v>0.34839109104983568</v>
      </c>
      <c r="I94" s="88">
        <f t="shared" si="8"/>
        <v>0.23275531375797054</v>
      </c>
      <c r="J94" s="388">
        <f t="shared" si="8"/>
        <v>0.11711953646610544</v>
      </c>
      <c r="T94" s="195"/>
    </row>
    <row r="95" spans="1:20" s="438" customFormat="1" x14ac:dyDescent="0.25">
      <c r="A95" s="408" t="s">
        <v>272</v>
      </c>
      <c r="B95" s="409" t="s">
        <v>271</v>
      </c>
      <c r="C95" s="409"/>
      <c r="D95" s="409"/>
      <c r="E95" s="376"/>
      <c r="F95" s="376"/>
      <c r="G95" s="376"/>
      <c r="H95" s="376"/>
      <c r="I95" s="376"/>
      <c r="J95" s="376"/>
      <c r="K95" s="376"/>
      <c r="L95" s="376"/>
      <c r="M95" s="376"/>
      <c r="N95" s="376"/>
      <c r="O95" s="376"/>
      <c r="P95" s="376"/>
      <c r="Q95" s="376"/>
      <c r="R95" s="376"/>
      <c r="S95" s="376"/>
      <c r="T95" s="392"/>
    </row>
    <row r="96" spans="1:20" s="438" customFormat="1" x14ac:dyDescent="0.25">
      <c r="A96" s="393"/>
      <c r="B96" s="293" t="s">
        <v>270</v>
      </c>
      <c r="C96" s="293"/>
      <c r="D96" s="293"/>
      <c r="E96" s="293"/>
      <c r="F96" s="293"/>
      <c r="G96" s="293"/>
      <c r="H96" s="293"/>
      <c r="I96" s="293"/>
      <c r="J96" s="293"/>
      <c r="K96" s="293"/>
      <c r="L96" s="293">
        <f>M99/B99</f>
        <v>5.0000000000000044E-2</v>
      </c>
      <c r="M96" s="293">
        <f>M99/E99</f>
        <v>5.855976823305279E-2</v>
      </c>
      <c r="N96" s="293"/>
      <c r="O96" s="293"/>
      <c r="P96" s="293"/>
      <c r="Q96" s="293"/>
      <c r="R96" s="293"/>
      <c r="S96" s="293"/>
      <c r="T96" s="113"/>
    </row>
    <row r="97" spans="1:20" s="438" customFormat="1" x14ac:dyDescent="0.25">
      <c r="A97" s="393" t="s">
        <v>273</v>
      </c>
      <c r="B97" s="293" t="s">
        <v>390</v>
      </c>
      <c r="C97" s="293"/>
      <c r="D97" s="293"/>
      <c r="E97" s="293"/>
      <c r="F97" s="293"/>
      <c r="G97" s="293"/>
      <c r="H97" s="293"/>
      <c r="I97" s="293"/>
      <c r="J97" s="293"/>
      <c r="K97" s="293"/>
      <c r="L97" s="293"/>
      <c r="M97" s="293">
        <f>M100/E100</f>
        <v>0.86094906789960601</v>
      </c>
      <c r="O97" s="293"/>
      <c r="P97" s="293"/>
      <c r="Q97" s="293"/>
      <c r="R97" s="293"/>
      <c r="T97" s="113"/>
    </row>
    <row r="98" spans="1:20" s="438" customFormat="1" x14ac:dyDescent="0.25">
      <c r="A98" s="393"/>
      <c r="B98" s="293">
        <v>1990</v>
      </c>
      <c r="C98" s="293">
        <v>2005</v>
      </c>
      <c r="D98" s="293">
        <v>2010</v>
      </c>
      <c r="E98" s="293">
        <v>2011</v>
      </c>
      <c r="F98" s="293">
        <v>2015</v>
      </c>
      <c r="G98" s="293">
        <v>2020</v>
      </c>
      <c r="H98" s="293">
        <v>2025</v>
      </c>
      <c r="I98" s="293">
        <v>2030</v>
      </c>
      <c r="J98" s="293">
        <v>2035</v>
      </c>
      <c r="K98" s="293">
        <v>2040</v>
      </c>
      <c r="L98" s="293">
        <v>2045</v>
      </c>
      <c r="M98" s="293">
        <v>2050</v>
      </c>
      <c r="N98" s="293"/>
      <c r="O98" s="293" t="s">
        <v>275</v>
      </c>
      <c r="P98" s="293"/>
      <c r="Q98" s="293"/>
      <c r="R98" s="293"/>
      <c r="S98" s="293"/>
      <c r="T98" s="113"/>
    </row>
    <row r="99" spans="1:20" s="438" customFormat="1" x14ac:dyDescent="0.25">
      <c r="A99" s="52" t="s">
        <v>190</v>
      </c>
      <c r="B99" s="391">
        <v>4385.7047848695101</v>
      </c>
      <c r="C99" s="391">
        <v>4214.6075718738202</v>
      </c>
      <c r="D99" s="394">
        <v>3883.28358034851</v>
      </c>
      <c r="E99" s="391">
        <v>3744.6398075002098</v>
      </c>
      <c r="F99" s="394">
        <v>3469.6708222153802</v>
      </c>
      <c r="G99" s="395">
        <f>$F$99-(($F$99-$M$99)/($M$98-$F$98)*(G$98-$F$98))</f>
        <v>3005.3300246479653</v>
      </c>
      <c r="H99" s="395">
        <f>$F$99-(($F$99-$M$99)/($M$98-$F$98)*(H$98-$F$98))</f>
        <v>2540.9892270805503</v>
      </c>
      <c r="I99" s="395">
        <f t="shared" ref="I99:L99" si="9">$F$99-(($F$99-$M$99)/($M$98-$F$98)*(I$98-$F$98))</f>
        <v>2076.6484295131354</v>
      </c>
      <c r="J99" s="395">
        <f t="shared" si="9"/>
        <v>1612.3076319457205</v>
      </c>
      <c r="K99" s="395">
        <f t="shared" si="9"/>
        <v>1147.9668343783055</v>
      </c>
      <c r="L99" s="395">
        <f t="shared" si="9"/>
        <v>683.62603681089058</v>
      </c>
      <c r="M99" s="396">
        <f>B99*(1-0.95)</f>
        <v>219.2852392434757</v>
      </c>
      <c r="O99" s="397" t="s">
        <v>276</v>
      </c>
      <c r="P99" s="293"/>
      <c r="Q99" s="293"/>
      <c r="R99" s="293"/>
      <c r="S99" s="293">
        <v>4368.5085552144483</v>
      </c>
      <c r="T99" s="113"/>
    </row>
    <row r="100" spans="1:20" s="438" customFormat="1" x14ac:dyDescent="0.25">
      <c r="A100" s="52" t="s">
        <v>348</v>
      </c>
      <c r="B100" s="438">
        <f>B99/E99*E100</f>
        <v>4259.1126322693117</v>
      </c>
      <c r="E100" s="455">
        <v>3636.5518177250501</v>
      </c>
      <c r="F100" s="455">
        <v>3388.3827113550301</v>
      </c>
      <c r="G100" s="455">
        <v>3130.8858978390003</v>
      </c>
      <c r="H100" s="455">
        <v>3130.8858978390003</v>
      </c>
      <c r="I100" s="455">
        <v>3130.8858978390003</v>
      </c>
      <c r="J100" s="455">
        <v>3130.8858978390003</v>
      </c>
      <c r="K100" s="455">
        <v>3130.8858978390003</v>
      </c>
      <c r="L100" s="455">
        <v>3130.8858978390003</v>
      </c>
      <c r="M100" s="455">
        <v>3130.8858978389999</v>
      </c>
      <c r="P100" s="293"/>
      <c r="Q100" s="398"/>
      <c r="R100" s="293"/>
      <c r="S100" s="293"/>
      <c r="T100" s="113"/>
    </row>
    <row r="101" spans="1:20" s="438" customFormat="1" x14ac:dyDescent="0.25">
      <c r="A101" s="393" t="s">
        <v>349</v>
      </c>
      <c r="B101" s="293"/>
      <c r="C101" s="293"/>
      <c r="D101" s="293"/>
      <c r="E101" s="52">
        <v>691.36406088915874</v>
      </c>
      <c r="F101" s="52">
        <v>652.57310711846685</v>
      </c>
      <c r="G101" s="52">
        <v>563.002506631492</v>
      </c>
      <c r="H101" s="52">
        <v>481.55163994317684</v>
      </c>
      <c r="I101" s="52">
        <v>396.55766211747567</v>
      </c>
      <c r="J101" s="52">
        <v>325.39855339862805</v>
      </c>
      <c r="K101" s="52">
        <v>253.40613152964613</v>
      </c>
      <c r="L101" s="52">
        <v>173.66725419635918</v>
      </c>
      <c r="M101" s="52">
        <v>89.121166451879503</v>
      </c>
      <c r="N101" s="293"/>
      <c r="O101" s="293" t="s">
        <v>351</v>
      </c>
      <c r="P101" s="52"/>
      <c r="Q101" s="293"/>
      <c r="R101" s="293"/>
      <c r="S101" s="293"/>
      <c r="T101" s="113"/>
    </row>
    <row r="102" spans="1:20" s="438" customFormat="1" x14ac:dyDescent="0.25">
      <c r="A102" s="52" t="s">
        <v>350</v>
      </c>
      <c r="E102" s="438">
        <f>E100-E101</f>
        <v>2945.1877568358914</v>
      </c>
      <c r="F102" s="438">
        <f t="shared" ref="F102:M102" si="10">F100-F101</f>
        <v>2735.8096042365632</v>
      </c>
      <c r="G102" s="438">
        <f t="shared" si="10"/>
        <v>2567.8833912075083</v>
      </c>
      <c r="H102" s="438">
        <f t="shared" si="10"/>
        <v>2649.3342578958236</v>
      </c>
      <c r="I102" s="438">
        <f t="shared" si="10"/>
        <v>2734.3282357215248</v>
      </c>
      <c r="J102" s="438">
        <f t="shared" si="10"/>
        <v>2805.4873444403725</v>
      </c>
      <c r="K102" s="438">
        <f t="shared" si="10"/>
        <v>2877.4797663093541</v>
      </c>
      <c r="L102" s="438">
        <f t="shared" si="10"/>
        <v>2957.2186436426409</v>
      </c>
      <c r="M102" s="438">
        <f t="shared" si="10"/>
        <v>3041.7647313871203</v>
      </c>
      <c r="O102" s="438">
        <f>(M101+M102)/B100</f>
        <v>0.73510286488263687</v>
      </c>
      <c r="P102" s="293"/>
      <c r="Q102" s="293">
        <f>B100*0.2</f>
        <v>851.82252645386234</v>
      </c>
      <c r="R102" s="293"/>
      <c r="S102" s="293"/>
      <c r="T102" s="113"/>
    </row>
    <row r="103" spans="1:20" s="438" customFormat="1" x14ac:dyDescent="0.25">
      <c r="A103" s="393" t="s">
        <v>277</v>
      </c>
      <c r="B103" s="391" t="s">
        <v>278</v>
      </c>
      <c r="C103" s="395" t="s">
        <v>279</v>
      </c>
      <c r="D103" s="396" t="s">
        <v>273</v>
      </c>
      <c r="E103" s="293"/>
      <c r="F103" s="293"/>
      <c r="G103" s="293" t="s">
        <v>280</v>
      </c>
      <c r="H103" s="293"/>
      <c r="I103" s="293"/>
      <c r="J103" s="293"/>
      <c r="K103" s="293"/>
      <c r="L103" s="293"/>
      <c r="M103" s="293"/>
      <c r="N103" s="293"/>
      <c r="O103" s="293"/>
      <c r="P103" s="293"/>
      <c r="Q103" s="293"/>
      <c r="R103" s="293"/>
      <c r="S103" s="293"/>
      <c r="T103" s="113"/>
    </row>
    <row r="104" spans="1:20" s="438" customFormat="1" ht="15.75" thickBot="1" x14ac:dyDescent="0.3">
      <c r="A104" s="542" t="s">
        <v>281</v>
      </c>
      <c r="B104" s="543"/>
      <c r="C104" s="543"/>
      <c r="D104" s="543"/>
      <c r="E104" s="543"/>
      <c r="F104" s="543"/>
      <c r="G104" s="543"/>
      <c r="H104" s="543"/>
      <c r="I104" s="543"/>
      <c r="J104" s="543"/>
      <c r="K104" s="293"/>
      <c r="L104" s="293"/>
      <c r="M104" s="293"/>
      <c r="N104" s="293"/>
      <c r="O104" s="293"/>
      <c r="P104" s="293"/>
      <c r="Q104" s="293"/>
      <c r="R104" s="293"/>
      <c r="S104" s="293"/>
      <c r="T104" s="113"/>
    </row>
    <row r="105" spans="1:20" s="438" customFormat="1" x14ac:dyDescent="0.25">
      <c r="A105" s="377"/>
      <c r="B105" s="399">
        <v>2011</v>
      </c>
      <c r="C105" s="399">
        <v>2015</v>
      </c>
      <c r="D105" s="399">
        <v>2020</v>
      </c>
      <c r="E105" s="399">
        <v>2025</v>
      </c>
      <c r="F105" s="399">
        <v>2030</v>
      </c>
      <c r="G105" s="399">
        <v>2035</v>
      </c>
      <c r="H105" s="399">
        <v>2040</v>
      </c>
      <c r="I105" s="399">
        <v>2045</v>
      </c>
      <c r="J105" s="400">
        <v>2050</v>
      </c>
      <c r="K105" s="293"/>
      <c r="L105" s="293"/>
      <c r="M105" s="293"/>
      <c r="N105" s="293"/>
      <c r="O105" s="293"/>
      <c r="P105" s="293"/>
      <c r="Q105" s="293"/>
      <c r="R105" s="293"/>
      <c r="S105" s="293"/>
      <c r="T105" s="113"/>
    </row>
    <row r="106" spans="1:20" s="38" customFormat="1" ht="15.75" thickBot="1" x14ac:dyDescent="0.3">
      <c r="A106" s="401" t="s">
        <v>190</v>
      </c>
      <c r="B106" s="88">
        <f>E99/$E$99</f>
        <v>1</v>
      </c>
      <c r="C106" s="88">
        <f t="shared" ref="C106:I106" si="11">F99/$E$99</f>
        <v>0.92656997750916148</v>
      </c>
      <c r="D106" s="88">
        <f t="shared" si="11"/>
        <v>0.8025685190411459</v>
      </c>
      <c r="E106" s="88">
        <f t="shared" si="11"/>
        <v>0.67856706057313043</v>
      </c>
      <c r="F106" s="88">
        <f t="shared" si="11"/>
        <v>0.55456560210511485</v>
      </c>
      <c r="G106" s="88">
        <f t="shared" si="11"/>
        <v>0.43056414363709938</v>
      </c>
      <c r="H106" s="88">
        <f t="shared" si="11"/>
        <v>0.30656268516908386</v>
      </c>
      <c r="I106" s="88">
        <f t="shared" si="11"/>
        <v>0.18256122670106831</v>
      </c>
      <c r="J106" s="388">
        <f>M99/$E$99</f>
        <v>5.855976823305279E-2</v>
      </c>
      <c r="T106" s="195"/>
    </row>
    <row r="107" spans="1:20" x14ac:dyDescent="0.25">
      <c r="A107" s="408" t="s">
        <v>272</v>
      </c>
      <c r="B107" s="409" t="s">
        <v>403</v>
      </c>
      <c r="C107" s="409"/>
      <c r="D107" s="409"/>
      <c r="E107" s="376"/>
      <c r="F107" s="376"/>
      <c r="G107" s="376"/>
      <c r="H107" s="376"/>
      <c r="I107" s="376"/>
      <c r="J107" s="376"/>
      <c r="K107" s="376"/>
      <c r="L107" s="376"/>
      <c r="M107" s="376"/>
      <c r="N107" s="376"/>
      <c r="O107" s="376"/>
      <c r="P107" s="376"/>
      <c r="Q107" s="376"/>
      <c r="R107" s="376"/>
      <c r="S107" s="376"/>
      <c r="T107" s="392"/>
    </row>
    <row r="108" spans="1:20" x14ac:dyDescent="0.25">
      <c r="A108" s="393"/>
      <c r="B108" s="293" t="s">
        <v>404</v>
      </c>
      <c r="C108" s="293"/>
      <c r="D108" s="293"/>
      <c r="E108" s="293"/>
      <c r="F108" s="293"/>
      <c r="G108" s="293"/>
      <c r="H108" s="293"/>
      <c r="I108" s="293"/>
      <c r="J108" s="293"/>
      <c r="K108" s="293"/>
      <c r="L108" s="293">
        <f>M111/B111</f>
        <v>5.0000000000000044E-2</v>
      </c>
      <c r="M108" s="293">
        <f>M111/E111</f>
        <v>5.855976823305279E-2</v>
      </c>
      <c r="N108" s="293"/>
      <c r="O108" s="293"/>
      <c r="P108" s="293"/>
      <c r="Q108" s="293"/>
      <c r="R108" s="293"/>
      <c r="S108" s="293"/>
      <c r="T108" s="113"/>
    </row>
    <row r="109" spans="1:20" x14ac:dyDescent="0.25">
      <c r="A109" s="393" t="s">
        <v>273</v>
      </c>
      <c r="B109" s="293" t="s">
        <v>405</v>
      </c>
      <c r="C109" s="293"/>
      <c r="D109" s="293"/>
      <c r="E109" s="293"/>
      <c r="F109" s="293"/>
      <c r="G109" s="293"/>
      <c r="H109" s="293"/>
      <c r="I109" s="293"/>
      <c r="J109" s="293"/>
      <c r="K109" s="293"/>
      <c r="L109" s="293"/>
      <c r="M109" s="293" t="e">
        <f>M112/E112</f>
        <v>#DIV/0!</v>
      </c>
      <c r="N109" s="438"/>
      <c r="O109" s="293"/>
      <c r="P109" s="293"/>
      <c r="Q109" s="293"/>
      <c r="R109" s="293"/>
      <c r="S109" s="438"/>
      <c r="T109" s="113"/>
    </row>
    <row r="110" spans="1:20" x14ac:dyDescent="0.25">
      <c r="A110" s="393"/>
      <c r="B110" s="293">
        <v>1990</v>
      </c>
      <c r="C110" s="293">
        <v>2005</v>
      </c>
      <c r="D110" s="293">
        <v>2010</v>
      </c>
      <c r="E110" s="293">
        <v>2011</v>
      </c>
      <c r="F110" s="293">
        <v>2015</v>
      </c>
      <c r="G110" s="293">
        <v>2020</v>
      </c>
      <c r="H110" s="293">
        <v>2025</v>
      </c>
      <c r="I110" s="293">
        <v>2030</v>
      </c>
      <c r="J110" s="293">
        <v>2035</v>
      </c>
      <c r="K110" s="293">
        <v>2040</v>
      </c>
      <c r="L110" s="293">
        <v>2045</v>
      </c>
      <c r="M110" s="293">
        <v>2050</v>
      </c>
      <c r="N110" s="293"/>
      <c r="O110" s="293"/>
      <c r="P110" s="293"/>
      <c r="Q110" s="293"/>
      <c r="R110" s="293"/>
      <c r="S110" s="293"/>
      <c r="T110" s="113"/>
    </row>
    <row r="111" spans="1:20" x14ac:dyDescent="0.25">
      <c r="A111" s="52" t="s">
        <v>190</v>
      </c>
      <c r="B111" s="391">
        <v>4385.7047848695101</v>
      </c>
      <c r="C111" s="391">
        <v>4214.6075718738202</v>
      </c>
      <c r="D111" s="394">
        <v>3883.28358034851</v>
      </c>
      <c r="E111" s="391">
        <v>3744.6398075002098</v>
      </c>
      <c r="F111" s="394">
        <v>3469.6708222153802</v>
      </c>
      <c r="G111" s="395">
        <f>$F$111-(($F$111-$M$111)/($M$110-$F$110)*(G$110-$F$110))</f>
        <v>3005.3300246479653</v>
      </c>
      <c r="H111" s="395">
        <f t="shared" ref="H111:L111" si="12">$F$111-(($F$111-$M$111)/($M$110-$F$110)*(H$110-$F$110))</f>
        <v>2540.9892270805503</v>
      </c>
      <c r="I111" s="395">
        <f t="shared" si="12"/>
        <v>2076.6484295131354</v>
      </c>
      <c r="J111" s="395">
        <f t="shared" si="12"/>
        <v>1612.3076319457205</v>
      </c>
      <c r="K111" s="395">
        <f t="shared" si="12"/>
        <v>1147.9668343783055</v>
      </c>
      <c r="L111" s="395">
        <f t="shared" si="12"/>
        <v>683.62603681089058</v>
      </c>
      <c r="M111" s="396">
        <f>B111*(1-0.95)</f>
        <v>219.2852392434757</v>
      </c>
      <c r="N111" s="438"/>
      <c r="O111" s="397"/>
      <c r="P111" s="293"/>
      <c r="Q111" s="293"/>
      <c r="R111" s="293"/>
      <c r="S111" s="293"/>
      <c r="T111" s="113"/>
    </row>
    <row r="112" spans="1:20" x14ac:dyDescent="0.25">
      <c r="A112" s="52" t="s">
        <v>406</v>
      </c>
      <c r="B112" s="438"/>
      <c r="C112" s="438"/>
      <c r="D112" s="438"/>
      <c r="E112" s="455"/>
      <c r="F112" s="455">
        <f>[11]AT!C2302 +
 [11]BE!C2302 +
 [11]BG!C2302 +
 [11]CY!C2302 +
 [11]CZ!C2302 +
 [11]DE!C2302 +
 [11]DK!C2302 +
 [11]EE!C2302 +
 [11]ES!C2302 +
 [11]FI!C2302 +
 [11]FR!C2302 +
 [11]GR!C2302 +
 [11]HR!C2302 +
 [11]HU!C2302 +
 [11]IE!C2302 +
 [11]IT!C2302 +
 [11]LT!C2302 +
 [11]LU!C2302 +
 [11]LV!C2302 +
 [11]MT!C2302 +
 [11]NL!C2302 +
 [11]PL!C2302 +
 [11]PT!C2302 +
 [11]RO!C2302 +
 [11]SE!C2302 +
 [11]SI!C2302 +
 [11]SK!C2302 +
 [11]UK!C2302</f>
        <v>0</v>
      </c>
      <c r="G112" s="455">
        <f>[11]AT!D2302 +
 [11]BE!D2302 +
 [11]BG!D2302 +
 [11]CY!D2302 +
 [11]CZ!D2302 +
 [11]DE!D2302 +
 [11]DK!D2302 +
 [11]EE!D2302 +
 [11]ES!D2302 +
 [11]FI!D2302 +
 [11]FR!D2302 +
 [11]GR!D2302 +
 [11]HR!D2302 +
 [11]HU!D2302 +
 [11]IE!D2302 +
 [11]IT!D2302 +
 [11]LT!D2302 +
 [11]LU!D2302 +
 [11]LV!D2302 +
 [11]MT!D2302 +
 [11]NL!D2302 +
 [11]PL!D2302 +
 [11]PT!D2302 +
 [11]RO!D2302 +
 [11]SE!D2302 +
 [11]SI!D2302 +
 [11]SK!D2302 +
 [11]UK!D2302</f>
        <v>0</v>
      </c>
      <c r="H112" s="455">
        <f>[11]AT!E2302 +
 [11]BE!E2302 +
 [11]BG!E2302 +
 [11]CY!E2302 +
 [11]CZ!E2302 +
 [11]DE!E2302 +
 [11]DK!E2302 +
 [11]EE!E2302 +
 [11]ES!E2302 +
 [11]FI!E2302 +
 [11]FR!E2302 +
 [11]GR!E2302 +
 [11]HR!E2302 +
 [11]HU!E2302 +
 [11]IE!E2302 +
 [11]IT!E2302 +
 [11]LT!E2302 +
 [11]LU!E2302 +
 [11]LV!E2302 +
 [11]MT!E2302 +
 [11]NL!E2302 +
 [11]PL!E2302 +
 [11]PT!E2302 +
 [11]RO!E2302 +
 [11]SE!E2302 +
 [11]SI!E2302 +
 [11]SK!E2302 +
 [11]UK!E2302</f>
        <v>0</v>
      </c>
      <c r="I112" s="455">
        <f>[11]AT!F2302 +
 [11]BE!F2302 +
 [11]BG!F2302 +
 [11]CY!F2302 +
 [11]CZ!F2302 +
 [11]DE!F2302 +
 [11]DK!F2302 +
 [11]EE!F2302 +
 [11]ES!F2302 +
 [11]FI!F2302 +
 [11]FR!F2302 +
 [11]GR!F2302 +
 [11]HR!F2302 +
 [11]HU!F2302 +
 [11]IE!F2302 +
 [11]IT!F2302 +
 [11]LT!F2302 +
 [11]LU!F2302 +
 [11]LV!F2302 +
 [11]MT!F2302 +
 [11]NL!F2302 +
 [11]PL!F2302 +
 [11]PT!F2302 +
 [11]RO!F2302 +
 [11]SE!F2302 +
 [11]SI!F2302 +
 [11]SK!F2302 +
 [11]UK!F2302</f>
        <v>0</v>
      </c>
      <c r="J112" s="455">
        <f>[11]AT!G2302 +
 [11]BE!G2302 +
 [11]BG!G2302 +
 [11]CY!G2302 +
 [11]CZ!G2302 +
 [11]DE!G2302 +
 [11]DK!G2302 +
 [11]EE!G2302 +
 [11]ES!G2302 +
 [11]FI!G2302 +
 [11]FR!G2302 +
 [11]GR!G2302 +
 [11]HR!G2302 +
 [11]HU!G2302 +
 [11]IE!G2302 +
 [11]IT!G2302 +
 [11]LT!G2302 +
 [11]LU!G2302 +
 [11]LV!G2302 +
 [11]MT!G2302 +
 [11]NL!G2302 +
 [11]PL!G2302 +
 [11]PT!G2302 +
 [11]RO!G2302 +
 [11]SE!G2302 +
 [11]SI!G2302 +
 [11]SK!G2302 +
 [11]UK!G2302</f>
        <v>-14.71</v>
      </c>
      <c r="K112" s="455">
        <f>[11]AT!H2302 +
 [11]BE!H2302 +
 [11]BG!H2302 +
 [11]CY!H2302 +
 [11]CZ!H2302 +
 [11]DE!H2302 +
 [11]DK!H2302 +
 [11]EE!H2302 +
 [11]ES!H2302 +
 [11]FI!H2302 +
 [11]FR!H2302 +
 [11]GR!H2302 +
 [11]HR!H2302 +
 [11]HU!H2302 +
 [11]IE!H2302 +
 [11]IT!H2302 +
 [11]LT!H2302 +
 [11]LU!H2302 +
 [11]LV!H2302 +
 [11]MT!H2302 +
 [11]NL!H2302 +
 [11]PL!H2302 +
 [11]PT!H2302 +
 [11]RO!H2302 +
 [11]SE!H2302 +
 [11]SI!H2302 +
 [11]SK!H2302 +
 [11]UK!H2302</f>
        <v>-151.005</v>
      </c>
      <c r="L112" s="455">
        <f>[11]AT!I2302 +
 [11]BE!I2302 +
 [11]BG!I2302 +
 [11]CY!I2302 +
 [11]CZ!I2302 +
 [11]DE!I2302 +
 [11]DK!I2302 +
 [11]EE!I2302 +
 [11]ES!I2302 +
 [11]FI!I2302 +
 [11]FR!I2302 +
 [11]GR!I2302 +
 [11]HR!I2302 +
 [11]HU!I2302 +
 [11]IE!I2302 +
 [11]IT!I2302 +
 [11]LT!I2302 +
 [11]LU!I2302 +
 [11]LV!I2302 +
 [11]MT!I2302 +
 [11]NL!I2302 +
 [11]PL!I2302 +
 [11]PT!I2302 +
 [11]RO!I2302 +
 [11]SE!I2302 +
 [11]SI!I2302 +
 [11]SK!I2302 +
 [11]UK!I2302</f>
        <v>-349.45799999999997</v>
      </c>
      <c r="M112" s="455">
        <f>[11]AT!J2302 +
 [11]BE!J2302 +
 [11]BG!J2302 +
 [11]CY!J2302 +
 [11]CZ!J2302 +
 [11]DE!J2302 +
 [11]DK!J2302 +
 [11]EE!J2302 +
 [11]ES!J2302 +
 [11]FI!J2302 +
 [11]FR!J2302 +
 [11]GR!J2302 +
 [11]HR!J2302 +
 [11]HU!J2302 +
 [11]IE!J2302 +
 [11]IT!J2302 +
 [11]LT!J2302 +
 [11]LU!J2302 +
 [11]LV!J2302 +
 [11]MT!J2302 +
 [11]NL!J2302 +
 [11]PL!J2302 +
 [11]PT!J2302 +
 [11]RO!J2302 +
 [11]SE!J2302 +
 [11]SI!J2302 +
 [11]SK!J2302 +
 [11]UK!J2302</f>
        <v>-393.96200000000005</v>
      </c>
      <c r="N112" s="438"/>
      <c r="O112" s="438"/>
      <c r="P112" s="293"/>
      <c r="Q112" s="398"/>
      <c r="R112" s="293"/>
      <c r="S112" s="293"/>
      <c r="T112" s="113"/>
    </row>
    <row r="113" spans="1:20" x14ac:dyDescent="0.25">
      <c r="A113" s="393" t="s">
        <v>349</v>
      </c>
      <c r="B113" s="293"/>
      <c r="C113" s="293"/>
      <c r="D113" s="293"/>
      <c r="E113" s="391">
        <v>3744.6398075002098</v>
      </c>
      <c r="F113" s="52">
        <f>F111-F112</f>
        <v>3469.6708222153802</v>
      </c>
      <c r="G113" s="52">
        <f t="shared" ref="G113:L113" si="13">G111-G112</f>
        <v>3005.3300246479653</v>
      </c>
      <c r="H113" s="52">
        <f t="shared" si="13"/>
        <v>2540.9892270805503</v>
      </c>
      <c r="I113" s="52">
        <f t="shared" si="13"/>
        <v>2076.6484295131354</v>
      </c>
      <c r="J113" s="52">
        <f t="shared" si="13"/>
        <v>1627.0176319457205</v>
      </c>
      <c r="K113" s="52">
        <f t="shared" si="13"/>
        <v>1298.9718343783056</v>
      </c>
      <c r="L113" s="52">
        <f t="shared" si="13"/>
        <v>1033.0840368108907</v>
      </c>
      <c r="M113" s="52">
        <f>M111-M112</f>
        <v>613.24723924347575</v>
      </c>
      <c r="N113" s="293"/>
      <c r="O113" s="293"/>
      <c r="P113" s="52"/>
      <c r="Q113" s="293"/>
      <c r="R113" s="293"/>
      <c r="S113" s="293"/>
      <c r="T113" s="113"/>
    </row>
    <row r="114" spans="1:20" x14ac:dyDescent="0.25">
      <c r="A114" s="52" t="s">
        <v>350</v>
      </c>
      <c r="B114" s="438"/>
      <c r="C114" s="438"/>
      <c r="D114" s="438"/>
      <c r="E114" s="438"/>
      <c r="F114" s="438"/>
      <c r="G114" s="438"/>
      <c r="H114" s="438"/>
      <c r="I114" s="438"/>
      <c r="J114" s="438"/>
      <c r="K114" s="438"/>
      <c r="L114" s="438"/>
      <c r="M114" s="438"/>
      <c r="N114" s="438"/>
      <c r="O114" s="438"/>
      <c r="P114" s="293"/>
      <c r="Q114" s="293"/>
      <c r="R114" s="293"/>
      <c r="S114" s="293"/>
      <c r="T114" s="113"/>
    </row>
    <row r="115" spans="1:20" x14ac:dyDescent="0.25">
      <c r="A115" s="393" t="s">
        <v>277</v>
      </c>
      <c r="B115" s="391" t="s">
        <v>278</v>
      </c>
      <c r="C115" s="395" t="s">
        <v>279</v>
      </c>
      <c r="D115" s="396" t="s">
        <v>273</v>
      </c>
      <c r="E115" s="293"/>
      <c r="F115" s="293"/>
      <c r="G115" s="293" t="s">
        <v>280</v>
      </c>
      <c r="H115" s="293"/>
      <c r="I115" s="293"/>
      <c r="J115" s="293"/>
      <c r="K115" s="293"/>
      <c r="L115" s="293"/>
      <c r="M115" s="293"/>
      <c r="N115" s="293"/>
      <c r="O115" s="293"/>
      <c r="P115" s="293"/>
      <c r="Q115" s="293"/>
      <c r="R115" s="293"/>
      <c r="S115" s="293"/>
      <c r="T115" s="113"/>
    </row>
    <row r="116" spans="1:20" ht="15.75" thickBot="1" x14ac:dyDescent="0.3">
      <c r="A116" s="542" t="s">
        <v>281</v>
      </c>
      <c r="B116" s="543"/>
      <c r="C116" s="543"/>
      <c r="D116" s="543"/>
      <c r="E116" s="543"/>
      <c r="F116" s="543"/>
      <c r="G116" s="543"/>
      <c r="H116" s="543"/>
      <c r="I116" s="543"/>
      <c r="J116" s="543"/>
      <c r="K116" s="293"/>
      <c r="L116" s="293"/>
      <c r="M116" s="293"/>
      <c r="N116" s="293"/>
      <c r="O116" s="293"/>
      <c r="P116" s="293"/>
      <c r="Q116" s="293"/>
      <c r="R116" s="293"/>
      <c r="S116" s="293"/>
      <c r="T116" s="113"/>
    </row>
    <row r="117" spans="1:20" x14ac:dyDescent="0.25">
      <c r="A117" s="377"/>
      <c r="B117" s="399">
        <v>2011</v>
      </c>
      <c r="C117" s="399">
        <v>2015</v>
      </c>
      <c r="D117" s="399">
        <v>2020</v>
      </c>
      <c r="E117" s="399">
        <v>2025</v>
      </c>
      <c r="F117" s="399">
        <v>2030</v>
      </c>
      <c r="G117" s="399">
        <v>2035</v>
      </c>
      <c r="H117" s="399">
        <v>2040</v>
      </c>
      <c r="I117" s="399">
        <v>2045</v>
      </c>
      <c r="J117" s="400">
        <v>2050</v>
      </c>
      <c r="K117" s="293"/>
      <c r="L117" s="293"/>
      <c r="M117" s="293"/>
      <c r="N117" s="293"/>
      <c r="O117" s="293"/>
      <c r="P117" s="293"/>
      <c r="Q117" s="293"/>
      <c r="R117" s="293"/>
      <c r="S117" s="293"/>
      <c r="T117" s="113"/>
    </row>
    <row r="118" spans="1:20" ht="15.75" thickBot="1" x14ac:dyDescent="0.3">
      <c r="A118" s="401" t="s">
        <v>190</v>
      </c>
      <c r="B118" s="88">
        <f>E111/$E$99</f>
        <v>1</v>
      </c>
      <c r="C118" s="88">
        <f>F113/$E$111</f>
        <v>0.92656997750916148</v>
      </c>
      <c r="D118" s="88">
        <f t="shared" ref="D118:I118" si="14">G113/$E$111</f>
        <v>0.8025685190411459</v>
      </c>
      <c r="E118" s="88">
        <f t="shared" si="14"/>
        <v>0.67856706057313043</v>
      </c>
      <c r="F118" s="88">
        <f t="shared" si="14"/>
        <v>0.55456560210511485</v>
      </c>
      <c r="G118" s="88">
        <f t="shared" si="14"/>
        <v>0.43449242532938309</v>
      </c>
      <c r="H118" s="88">
        <f t="shared" si="14"/>
        <v>0.34688832602178998</v>
      </c>
      <c r="I118" s="88">
        <f t="shared" si="14"/>
        <v>0.27588342001324323</v>
      </c>
      <c r="J118" s="388">
        <f>M113/$E$111</f>
        <v>0.16376668271677058</v>
      </c>
      <c r="K118" s="38"/>
      <c r="L118" s="38"/>
      <c r="M118" s="38"/>
      <c r="N118" s="38"/>
      <c r="O118" s="38"/>
      <c r="P118" s="38"/>
      <c r="Q118" s="38"/>
      <c r="R118" s="38"/>
      <c r="S118" s="38"/>
      <c r="T118" s="195"/>
    </row>
    <row r="121" spans="1:20" x14ac:dyDescent="0.25">
      <c r="A121" s="439">
        <v>1</v>
      </c>
      <c r="B121">
        <v>1</v>
      </c>
      <c r="C121">
        <v>0.92656997750916148</v>
      </c>
      <c r="D121">
        <v>0.8025685190411459</v>
      </c>
      <c r="E121">
        <v>0.67856706057313043</v>
      </c>
      <c r="F121">
        <v>0.55456560210511485</v>
      </c>
      <c r="G121">
        <v>0.4366694037356032</v>
      </c>
      <c r="H121">
        <v>0.34915396449067748</v>
      </c>
      <c r="I121">
        <v>0.28112477859750246</v>
      </c>
      <c r="J121">
        <v>0.16929084553706847</v>
      </c>
    </row>
    <row r="122" spans="1:20" x14ac:dyDescent="0.25">
      <c r="A122" s="439">
        <v>2</v>
      </c>
      <c r="B122">
        <v>1</v>
      </c>
      <c r="C122">
        <v>0.92656997750916148</v>
      </c>
      <c r="D122">
        <v>0.8025685190411459</v>
      </c>
      <c r="E122">
        <v>0.67856706057313043</v>
      </c>
      <c r="F122">
        <v>0.55456560210511485</v>
      </c>
      <c r="G122">
        <v>0.43449242532938309</v>
      </c>
      <c r="H122">
        <v>0.34688832602178998</v>
      </c>
      <c r="I122">
        <v>0.27588342001324323</v>
      </c>
      <c r="J122">
        <v>0.16376668271677058</v>
      </c>
    </row>
    <row r="125" spans="1:20" x14ac:dyDescent="0.25">
      <c r="J125">
        <f>J111/J113</f>
        <v>0.99095891789297419</v>
      </c>
      <c r="K125" s="438">
        <f t="shared" ref="K125:M125" si="15">K111/K113</f>
        <v>0.8837503662484939</v>
      </c>
      <c r="L125" s="438">
        <f t="shared" si="15"/>
        <v>0.66173323026191577</v>
      </c>
      <c r="M125" s="438">
        <f t="shared" si="15"/>
        <v>0.35758047523213315</v>
      </c>
    </row>
    <row r="126" spans="1:20" x14ac:dyDescent="0.25">
      <c r="E126">
        <f>E111/$E$111-1</f>
        <v>0</v>
      </c>
      <c r="F126" s="438">
        <f t="shared" ref="F126:M126" si="16">F111/$E$111-1</f>
        <v>-7.343002249083852E-2</v>
      </c>
      <c r="G126" s="438">
        <f t="shared" si="16"/>
        <v>-0.1974314809588541</v>
      </c>
      <c r="H126" s="438">
        <f t="shared" si="16"/>
        <v>-0.32143293942686957</v>
      </c>
      <c r="I126" s="438">
        <f t="shared" si="16"/>
        <v>-0.44543439789488515</v>
      </c>
      <c r="J126" s="438">
        <f t="shared" si="16"/>
        <v>-0.56943585636290062</v>
      </c>
      <c r="K126" s="438">
        <f t="shared" si="16"/>
        <v>-0.69343731483091609</v>
      </c>
      <c r="L126" s="438">
        <f t="shared" si="16"/>
        <v>-0.81743877329893166</v>
      </c>
      <c r="M126" s="438">
        <f t="shared" si="16"/>
        <v>-0.94144023176694724</v>
      </c>
    </row>
    <row r="127" spans="1:20" x14ac:dyDescent="0.25">
      <c r="E127" s="438">
        <f>E113/$E$111-1</f>
        <v>0</v>
      </c>
      <c r="F127" s="438">
        <f t="shared" ref="F127:M127" si="17">F113/$E$111-1</f>
        <v>-7.343002249083852E-2</v>
      </c>
      <c r="G127" s="438">
        <f t="shared" si="17"/>
        <v>-0.1974314809588541</v>
      </c>
      <c r="H127" s="438">
        <f t="shared" si="17"/>
        <v>-0.32143293942686957</v>
      </c>
      <c r="I127" s="438">
        <f t="shared" si="17"/>
        <v>-0.44543439789488515</v>
      </c>
      <c r="J127" s="438">
        <f t="shared" si="17"/>
        <v>-0.56550757467061685</v>
      </c>
      <c r="K127" s="438">
        <f t="shared" si="17"/>
        <v>-0.65311167397821002</v>
      </c>
      <c r="L127" s="438">
        <f t="shared" si="17"/>
        <v>-0.72411657998675683</v>
      </c>
      <c r="M127" s="438">
        <f t="shared" si="17"/>
        <v>-0.83623331728322947</v>
      </c>
    </row>
    <row r="129" spans="2:13" x14ac:dyDescent="0.25">
      <c r="B129">
        <f>B111/$B$111-1</f>
        <v>0</v>
      </c>
      <c r="C129" s="438">
        <f t="shared" ref="C129:M129" si="18">C111/$B$111-1</f>
        <v>-3.901247835603705E-2</v>
      </c>
      <c r="D129" s="438">
        <f t="shared" si="18"/>
        <v>-0.11455882900607706</v>
      </c>
      <c r="E129" s="438">
        <f t="shared" si="18"/>
        <v>-0.14617148413202519</v>
      </c>
      <c r="F129" s="438">
        <f t="shared" si="18"/>
        <v>-0.20886813125552983</v>
      </c>
      <c r="G129" s="438">
        <f t="shared" si="18"/>
        <v>-0.31474411250473977</v>
      </c>
      <c r="H129" s="438">
        <f t="shared" si="18"/>
        <v>-0.42062009375394982</v>
      </c>
      <c r="I129" s="438">
        <f t="shared" si="18"/>
        <v>-0.52649607500315987</v>
      </c>
      <c r="J129" s="438">
        <f t="shared" si="18"/>
        <v>-0.63237205625236992</v>
      </c>
      <c r="K129" s="438">
        <f t="shared" si="18"/>
        <v>-0.73824803750157986</v>
      </c>
      <c r="L129" s="438">
        <f t="shared" si="18"/>
        <v>-0.84412401875078991</v>
      </c>
      <c r="M129" s="438">
        <f t="shared" si="18"/>
        <v>-0.95</v>
      </c>
    </row>
    <row r="132" spans="2:13" x14ac:dyDescent="0.25">
      <c r="F132">
        <f>M111/E111</f>
        <v>5.855976823305279E-2</v>
      </c>
    </row>
    <row r="133" spans="2:13" x14ac:dyDescent="0.25">
      <c r="F133">
        <f>M111/B111</f>
        <v>5.0000000000000044E-2</v>
      </c>
    </row>
    <row r="135" spans="2:13" x14ac:dyDescent="0.25">
      <c r="F135">
        <f>E111/B111-1</f>
        <v>-0.14617148413202519</v>
      </c>
    </row>
  </sheetData>
  <mergeCells count="7">
    <mergeCell ref="A116:J116"/>
    <mergeCell ref="A104:J104"/>
    <mergeCell ref="A28:J28"/>
    <mergeCell ref="A49:J49"/>
    <mergeCell ref="A70:J70"/>
    <mergeCell ref="A79:J79"/>
    <mergeCell ref="A92:J92"/>
  </mergeCells>
  <hyperlinks>
    <hyperlink ref="E3" r:id="rId1"/>
  </hyperlink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70"/>
  <sheetViews>
    <sheetView workbookViewId="0">
      <selection activeCell="K58" sqref="K58"/>
    </sheetView>
  </sheetViews>
  <sheetFormatPr defaultColWidth="11.42578125" defaultRowHeight="15" x14ac:dyDescent="0.25"/>
  <sheetData>
    <row r="5" spans="1:10" ht="15.75" thickBot="1" x14ac:dyDescent="0.3">
      <c r="A5" s="438"/>
    </row>
    <row r="6" spans="1:10" x14ac:dyDescent="0.25">
      <c r="A6" s="550" t="s">
        <v>399</v>
      </c>
      <c r="B6" s="551"/>
      <c r="C6" s="551"/>
      <c r="D6" s="551"/>
      <c r="E6" s="551"/>
      <c r="F6" s="551"/>
      <c r="G6" s="551"/>
      <c r="H6" s="551"/>
      <c r="I6" s="551"/>
      <c r="J6" s="379"/>
    </row>
    <row r="7" spans="1:10" x14ac:dyDescent="0.25">
      <c r="A7" s="382"/>
      <c r="B7" s="293">
        <v>2015</v>
      </c>
      <c r="C7" s="293">
        <v>2020</v>
      </c>
      <c r="D7" s="293">
        <v>2025</v>
      </c>
      <c r="E7" s="293">
        <v>2030</v>
      </c>
      <c r="F7" s="293">
        <v>2035</v>
      </c>
      <c r="G7" s="293">
        <v>2040</v>
      </c>
      <c r="H7" s="293">
        <v>2045</v>
      </c>
      <c r="I7" s="293">
        <v>2050</v>
      </c>
      <c r="J7" s="386"/>
    </row>
    <row r="8" spans="1:10" x14ac:dyDescent="0.25">
      <c r="A8" s="382" t="s">
        <v>397</v>
      </c>
      <c r="B8" s="293">
        <v>762.52200000000005</v>
      </c>
      <c r="C8" s="293">
        <v>796.42700000000002</v>
      </c>
      <c r="D8" s="293">
        <v>810</v>
      </c>
      <c r="E8" s="293">
        <v>750</v>
      </c>
      <c r="F8" s="293">
        <v>700</v>
      </c>
      <c r="G8" s="293">
        <v>610</v>
      </c>
      <c r="H8" s="293">
        <v>480</v>
      </c>
      <c r="I8" s="293">
        <v>300</v>
      </c>
      <c r="J8" s="386"/>
    </row>
    <row r="9" spans="1:10" x14ac:dyDescent="0.25">
      <c r="A9" s="382" t="s">
        <v>400</v>
      </c>
      <c r="B9" s="293">
        <f>B8/$B$8</f>
        <v>1</v>
      </c>
      <c r="C9" s="293"/>
      <c r="D9" s="293">
        <f t="shared" ref="D9:I9" si="0">D8/$C$8</f>
        <v>1.0170423654647569</v>
      </c>
      <c r="E9" s="293">
        <f t="shared" si="0"/>
        <v>0.94170589394884907</v>
      </c>
      <c r="F9" s="293">
        <f t="shared" si="0"/>
        <v>0.87892550101892575</v>
      </c>
      <c r="G9" s="293">
        <f t="shared" si="0"/>
        <v>0.76592079374506383</v>
      </c>
      <c r="H9" s="293">
        <f t="shared" si="0"/>
        <v>0.60269177212726333</v>
      </c>
      <c r="I9" s="293">
        <f t="shared" si="0"/>
        <v>0.37668235757953961</v>
      </c>
      <c r="J9" s="386"/>
    </row>
    <row r="10" spans="1:10" x14ac:dyDescent="0.25">
      <c r="A10" s="382"/>
      <c r="B10" s="293"/>
      <c r="C10" s="293"/>
      <c r="D10" s="293"/>
      <c r="E10" s="293"/>
      <c r="F10" s="293"/>
      <c r="G10" s="293"/>
      <c r="H10" s="293"/>
      <c r="I10" s="293"/>
      <c r="J10" s="386"/>
    </row>
    <row r="11" spans="1:10" x14ac:dyDescent="0.25">
      <c r="A11" s="547" t="s">
        <v>398</v>
      </c>
      <c r="B11" s="548"/>
      <c r="C11" s="548"/>
      <c r="D11" s="548"/>
      <c r="E11" s="548"/>
      <c r="F11" s="548"/>
      <c r="G11" s="548"/>
      <c r="H11" s="548"/>
      <c r="I11" s="548"/>
      <c r="J11" s="549"/>
    </row>
    <row r="12" spans="1:10" x14ac:dyDescent="0.25">
      <c r="A12" s="382"/>
      <c r="B12" s="293">
        <v>2011</v>
      </c>
      <c r="C12" s="293">
        <v>2015</v>
      </c>
      <c r="D12" s="293">
        <v>2020</v>
      </c>
      <c r="E12" s="293">
        <v>2025</v>
      </c>
      <c r="F12" s="293">
        <v>2030</v>
      </c>
      <c r="G12" s="293">
        <v>2035</v>
      </c>
      <c r="H12" s="293">
        <v>2040</v>
      </c>
      <c r="I12" s="293">
        <v>2045</v>
      </c>
      <c r="J12" s="386">
        <v>2050</v>
      </c>
    </row>
    <row r="13" spans="1:10" x14ac:dyDescent="0.25">
      <c r="A13" s="382" t="s">
        <v>105</v>
      </c>
      <c r="B13" s="293">
        <v>0.37124028093669698</v>
      </c>
      <c r="C13" s="293">
        <v>0.34392502936965103</v>
      </c>
      <c r="D13" s="293">
        <v>0.36774444860581101</v>
      </c>
      <c r="E13" s="293">
        <f>$D$13*D9</f>
        <v>0.37401168389658673</v>
      </c>
      <c r="F13" s="293">
        <f t="shared" ref="F13:J13" si="1">$D$13*E9</f>
        <v>0.34630711471906184</v>
      </c>
      <c r="G13" s="293">
        <f t="shared" si="1"/>
        <v>0.32321997373779104</v>
      </c>
      <c r="H13" s="293">
        <f t="shared" si="1"/>
        <v>0.28166311997150362</v>
      </c>
      <c r="I13" s="293">
        <f t="shared" si="1"/>
        <v>0.22163655342019956</v>
      </c>
      <c r="J13" s="386">
        <f t="shared" si="1"/>
        <v>0.13852284588762473</v>
      </c>
    </row>
    <row r="14" spans="1:10" ht="15.75" thickBot="1" x14ac:dyDescent="0.3">
      <c r="A14" s="387" t="s">
        <v>401</v>
      </c>
      <c r="B14" s="88">
        <f>B13/$B$13</f>
        <v>1</v>
      </c>
      <c r="C14" s="88">
        <f t="shared" ref="C14:J14" si="2">C13/$B$13</f>
        <v>0.92642163857293358</v>
      </c>
      <c r="D14" s="88">
        <f t="shared" si="2"/>
        <v>0.99058337009640918</v>
      </c>
      <c r="E14" s="88">
        <f t="shared" si="2"/>
        <v>1.0074652539129028</v>
      </c>
      <c r="F14" s="88">
        <f t="shared" si="2"/>
        <v>0.93283819806750257</v>
      </c>
      <c r="G14" s="88">
        <f t="shared" si="2"/>
        <v>0.87064898486300235</v>
      </c>
      <c r="H14" s="88">
        <f t="shared" si="2"/>
        <v>0.75870840109490212</v>
      </c>
      <c r="I14" s="88">
        <f t="shared" si="2"/>
        <v>0.59701644676320165</v>
      </c>
      <c r="J14" s="388">
        <f t="shared" si="2"/>
        <v>0.37313527922700102</v>
      </c>
    </row>
    <row r="19" spans="1:10" ht="15.75" thickBot="1" x14ac:dyDescent="0.3"/>
    <row r="20" spans="1:10" x14ac:dyDescent="0.25">
      <c r="A20" s="552" t="s">
        <v>396</v>
      </c>
      <c r="B20" s="553"/>
      <c r="C20" s="553"/>
      <c r="D20" s="553"/>
      <c r="E20" s="553"/>
      <c r="F20" s="553"/>
      <c r="G20" s="553"/>
      <c r="H20" s="554"/>
    </row>
    <row r="21" spans="1:10" x14ac:dyDescent="0.25">
      <c r="A21" s="382" t="s">
        <v>395</v>
      </c>
      <c r="B21" s="293">
        <v>2020</v>
      </c>
      <c r="C21" s="481">
        <v>2025</v>
      </c>
      <c r="D21" s="293">
        <v>2030</v>
      </c>
      <c r="E21" s="481">
        <v>2035</v>
      </c>
      <c r="F21" s="293">
        <v>2040</v>
      </c>
      <c r="G21" s="481">
        <v>2045</v>
      </c>
      <c r="H21" s="386">
        <v>2050</v>
      </c>
    </row>
    <row r="22" spans="1:10" x14ac:dyDescent="0.25">
      <c r="A22" s="382" t="s">
        <v>392</v>
      </c>
      <c r="B22" s="293">
        <v>842</v>
      </c>
      <c r="C22" s="481">
        <f>(B22+D22)/2</f>
        <v>644</v>
      </c>
      <c r="D22" s="293">
        <v>446</v>
      </c>
      <c r="E22" s="481">
        <f>(D22+F22)/2</f>
        <v>315</v>
      </c>
      <c r="F22" s="293">
        <v>184</v>
      </c>
      <c r="G22" s="481">
        <f>(F22+H22)/2</f>
        <v>132</v>
      </c>
      <c r="H22" s="386">
        <v>80</v>
      </c>
    </row>
    <row r="23" spans="1:10" x14ac:dyDescent="0.25">
      <c r="A23" s="382" t="s">
        <v>393</v>
      </c>
      <c r="B23" s="293">
        <v>337</v>
      </c>
      <c r="C23" s="481">
        <f t="shared" ref="C23:E24" si="3">(B23+D23)/2</f>
        <v>285</v>
      </c>
      <c r="D23" s="293">
        <v>233</v>
      </c>
      <c r="E23" s="481">
        <f t="shared" si="3"/>
        <v>192</v>
      </c>
      <c r="F23" s="293">
        <v>151</v>
      </c>
      <c r="G23" s="481">
        <f t="shared" ref="G23" si="4">(F23+H23)/2</f>
        <v>123</v>
      </c>
      <c r="H23" s="386">
        <v>95</v>
      </c>
    </row>
    <row r="24" spans="1:10" ht="15.75" thickBot="1" x14ac:dyDescent="0.3">
      <c r="A24" s="387" t="s">
        <v>394</v>
      </c>
      <c r="B24" s="88">
        <v>150</v>
      </c>
      <c r="C24" s="89">
        <f t="shared" si="3"/>
        <v>140</v>
      </c>
      <c r="D24" s="88">
        <v>130</v>
      </c>
      <c r="E24" s="89">
        <f t="shared" si="3"/>
        <v>120</v>
      </c>
      <c r="F24" s="88">
        <v>110</v>
      </c>
      <c r="G24" s="89">
        <f t="shared" ref="G24" si="5">(F24+H24)/2</f>
        <v>100</v>
      </c>
      <c r="H24" s="388">
        <v>90</v>
      </c>
    </row>
    <row r="25" spans="1:10" x14ac:dyDescent="0.25">
      <c r="A25" s="377" t="s">
        <v>392</v>
      </c>
      <c r="B25" s="378">
        <f>B22/$B22</f>
        <v>1</v>
      </c>
      <c r="C25" s="378">
        <f t="shared" ref="C25:H25" si="6">C22/$B22</f>
        <v>0.76484560570071258</v>
      </c>
      <c r="D25" s="378">
        <f t="shared" si="6"/>
        <v>0.52969121140142517</v>
      </c>
      <c r="E25" s="378">
        <f t="shared" si="6"/>
        <v>0.37410926365795727</v>
      </c>
      <c r="F25" s="378">
        <f t="shared" si="6"/>
        <v>0.21852731591448932</v>
      </c>
      <c r="G25" s="378">
        <f t="shared" si="6"/>
        <v>0.15676959619952494</v>
      </c>
      <c r="H25" s="379">
        <f t="shared" si="6"/>
        <v>9.5011876484560567E-2</v>
      </c>
    </row>
    <row r="26" spans="1:10" x14ac:dyDescent="0.25">
      <c r="A26" s="382" t="s">
        <v>393</v>
      </c>
      <c r="B26" s="293">
        <f t="shared" ref="B26:H27" si="7">B23/$B23</f>
        <v>1</v>
      </c>
      <c r="C26" s="293">
        <f t="shared" si="7"/>
        <v>0.8456973293768546</v>
      </c>
      <c r="D26" s="293">
        <f t="shared" si="7"/>
        <v>0.6913946587537092</v>
      </c>
      <c r="E26" s="293">
        <f t="shared" si="7"/>
        <v>0.56973293768545996</v>
      </c>
      <c r="F26" s="293">
        <f t="shared" si="7"/>
        <v>0.44807121661721067</v>
      </c>
      <c r="G26" s="293">
        <f t="shared" si="7"/>
        <v>0.36498516320474778</v>
      </c>
      <c r="H26" s="386">
        <f t="shared" si="7"/>
        <v>0.28189910979228489</v>
      </c>
    </row>
    <row r="27" spans="1:10" ht="15.75" thickBot="1" x14ac:dyDescent="0.3">
      <c r="A27" s="387" t="s">
        <v>394</v>
      </c>
      <c r="B27" s="88">
        <f t="shared" si="7"/>
        <v>1</v>
      </c>
      <c r="C27" s="88">
        <f t="shared" si="7"/>
        <v>0.93333333333333335</v>
      </c>
      <c r="D27" s="88">
        <f t="shared" si="7"/>
        <v>0.8666666666666667</v>
      </c>
      <c r="E27" s="88">
        <f t="shared" si="7"/>
        <v>0.8</v>
      </c>
      <c r="F27" s="88">
        <f t="shared" si="7"/>
        <v>0.73333333333333328</v>
      </c>
      <c r="G27" s="88">
        <f t="shared" si="7"/>
        <v>0.66666666666666663</v>
      </c>
      <c r="H27" s="388">
        <f t="shared" si="7"/>
        <v>0.6</v>
      </c>
    </row>
    <row r="30" spans="1:10" x14ac:dyDescent="0.25">
      <c r="A30" s="438" t="s">
        <v>190</v>
      </c>
      <c r="B30" s="438">
        <v>2011</v>
      </c>
      <c r="C30" s="438">
        <v>2015</v>
      </c>
      <c r="D30" s="438">
        <v>2020</v>
      </c>
      <c r="E30" s="438">
        <v>2025</v>
      </c>
      <c r="F30" s="438">
        <v>2030</v>
      </c>
      <c r="G30" s="438">
        <v>2035</v>
      </c>
      <c r="H30" s="438">
        <v>2040</v>
      </c>
      <c r="I30" s="438">
        <v>2045</v>
      </c>
      <c r="J30" s="438">
        <v>2050</v>
      </c>
    </row>
    <row r="31" spans="1:10" x14ac:dyDescent="0.25">
      <c r="A31" s="438" t="s">
        <v>339</v>
      </c>
      <c r="B31" s="438">
        <v>1.03989509303831</v>
      </c>
      <c r="C31" s="438">
        <v>1.0286149844688699</v>
      </c>
      <c r="D31" s="438">
        <v>0.95058558605049703</v>
      </c>
      <c r="E31" s="438">
        <f>$D31*C25</f>
        <v>0.72705120833315928</v>
      </c>
      <c r="F31" s="438">
        <f t="shared" ref="F31:J33" si="8">$D31*D25</f>
        <v>0.50351683061582142</v>
      </c>
      <c r="G31" s="438">
        <f t="shared" si="8"/>
        <v>0.35562287364121919</v>
      </c>
      <c r="H31" s="438">
        <f t="shared" si="8"/>
        <v>0.20772891666661694</v>
      </c>
      <c r="I31" s="438">
        <f t="shared" si="8"/>
        <v>0.14902291847822519</v>
      </c>
      <c r="J31" s="438">
        <f t="shared" si="8"/>
        <v>9.0316920289833444E-2</v>
      </c>
    </row>
    <row r="32" spans="1:10" x14ac:dyDescent="0.25">
      <c r="A32" t="s">
        <v>393</v>
      </c>
      <c r="B32" s="438">
        <v>0.67300501057298501</v>
      </c>
      <c r="C32" s="438">
        <v>0.67298868464393102</v>
      </c>
      <c r="D32" s="438">
        <v>0.65843631954116599</v>
      </c>
      <c r="E32" s="438">
        <f t="shared" ref="E32:E33" si="9">$D32*C26</f>
        <v>0.55683783700068934</v>
      </c>
      <c r="F32" s="438">
        <f t="shared" si="8"/>
        <v>0.45523935446021269</v>
      </c>
      <c r="G32" s="438">
        <f t="shared" si="8"/>
        <v>0.37513285861099072</v>
      </c>
      <c r="H32" s="438">
        <f t="shared" si="8"/>
        <v>0.29502636276176875</v>
      </c>
      <c r="I32" s="438">
        <f t="shared" si="8"/>
        <v>0.24031948754766594</v>
      </c>
      <c r="J32" s="438">
        <f t="shared" si="8"/>
        <v>0.18561261233356313</v>
      </c>
    </row>
    <row r="33" spans="1:10" x14ac:dyDescent="0.25">
      <c r="A33" s="438" t="s">
        <v>402</v>
      </c>
      <c r="B33" s="438">
        <v>0.18486221156003399</v>
      </c>
      <c r="C33" s="438">
        <v>0.17136972685960999</v>
      </c>
      <c r="D33" s="438">
        <v>0.16502842799841799</v>
      </c>
      <c r="E33" s="438">
        <f t="shared" si="9"/>
        <v>0.15402653279852346</v>
      </c>
      <c r="F33" s="438">
        <f t="shared" si="8"/>
        <v>0.14302463759862893</v>
      </c>
      <c r="G33" s="438">
        <f t="shared" si="8"/>
        <v>0.13202274239873441</v>
      </c>
      <c r="H33" s="438">
        <f t="shared" si="8"/>
        <v>0.12102084719883985</v>
      </c>
      <c r="I33" s="438">
        <f t="shared" si="8"/>
        <v>0.11001895199894532</v>
      </c>
      <c r="J33" s="438">
        <f t="shared" si="8"/>
        <v>9.901705679905079E-2</v>
      </c>
    </row>
    <row r="35" spans="1:10" x14ac:dyDescent="0.25">
      <c r="A35" s="438" t="s">
        <v>339</v>
      </c>
      <c r="B35">
        <f>B31/$B31</f>
        <v>1</v>
      </c>
      <c r="C35" s="438">
        <f t="shared" ref="C35:J35" si="10">C31/$B31</f>
        <v>0.98915264756516696</v>
      </c>
      <c r="D35" s="438">
        <f t="shared" si="10"/>
        <v>0.91411681083437635</v>
      </c>
      <c r="E35" s="438">
        <f t="shared" si="10"/>
        <v>0.69915822586382237</v>
      </c>
      <c r="F35" s="438">
        <f t="shared" si="10"/>
        <v>0.48419964089326822</v>
      </c>
      <c r="G35" s="438">
        <f t="shared" si="10"/>
        <v>0.34197956699860876</v>
      </c>
      <c r="H35" s="438">
        <f t="shared" si="10"/>
        <v>0.19975949310394925</v>
      </c>
      <c r="I35" s="438">
        <f t="shared" si="10"/>
        <v>0.1433057233137027</v>
      </c>
      <c r="J35" s="438">
        <f t="shared" si="10"/>
        <v>8.6851953523456191E-2</v>
      </c>
    </row>
    <row r="36" spans="1:10" x14ac:dyDescent="0.25">
      <c r="A36" s="438" t="s">
        <v>393</v>
      </c>
      <c r="B36" s="438">
        <f t="shared" ref="B36:J37" si="11">B32/$B32</f>
        <v>1</v>
      </c>
      <c r="C36" s="438">
        <f t="shared" si="11"/>
        <v>0.99997574174218984</v>
      </c>
      <c r="D36" s="438">
        <f t="shared" si="11"/>
        <v>0.97835277478927607</v>
      </c>
      <c r="E36" s="438">
        <f t="shared" si="11"/>
        <v>0.82739032882772612</v>
      </c>
      <c r="F36" s="438">
        <f t="shared" si="11"/>
        <v>0.67642788286617606</v>
      </c>
      <c r="G36" s="438">
        <f t="shared" si="11"/>
        <v>0.55739980047341553</v>
      </c>
      <c r="H36" s="438">
        <f t="shared" si="11"/>
        <v>0.43837171808065489</v>
      </c>
      <c r="I36" s="438">
        <f t="shared" si="11"/>
        <v>0.3570842471782818</v>
      </c>
      <c r="J36" s="438">
        <f t="shared" si="11"/>
        <v>0.27579677627590871</v>
      </c>
    </row>
    <row r="37" spans="1:10" x14ac:dyDescent="0.25">
      <c r="A37" s="438" t="s">
        <v>402</v>
      </c>
      <c r="B37" s="438">
        <f t="shared" si="11"/>
        <v>1</v>
      </c>
      <c r="C37" s="438">
        <f t="shared" si="11"/>
        <v>0.9270132895924903</v>
      </c>
      <c r="D37" s="438">
        <f t="shared" si="11"/>
        <v>0.89271044961411716</v>
      </c>
      <c r="E37" s="438">
        <f t="shared" si="11"/>
        <v>0.8331964196398427</v>
      </c>
      <c r="F37" s="438">
        <f t="shared" si="11"/>
        <v>0.77368238966556824</v>
      </c>
      <c r="G37" s="438">
        <f t="shared" si="11"/>
        <v>0.71416835969129377</v>
      </c>
      <c r="H37" s="438">
        <f t="shared" si="11"/>
        <v>0.6546543297170192</v>
      </c>
      <c r="I37" s="438">
        <f t="shared" si="11"/>
        <v>0.59514029974274474</v>
      </c>
      <c r="J37" s="438">
        <f t="shared" si="11"/>
        <v>0.53562626976847028</v>
      </c>
    </row>
    <row r="39" spans="1:10" x14ac:dyDescent="0.25">
      <c r="C39" s="438"/>
      <c r="H39" s="438"/>
      <c r="I39" s="438"/>
    </row>
    <row r="40" spans="1:10" x14ac:dyDescent="0.25">
      <c r="A40" s="438"/>
      <c r="C40" s="438"/>
      <c r="H40" s="438"/>
      <c r="I40" s="438"/>
    </row>
    <row r="41" spans="1:10" x14ac:dyDescent="0.25">
      <c r="A41" s="438"/>
      <c r="C41" s="438"/>
      <c r="D41" s="438"/>
      <c r="H41" s="438"/>
      <c r="I41" s="438"/>
    </row>
    <row r="42" spans="1:10" x14ac:dyDescent="0.25">
      <c r="A42" s="438"/>
      <c r="C42" s="438"/>
      <c r="D42" s="438"/>
      <c r="H42" s="438"/>
      <c r="I42" s="438"/>
    </row>
    <row r="43" spans="1:10" x14ac:dyDescent="0.25">
      <c r="A43" s="438"/>
      <c r="B43" s="438"/>
      <c r="C43" s="438"/>
      <c r="D43" s="438"/>
      <c r="H43" s="438"/>
      <c r="I43" s="438"/>
    </row>
    <row r="44" spans="1:10" x14ac:dyDescent="0.25">
      <c r="A44" s="438"/>
      <c r="B44" s="438"/>
      <c r="C44" s="438"/>
      <c r="D44" s="438"/>
      <c r="H44" s="438"/>
      <c r="I44" s="438"/>
    </row>
    <row r="45" spans="1:10" x14ac:dyDescent="0.25">
      <c r="A45" s="438"/>
      <c r="B45" s="438"/>
      <c r="C45" s="438"/>
      <c r="D45" s="438"/>
      <c r="H45" s="438"/>
      <c r="I45" s="438"/>
    </row>
    <row r="46" spans="1:10" x14ac:dyDescent="0.25">
      <c r="A46" s="438"/>
      <c r="B46" s="438"/>
      <c r="C46" s="438"/>
      <c r="D46" s="438"/>
      <c r="H46" s="438"/>
      <c r="I46" s="438"/>
    </row>
    <row r="47" spans="1:10" x14ac:dyDescent="0.25">
      <c r="A47" s="438"/>
      <c r="B47" s="438"/>
      <c r="C47" s="438"/>
      <c r="D47" s="438"/>
      <c r="H47" s="438"/>
      <c r="I47" s="438"/>
    </row>
    <row r="48" spans="1:10" x14ac:dyDescent="0.25">
      <c r="A48" s="438"/>
      <c r="B48" s="438"/>
      <c r="C48" s="438"/>
      <c r="D48" s="438"/>
      <c r="H48" s="438"/>
      <c r="I48" s="438"/>
    </row>
    <row r="50" spans="1:4" x14ac:dyDescent="0.25">
      <c r="C50" s="438"/>
      <c r="D50" s="438"/>
    </row>
    <row r="51" spans="1:4" x14ac:dyDescent="0.25">
      <c r="A51" s="438"/>
      <c r="B51" s="438"/>
      <c r="C51" s="438"/>
      <c r="D51" s="438"/>
    </row>
    <row r="52" spans="1:4" x14ac:dyDescent="0.25">
      <c r="A52" s="438"/>
      <c r="B52" s="438"/>
      <c r="C52" s="438"/>
      <c r="D52" s="438"/>
    </row>
    <row r="53" spans="1:4" x14ac:dyDescent="0.25">
      <c r="A53" s="438"/>
      <c r="B53" s="438"/>
      <c r="C53" s="438"/>
      <c r="D53" s="438"/>
    </row>
    <row r="54" spans="1:4" x14ac:dyDescent="0.25">
      <c r="A54" s="438"/>
      <c r="B54" s="438"/>
      <c r="C54" s="438"/>
      <c r="D54" s="438"/>
    </row>
    <row r="55" spans="1:4" x14ac:dyDescent="0.25">
      <c r="A55" s="438"/>
      <c r="B55" s="438"/>
      <c r="C55" s="438"/>
      <c r="D55" s="438"/>
    </row>
    <row r="56" spans="1:4" x14ac:dyDescent="0.25">
      <c r="A56" s="438"/>
      <c r="B56" s="438"/>
      <c r="C56" s="438"/>
      <c r="D56" s="438"/>
    </row>
    <row r="57" spans="1:4" x14ac:dyDescent="0.25">
      <c r="A57" s="438"/>
      <c r="B57" s="438"/>
      <c r="C57" s="438"/>
      <c r="D57" s="438"/>
    </row>
    <row r="58" spans="1:4" x14ac:dyDescent="0.25">
      <c r="A58" s="438"/>
      <c r="B58" s="438"/>
      <c r="C58" s="438"/>
      <c r="D58" s="438"/>
    </row>
    <row r="59" spans="1:4" x14ac:dyDescent="0.25">
      <c r="A59" s="438"/>
      <c r="B59" s="438"/>
      <c r="C59" s="438"/>
      <c r="D59" s="438"/>
    </row>
    <row r="61" spans="1:4" x14ac:dyDescent="0.25">
      <c r="C61" s="438"/>
    </row>
    <row r="62" spans="1:4" x14ac:dyDescent="0.25">
      <c r="A62" s="438"/>
      <c r="B62" s="438"/>
      <c r="C62" s="438"/>
      <c r="D62" s="438"/>
    </row>
    <row r="63" spans="1:4" x14ac:dyDescent="0.25">
      <c r="A63" s="438"/>
      <c r="B63" s="438"/>
      <c r="C63" s="438"/>
      <c r="D63" s="438"/>
    </row>
    <row r="64" spans="1:4" x14ac:dyDescent="0.25">
      <c r="A64" s="438"/>
      <c r="B64" s="438"/>
      <c r="C64" s="438"/>
      <c r="D64" s="438"/>
    </row>
    <row r="65" spans="1:4" x14ac:dyDescent="0.25">
      <c r="A65" s="438"/>
      <c r="B65" s="438"/>
      <c r="C65" s="438"/>
      <c r="D65" s="438"/>
    </row>
    <row r="66" spans="1:4" x14ac:dyDescent="0.25">
      <c r="A66" s="438"/>
      <c r="B66" s="438"/>
      <c r="C66" s="438"/>
      <c r="D66" s="438"/>
    </row>
    <row r="67" spans="1:4" x14ac:dyDescent="0.25">
      <c r="A67" s="438"/>
      <c r="B67" s="438"/>
      <c r="C67" s="438"/>
      <c r="D67" s="438"/>
    </row>
    <row r="68" spans="1:4" x14ac:dyDescent="0.25">
      <c r="A68" s="438"/>
      <c r="B68" s="438"/>
      <c r="C68" s="438"/>
      <c r="D68" s="438"/>
    </row>
    <row r="69" spans="1:4" x14ac:dyDescent="0.25">
      <c r="A69" s="438"/>
      <c r="B69" s="438"/>
      <c r="C69" s="438"/>
      <c r="D69" s="438"/>
    </row>
    <row r="70" spans="1:4" x14ac:dyDescent="0.25">
      <c r="A70" s="438"/>
      <c r="B70" s="438"/>
      <c r="C70" s="438"/>
      <c r="D70" s="438"/>
    </row>
  </sheetData>
  <mergeCells count="3">
    <mergeCell ref="A11:J11"/>
    <mergeCell ref="A6:I6"/>
    <mergeCell ref="A20:H20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S39"/>
  <sheetViews>
    <sheetView workbookViewId="0">
      <selection activeCell="I12" sqref="I12"/>
    </sheetView>
  </sheetViews>
  <sheetFormatPr defaultColWidth="11.42578125" defaultRowHeight="15" x14ac:dyDescent="0.25"/>
  <sheetData>
    <row r="1" spans="1:19" x14ac:dyDescent="0.25">
      <c r="A1" t="s">
        <v>282</v>
      </c>
      <c r="F1">
        <v>2000</v>
      </c>
      <c r="G1">
        <v>2005</v>
      </c>
      <c r="H1">
        <v>2010</v>
      </c>
      <c r="I1">
        <v>2011</v>
      </c>
      <c r="J1">
        <v>2015</v>
      </c>
      <c r="K1">
        <v>2020</v>
      </c>
      <c r="L1">
        <v>2025</v>
      </c>
      <c r="M1">
        <v>2030</v>
      </c>
      <c r="N1">
        <v>2035</v>
      </c>
      <c r="O1">
        <v>2040</v>
      </c>
      <c r="P1">
        <v>2045</v>
      </c>
      <c r="Q1">
        <v>2050</v>
      </c>
    </row>
    <row r="2" spans="1:19" x14ac:dyDescent="0.25">
      <c r="B2" t="s">
        <v>89</v>
      </c>
      <c r="F2">
        <v>488.91820002711898</v>
      </c>
      <c r="G2">
        <v>486.48388875822275</v>
      </c>
      <c r="H2">
        <v>463.3738824095135</v>
      </c>
      <c r="I2">
        <f>((J2-H2)/4)+H2</f>
        <v>461.55702699358528</v>
      </c>
      <c r="J2">
        <v>456.10646074580069</v>
      </c>
      <c r="K2">
        <v>442.26652391554785</v>
      </c>
      <c r="L2">
        <v>436.90256087013887</v>
      </c>
      <c r="M2">
        <v>385.42383338251597</v>
      </c>
      <c r="N2">
        <v>330.99252730216068</v>
      </c>
      <c r="O2">
        <v>293.45762788285134</v>
      </c>
      <c r="P2">
        <v>244.19368533092873</v>
      </c>
      <c r="Q2">
        <v>184.81828439634086</v>
      </c>
    </row>
    <row r="3" spans="1:19" x14ac:dyDescent="0.25">
      <c r="B3" t="s">
        <v>71</v>
      </c>
      <c r="F3">
        <v>141.13842754867071</v>
      </c>
      <c r="G3">
        <v>136.96329688088758</v>
      </c>
      <c r="H3">
        <v>117.23985890726397</v>
      </c>
      <c r="I3">
        <f t="shared" ref="I3:I12" si="0">((J3-H3)/4)+H3</f>
        <v>112.97337786499926</v>
      </c>
      <c r="J3">
        <v>100.17393473820515</v>
      </c>
      <c r="K3">
        <v>91.301972850770056</v>
      </c>
      <c r="L3">
        <v>77.068893485345214</v>
      </c>
      <c r="M3">
        <v>65.700797635235389</v>
      </c>
      <c r="N3">
        <v>57.337228996633826</v>
      </c>
      <c r="O3">
        <v>64.269632779331118</v>
      </c>
      <c r="P3">
        <v>61.112213244801865</v>
      </c>
      <c r="Q3">
        <v>53.267947733264918</v>
      </c>
    </row>
    <row r="4" spans="1:19" x14ac:dyDescent="0.25">
      <c r="B4" t="s">
        <v>261</v>
      </c>
      <c r="F4">
        <v>231.04274234766692</v>
      </c>
      <c r="G4">
        <v>249.39983412189059</v>
      </c>
      <c r="H4">
        <v>201.76059488578264</v>
      </c>
      <c r="I4">
        <f t="shared" si="0"/>
        <v>192.12914418519935</v>
      </c>
      <c r="J4">
        <v>163.23479208344949</v>
      </c>
      <c r="K4">
        <v>177.64551991098381</v>
      </c>
      <c r="L4">
        <v>147.38037425215498</v>
      </c>
      <c r="M4">
        <v>134.23745668021002</v>
      </c>
      <c r="N4">
        <v>123.8991766666489</v>
      </c>
      <c r="O4">
        <v>105.97027368886343</v>
      </c>
      <c r="P4">
        <v>96.108630127694383</v>
      </c>
      <c r="Q4">
        <v>85.66121394731438</v>
      </c>
    </row>
    <row r="5" spans="1:19" x14ac:dyDescent="0.25">
      <c r="B5" t="s">
        <v>262</v>
      </c>
      <c r="F5">
        <v>229.4952579912586</v>
      </c>
      <c r="G5">
        <v>215.53817687929265</v>
      </c>
      <c r="H5">
        <v>204.5287738595392</v>
      </c>
      <c r="I5">
        <f t="shared" si="0"/>
        <v>204.01104643828651</v>
      </c>
      <c r="J5">
        <v>202.45786417452842</v>
      </c>
      <c r="K5">
        <v>198.98712532892287</v>
      </c>
      <c r="L5">
        <v>192.13271378107578</v>
      </c>
      <c r="M5">
        <v>186.06482399965626</v>
      </c>
      <c r="N5">
        <v>154.67691898992777</v>
      </c>
      <c r="O5">
        <v>126.1203725400871</v>
      </c>
      <c r="P5">
        <v>87.795183452855369</v>
      </c>
      <c r="Q5">
        <v>60.499510118646064</v>
      </c>
    </row>
    <row r="6" spans="1:19" x14ac:dyDescent="0.25">
      <c r="B6" t="s">
        <v>263</v>
      </c>
      <c r="F6">
        <v>302.92928030144441</v>
      </c>
      <c r="G6">
        <v>302.28670923173541</v>
      </c>
      <c r="H6">
        <v>259.7938832438482</v>
      </c>
      <c r="I6">
        <f t="shared" si="0"/>
        <v>251.32691667462282</v>
      </c>
      <c r="J6">
        <v>225.92601696694666</v>
      </c>
      <c r="K6">
        <v>140.93158805526608</v>
      </c>
      <c r="L6">
        <v>120.0296978724646</v>
      </c>
      <c r="M6">
        <v>89.136345927282179</v>
      </c>
      <c r="N6">
        <v>81.952968319659306</v>
      </c>
      <c r="O6">
        <v>81.620791217275084</v>
      </c>
      <c r="P6">
        <v>79.792754289135075</v>
      </c>
      <c r="Q6">
        <v>67.640936345091021</v>
      </c>
    </row>
    <row r="7" spans="1:19" x14ac:dyDescent="0.25">
      <c r="B7" t="s">
        <v>264</v>
      </c>
      <c r="F7">
        <v>198.32630353778518</v>
      </c>
      <c r="G7">
        <v>226.66907263973206</v>
      </c>
      <c r="H7">
        <v>152.51948586979279</v>
      </c>
      <c r="I7">
        <f t="shared" si="0"/>
        <v>155.35220414925755</v>
      </c>
      <c r="J7">
        <v>163.85035898765187</v>
      </c>
      <c r="K7">
        <v>148.95612605323024</v>
      </c>
      <c r="L7">
        <v>121.72461944432661</v>
      </c>
      <c r="M7">
        <v>90.727591186146626</v>
      </c>
      <c r="N7">
        <v>74.676957278128839</v>
      </c>
      <c r="O7">
        <v>70.552182051491826</v>
      </c>
      <c r="P7">
        <v>66.402900768181041</v>
      </c>
      <c r="Q7">
        <v>57.095036556541679</v>
      </c>
    </row>
    <row r="8" spans="1:19" x14ac:dyDescent="0.25">
      <c r="B8" t="s">
        <v>265</v>
      </c>
      <c r="F8">
        <v>155.55010813336861</v>
      </c>
      <c r="G8">
        <v>149.84843036550777</v>
      </c>
      <c r="H8">
        <v>137.98585137115342</v>
      </c>
      <c r="I8">
        <f t="shared" si="0"/>
        <v>136.75403488387275</v>
      </c>
      <c r="J8">
        <v>133.05858542203069</v>
      </c>
      <c r="K8">
        <v>113.87490893708164</v>
      </c>
      <c r="L8">
        <v>118.97463329386686</v>
      </c>
      <c r="M8">
        <v>105.34555806192131</v>
      </c>
      <c r="N8">
        <v>98.704328823158207</v>
      </c>
      <c r="O8">
        <v>95.13095680614245</v>
      </c>
      <c r="P8">
        <v>91.294512807131028</v>
      </c>
      <c r="Q8">
        <v>85.265954382368307</v>
      </c>
    </row>
    <row r="9" spans="1:19" x14ac:dyDescent="0.25">
      <c r="B9" t="s">
        <v>66</v>
      </c>
      <c r="F9">
        <v>135.57712109881277</v>
      </c>
      <c r="G9">
        <v>132.88834639973263</v>
      </c>
      <c r="H9">
        <v>135.41107208426203</v>
      </c>
      <c r="I9">
        <f t="shared" si="0"/>
        <v>125.89438431958624</v>
      </c>
      <c r="J9">
        <v>97.344321025558855</v>
      </c>
      <c r="K9">
        <v>94.161967902106838</v>
      </c>
      <c r="L9">
        <v>90.26616760959007</v>
      </c>
      <c r="M9">
        <v>76.857697251065758</v>
      </c>
      <c r="N9">
        <v>66.721407884727043</v>
      </c>
      <c r="O9">
        <v>52.73097369982235</v>
      </c>
      <c r="P9">
        <v>43.535689925767798</v>
      </c>
      <c r="Q9">
        <v>39.97694195834567</v>
      </c>
    </row>
    <row r="10" spans="1:19" x14ac:dyDescent="0.25">
      <c r="B10" t="s">
        <v>70</v>
      </c>
      <c r="F10">
        <v>381.60163704440595</v>
      </c>
      <c r="G10">
        <v>391.47034745315034</v>
      </c>
      <c r="H10">
        <v>338.37814030571838</v>
      </c>
      <c r="I10">
        <f t="shared" si="0"/>
        <v>326.26551758267283</v>
      </c>
      <c r="J10">
        <v>289.92764941353619</v>
      </c>
      <c r="K10">
        <v>284.72713528647506</v>
      </c>
      <c r="L10">
        <v>253.4192400212379</v>
      </c>
      <c r="M10">
        <v>219.86942940945659</v>
      </c>
      <c r="N10">
        <v>190.78727869673457</v>
      </c>
      <c r="O10">
        <v>155.39909830378573</v>
      </c>
      <c r="P10">
        <v>126.01543654017749</v>
      </c>
      <c r="Q10">
        <v>103.19249585998952</v>
      </c>
    </row>
    <row r="11" spans="1:19" x14ac:dyDescent="0.25">
      <c r="B11" t="s">
        <v>190</v>
      </c>
      <c r="F11">
        <v>2264.5790780305319</v>
      </c>
      <c r="G11">
        <v>2291.5481027301516</v>
      </c>
      <c r="H11">
        <v>2010.9915429368743</v>
      </c>
      <c r="I11">
        <f t="shared" si="0"/>
        <v>1966.2636530920827</v>
      </c>
      <c r="J11">
        <v>1832.0799835577081</v>
      </c>
      <c r="K11">
        <v>1692.8528682403846</v>
      </c>
      <c r="L11">
        <v>1557.8989006302008</v>
      </c>
      <c r="M11">
        <v>1353.36353353349</v>
      </c>
      <c r="N11">
        <v>1179.7487929577792</v>
      </c>
      <c r="O11">
        <v>1045.2519089696505</v>
      </c>
      <c r="P11">
        <v>896.25100648667274</v>
      </c>
      <c r="Q11">
        <v>737.41832129790248</v>
      </c>
      <c r="S11">
        <f>Q11/I11</f>
        <v>0.37503532150343227</v>
      </c>
    </row>
    <row r="12" spans="1:19" x14ac:dyDescent="0.25">
      <c r="B12" t="s">
        <v>391</v>
      </c>
      <c r="H12">
        <v>2175.1401184851866</v>
      </c>
      <c r="I12" s="438">
        <f t="shared" si="0"/>
        <v>2135.5280773069571</v>
      </c>
      <c r="J12">
        <v>2016.691953772269</v>
      </c>
      <c r="K12">
        <v>1887.0203270983989</v>
      </c>
      <c r="L12">
        <v>1768.71499204721</v>
      </c>
      <c r="M12">
        <v>1558.8310668739989</v>
      </c>
      <c r="N12">
        <v>1394.9031111179995</v>
      </c>
      <c r="O12">
        <v>1269.0074967236103</v>
      </c>
      <c r="P12">
        <v>1124.0215160601158</v>
      </c>
      <c r="Q12">
        <v>955.15638778446703</v>
      </c>
    </row>
    <row r="14" spans="1:19" x14ac:dyDescent="0.25">
      <c r="A14" t="s">
        <v>283</v>
      </c>
      <c r="F14">
        <v>2000</v>
      </c>
      <c r="G14">
        <v>2005</v>
      </c>
      <c r="H14">
        <v>2010</v>
      </c>
      <c r="I14">
        <v>2011</v>
      </c>
      <c r="J14">
        <v>2015</v>
      </c>
      <c r="K14">
        <v>2020</v>
      </c>
      <c r="L14">
        <v>2025</v>
      </c>
      <c r="M14">
        <v>2030</v>
      </c>
      <c r="N14">
        <v>2035</v>
      </c>
      <c r="O14">
        <v>2040</v>
      </c>
      <c r="P14">
        <v>2045</v>
      </c>
      <c r="Q14">
        <v>2050</v>
      </c>
    </row>
    <row r="15" spans="1:19" x14ac:dyDescent="0.25">
      <c r="B15" t="s">
        <v>89</v>
      </c>
      <c r="F15">
        <v>363.19003914032862</v>
      </c>
      <c r="G15">
        <v>338.76372295093802</v>
      </c>
      <c r="H15">
        <v>324.43346484088443</v>
      </c>
      <c r="I15">
        <f>((J15-H15)/4)+H15</f>
        <v>323.71743319316772</v>
      </c>
      <c r="J15">
        <v>321.56933825001761</v>
      </c>
      <c r="K15">
        <v>291.81302058724117</v>
      </c>
      <c r="L15">
        <v>277.33697705242082</v>
      </c>
      <c r="M15">
        <v>258.52298763065187</v>
      </c>
      <c r="N15">
        <v>248.94943523932304</v>
      </c>
      <c r="O15">
        <v>242.51923157589843</v>
      </c>
      <c r="P15">
        <v>238.45863766196038</v>
      </c>
      <c r="Q15">
        <v>234.01511787280947</v>
      </c>
    </row>
    <row r="16" spans="1:19" x14ac:dyDescent="0.25">
      <c r="B16" t="s">
        <v>71</v>
      </c>
      <c r="F16">
        <v>247.12609809914568</v>
      </c>
      <c r="G16">
        <v>257.3978702205535</v>
      </c>
      <c r="H16">
        <v>242.710331607916</v>
      </c>
      <c r="I16">
        <f t="shared" ref="I16:I23" si="1">((J16-H16)/4)+H16</f>
        <v>240.10913845947755</v>
      </c>
      <c r="J16">
        <v>232.30555901416224</v>
      </c>
      <c r="K16">
        <v>216.5503612489652</v>
      </c>
      <c r="L16">
        <v>211.09389348443452</v>
      </c>
      <c r="M16">
        <v>204.73806194798652</v>
      </c>
      <c r="N16">
        <v>200.56874086076598</v>
      </c>
      <c r="O16">
        <v>197.98236394644758</v>
      </c>
      <c r="P16">
        <v>194.58095490915605</v>
      </c>
      <c r="Q16">
        <v>191.69480903744017</v>
      </c>
    </row>
    <row r="17" spans="1:19" x14ac:dyDescent="0.25">
      <c r="B17" t="s">
        <v>261</v>
      </c>
      <c r="F17">
        <v>201.4952260902611</v>
      </c>
      <c r="G17">
        <v>221.02037806096394</v>
      </c>
      <c r="H17">
        <v>202.42680042950434</v>
      </c>
      <c r="I17">
        <f t="shared" si="1"/>
        <v>199.68372640707375</v>
      </c>
      <c r="J17">
        <v>191.45450433978198</v>
      </c>
      <c r="K17">
        <v>184.03006815259602</v>
      </c>
      <c r="L17">
        <v>178.75731984596223</v>
      </c>
      <c r="M17">
        <v>174.3832662181799</v>
      </c>
      <c r="N17">
        <v>168.82750965995933</v>
      </c>
      <c r="O17">
        <v>164.82280860212074</v>
      </c>
      <c r="P17">
        <v>164.91098170014058</v>
      </c>
      <c r="Q17">
        <v>162.22883503980341</v>
      </c>
    </row>
    <row r="18" spans="1:19" x14ac:dyDescent="0.25">
      <c r="B18" t="s">
        <v>262</v>
      </c>
      <c r="F18">
        <v>73.78726096449077</v>
      </c>
      <c r="G18">
        <v>92.002429139983789</v>
      </c>
      <c r="H18">
        <v>116.16039670755603</v>
      </c>
      <c r="I18">
        <f t="shared" si="1"/>
        <v>114.44868950053666</v>
      </c>
      <c r="J18">
        <v>109.31356787947854</v>
      </c>
      <c r="K18">
        <v>107.45875730727505</v>
      </c>
      <c r="L18">
        <v>104.16420820186524</v>
      </c>
      <c r="M18">
        <v>101.14292826288637</v>
      </c>
      <c r="N18">
        <v>98.298734217044526</v>
      </c>
      <c r="O18">
        <v>96.256080409029778</v>
      </c>
      <c r="P18">
        <v>95.567978209267068</v>
      </c>
      <c r="Q18">
        <v>94.687728655357887</v>
      </c>
    </row>
    <row r="19" spans="1:19" x14ac:dyDescent="0.25">
      <c r="B19" t="s">
        <v>263</v>
      </c>
      <c r="F19">
        <v>265.23051901144999</v>
      </c>
      <c r="G19">
        <v>271.14517170392389</v>
      </c>
      <c r="H19">
        <v>258.48590870909436</v>
      </c>
      <c r="I19">
        <f t="shared" si="1"/>
        <v>256.78831537450947</v>
      </c>
      <c r="J19">
        <v>251.69553537075475</v>
      </c>
      <c r="K19">
        <v>232.89003508099472</v>
      </c>
      <c r="L19">
        <v>225.44819876049121</v>
      </c>
      <c r="M19">
        <v>216.05466175888182</v>
      </c>
      <c r="N19">
        <v>213.29293658467873</v>
      </c>
      <c r="O19">
        <v>212.05756472541069</v>
      </c>
      <c r="P19">
        <v>212.10523368743128</v>
      </c>
      <c r="Q19">
        <v>213.8231003643599</v>
      </c>
    </row>
    <row r="20" spans="1:19" x14ac:dyDescent="0.25">
      <c r="B20" t="s">
        <v>264</v>
      </c>
      <c r="F20">
        <v>154.24678052993687</v>
      </c>
      <c r="G20">
        <v>185.18824450849652</v>
      </c>
      <c r="H20">
        <v>169.67442112387275</v>
      </c>
      <c r="I20">
        <f t="shared" si="1"/>
        <v>166.57582704689324</v>
      </c>
      <c r="J20">
        <v>157.28004481595468</v>
      </c>
      <c r="K20">
        <v>147.79980273115621</v>
      </c>
      <c r="L20">
        <v>145.44591166010667</v>
      </c>
      <c r="M20">
        <v>144.6538955952829</v>
      </c>
      <c r="N20">
        <v>146.33958855060979</v>
      </c>
      <c r="O20">
        <v>147.32111836330671</v>
      </c>
      <c r="P20">
        <v>146.55440896854952</v>
      </c>
      <c r="Q20">
        <v>147.33904310565509</v>
      </c>
    </row>
    <row r="21" spans="1:19" x14ac:dyDescent="0.25">
      <c r="B21" t="s">
        <v>265</v>
      </c>
      <c r="F21">
        <v>144.44151059309155</v>
      </c>
      <c r="G21">
        <v>152.62203516501074</v>
      </c>
      <c r="H21">
        <v>155.17806335393158</v>
      </c>
      <c r="I21">
        <f t="shared" si="1"/>
        <v>153.24260608872177</v>
      </c>
      <c r="J21">
        <v>147.43623429309238</v>
      </c>
      <c r="K21">
        <v>137.61174693476903</v>
      </c>
      <c r="L21">
        <v>134.53423869354796</v>
      </c>
      <c r="M21">
        <v>131.61198643751629</v>
      </c>
      <c r="N21">
        <v>131.06652264741936</v>
      </c>
      <c r="O21">
        <v>131.88472362277182</v>
      </c>
      <c r="P21">
        <v>132.57284014723865</v>
      </c>
      <c r="Q21">
        <v>132.95785377740847</v>
      </c>
    </row>
    <row r="22" spans="1:19" x14ac:dyDescent="0.25">
      <c r="B22" t="s">
        <v>66</v>
      </c>
      <c r="F22">
        <v>102.40170507459747</v>
      </c>
      <c r="G22">
        <v>109.92190106765914</v>
      </c>
      <c r="H22">
        <v>106.78858652169323</v>
      </c>
      <c r="I22">
        <f t="shared" si="1"/>
        <v>104.41411817081944</v>
      </c>
      <c r="J22">
        <v>97.290713118198056</v>
      </c>
      <c r="K22">
        <v>92.235627337129472</v>
      </c>
      <c r="L22">
        <v>89.774485280350206</v>
      </c>
      <c r="M22">
        <v>87.140321439872807</v>
      </c>
      <c r="N22">
        <v>86.370966596691005</v>
      </c>
      <c r="O22">
        <v>86.5576882587971</v>
      </c>
      <c r="P22">
        <v>86.912964148540354</v>
      </c>
      <c r="Q22">
        <v>87.495533159798512</v>
      </c>
    </row>
    <row r="23" spans="1:19" x14ac:dyDescent="0.25">
      <c r="B23" t="s">
        <v>70</v>
      </c>
      <c r="F23">
        <v>175.65299071192658</v>
      </c>
      <c r="G23">
        <v>207.52385890951729</v>
      </c>
      <c r="H23">
        <v>195.48132352457904</v>
      </c>
      <c r="I23">
        <f t="shared" si="1"/>
        <v>192.52293065699499</v>
      </c>
      <c r="J23">
        <v>183.64775205424283</v>
      </c>
      <c r="K23">
        <v>178.05594967067674</v>
      </c>
      <c r="L23">
        <v>174.92949238561309</v>
      </c>
      <c r="M23">
        <v>172.66690269210673</v>
      </c>
      <c r="N23">
        <v>173.72690711191962</v>
      </c>
      <c r="O23">
        <v>174.17633027377281</v>
      </c>
      <c r="P23">
        <v>173.6758908928023</v>
      </c>
      <c r="Q23">
        <v>173.82790288907529</v>
      </c>
    </row>
    <row r="27" spans="1:19" x14ac:dyDescent="0.25">
      <c r="A27" t="s">
        <v>284</v>
      </c>
      <c r="B27" t="s">
        <v>285</v>
      </c>
      <c r="I27">
        <f>(I15+I2)/$I$28</f>
        <v>1</v>
      </c>
      <c r="J27">
        <f>(J15+J2)/$I$28</f>
        <v>0.99032356000839805</v>
      </c>
      <c r="K27">
        <f>(K15+K2)/$I$28</f>
        <v>0.93480634061142287</v>
      </c>
      <c r="L27">
        <f t="shared" ref="L27:P27" si="2">(L15+L2)/$I$28</f>
        <v>0.90954128032216941</v>
      </c>
      <c r="M27">
        <f t="shared" si="2"/>
        <v>0.82002771471776281</v>
      </c>
      <c r="N27">
        <f t="shared" si="2"/>
        <v>0.73852136029428816</v>
      </c>
      <c r="O27">
        <f t="shared" si="2"/>
        <v>0.68253443430629901</v>
      </c>
      <c r="P27">
        <f t="shared" si="2"/>
        <v>0.61462883038129801</v>
      </c>
      <c r="Q27">
        <f>(Q15+Q2)/$I$28</f>
        <v>0.53335925654521332</v>
      </c>
    </row>
    <row r="28" spans="1:19" x14ac:dyDescent="0.25">
      <c r="I28">
        <f>I2+I15</f>
        <v>785.274460186753</v>
      </c>
    </row>
    <row r="29" spans="1:19" x14ac:dyDescent="0.25">
      <c r="G29" s="438">
        <f>SUM(G15:G23)+G11</f>
        <v>4127.1337144571989</v>
      </c>
      <c r="H29" s="438">
        <f>SUM(H15:H23)+H11</f>
        <v>3782.3308397559058</v>
      </c>
      <c r="I29" s="438">
        <f>SUM(I15:I23)</f>
        <v>1751.5027848981945</v>
      </c>
      <c r="Q29">
        <f>SUM(Q15:Q23)</f>
        <v>1438.0699239017081</v>
      </c>
      <c r="R29">
        <f>Q29/H29</f>
        <v>0.38020733373882082</v>
      </c>
      <c r="S29">
        <f>Q29/I29</f>
        <v>0.8210491791968777</v>
      </c>
    </row>
    <row r="32" spans="1:19" x14ac:dyDescent="0.25">
      <c r="F32" s="476" t="s">
        <v>369</v>
      </c>
      <c r="G32" s="376">
        <v>1</v>
      </c>
      <c r="H32" s="376"/>
      <c r="I32" s="376">
        <f>I11/$G$11</f>
        <v>0.85805035065573143</v>
      </c>
      <c r="J32" s="376">
        <f>J11/$G$11</f>
        <v>0.79949444717087415</v>
      </c>
      <c r="K32" s="376">
        <f>1-0.21</f>
        <v>0.79</v>
      </c>
      <c r="L32" s="376">
        <f>(K32+M32)/2</f>
        <v>0.68</v>
      </c>
      <c r="M32" s="376">
        <f>1-0.43</f>
        <v>0.57000000000000006</v>
      </c>
      <c r="N32" s="376">
        <f>(M32+O32)/2</f>
        <v>0.47000000000000008</v>
      </c>
      <c r="O32" s="376">
        <f>(M32+Q32)/2</f>
        <v>0.37000000000000005</v>
      </c>
      <c r="P32" s="376">
        <f>(Q32+O32)/2</f>
        <v>0.27</v>
      </c>
      <c r="Q32" s="392">
        <f>1-0.83</f>
        <v>0.17000000000000004</v>
      </c>
    </row>
    <row r="33" spans="6:17" x14ac:dyDescent="0.25">
      <c r="F33" s="475"/>
      <c r="G33" s="38"/>
      <c r="H33" s="38"/>
      <c r="I33" s="38">
        <f>I32/$I$32</f>
        <v>1</v>
      </c>
      <c r="J33" s="38">
        <f>J32/$I$32</f>
        <v>0.93175703099461682</v>
      </c>
      <c r="K33" s="38">
        <f t="shared" ref="K33:Q33" si="3">K32/$I$32</f>
        <v>0.92069189109505456</v>
      </c>
      <c r="L33" s="38">
        <f t="shared" si="3"/>
        <v>0.7924942860058698</v>
      </c>
      <c r="M33" s="38">
        <f t="shared" si="3"/>
        <v>0.66429668091668492</v>
      </c>
      <c r="N33" s="38">
        <f t="shared" si="3"/>
        <v>0.5477534035628806</v>
      </c>
      <c r="O33" s="38">
        <f t="shared" si="3"/>
        <v>0.43121012620907623</v>
      </c>
      <c r="P33" s="38">
        <f>P32/$I$32</f>
        <v>0.3146668488552718</v>
      </c>
      <c r="Q33" s="195">
        <f t="shared" si="3"/>
        <v>0.19812357150146748</v>
      </c>
    </row>
    <row r="35" spans="6:17" x14ac:dyDescent="0.25">
      <c r="F35" s="476" t="s">
        <v>383</v>
      </c>
      <c r="G35" s="480">
        <v>1</v>
      </c>
      <c r="H35" s="480"/>
      <c r="I35" s="480">
        <f>I11/$G$11</f>
        <v>0.85805035065573143</v>
      </c>
      <c r="J35" s="480">
        <f>J11/$G$11</f>
        <v>0.79949444717087415</v>
      </c>
      <c r="K35" s="480">
        <f>1-0.21</f>
        <v>0.79</v>
      </c>
      <c r="L35" s="480">
        <f>((N35-K35)/3)+K35</f>
        <v>0.67500000000000004</v>
      </c>
      <c r="M35" s="480">
        <f>(((N35-K35)/3)*2)+K35</f>
        <v>0.56000000000000005</v>
      </c>
      <c r="N35" s="480">
        <f>(K35+Q35)/2</f>
        <v>0.44500000000000001</v>
      </c>
      <c r="O35" s="480">
        <f>((Q35-N35)/3)+N35</f>
        <v>0.33</v>
      </c>
      <c r="P35" s="480">
        <f>(((Q35-N35)/3)*2)+N35</f>
        <v>0.215</v>
      </c>
      <c r="Q35" s="479">
        <f>1-0.9</f>
        <v>9.9999999999999978E-2</v>
      </c>
    </row>
    <row r="36" spans="6:17" x14ac:dyDescent="0.25">
      <c r="F36" s="475"/>
      <c r="G36" s="38"/>
      <c r="H36" s="38"/>
      <c r="I36" s="38">
        <f>I35/$I$35</f>
        <v>1</v>
      </c>
      <c r="J36" s="38">
        <f>J35/$I$35</f>
        <v>0.93175703099461682</v>
      </c>
      <c r="K36" s="38">
        <f t="shared" ref="K36:Q36" si="4">K35/$I$32</f>
        <v>0.92069189109505456</v>
      </c>
      <c r="L36" s="38">
        <f t="shared" si="4"/>
        <v>0.78666712213817958</v>
      </c>
      <c r="M36" s="38">
        <f t="shared" si="4"/>
        <v>0.65264235318130448</v>
      </c>
      <c r="N36" s="38">
        <f t="shared" si="4"/>
        <v>0.51861758422442938</v>
      </c>
      <c r="O36" s="38">
        <f t="shared" si="4"/>
        <v>0.3845928152675544</v>
      </c>
      <c r="P36" s="38">
        <f t="shared" si="4"/>
        <v>0.25056804631067936</v>
      </c>
      <c r="Q36" s="195">
        <f t="shared" si="4"/>
        <v>0.11654327735380433</v>
      </c>
    </row>
    <row r="38" spans="6:17" x14ac:dyDescent="0.25">
      <c r="F38" s="476" t="s">
        <v>384</v>
      </c>
      <c r="G38" s="480">
        <v>1</v>
      </c>
      <c r="H38" s="480"/>
      <c r="I38" s="480">
        <f>I11/$G$11</f>
        <v>0.85805035065573143</v>
      </c>
      <c r="J38" s="480">
        <f>J11/$G$11</f>
        <v>0.79949444717087415</v>
      </c>
      <c r="K38" s="480">
        <f>1-0.21</f>
        <v>0.79</v>
      </c>
      <c r="L38" s="480">
        <f>((N38-K38)/3)+K38</f>
        <v>0.66666666666666674</v>
      </c>
      <c r="M38" s="480">
        <f>(((N38-K38)/3)*2)+K38</f>
        <v>0.54333333333333333</v>
      </c>
      <c r="N38" s="480">
        <f>(K38+Q38)/2</f>
        <v>0.42000000000000004</v>
      </c>
      <c r="O38" s="480">
        <f>((Q38-N38)/3)+N38</f>
        <v>0.29666666666666669</v>
      </c>
      <c r="P38" s="480">
        <f>(((Q38-N38)/3)*2)+N38</f>
        <v>0.17333333333333337</v>
      </c>
      <c r="Q38" s="479">
        <f>1-0.95</f>
        <v>5.0000000000000044E-2</v>
      </c>
    </row>
    <row r="39" spans="6:17" x14ac:dyDescent="0.25">
      <c r="F39" s="475"/>
      <c r="G39" s="38"/>
      <c r="H39" s="38"/>
      <c r="I39" s="38">
        <f>I38/$I$38</f>
        <v>1</v>
      </c>
      <c r="J39" s="38">
        <f>J38/$I$38</f>
        <v>0.93175703099461682</v>
      </c>
      <c r="K39" s="38">
        <f t="shared" ref="K39:Q39" si="5">K38/$I$32</f>
        <v>0.92069189109505456</v>
      </c>
      <c r="L39" s="38">
        <f t="shared" si="5"/>
        <v>0.77695518235869587</v>
      </c>
      <c r="M39" s="38">
        <f t="shared" si="5"/>
        <v>0.63321847362233707</v>
      </c>
      <c r="N39" s="38">
        <f t="shared" si="5"/>
        <v>0.48948176488597839</v>
      </c>
      <c r="O39" s="38">
        <f t="shared" si="5"/>
        <v>0.34574505614961965</v>
      </c>
      <c r="P39" s="38">
        <f t="shared" si="5"/>
        <v>0.20200834741326093</v>
      </c>
      <c r="Q39" s="195">
        <f t="shared" si="5"/>
        <v>5.8271638676902236E-2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U26"/>
  <sheetViews>
    <sheetView workbookViewId="0">
      <selection activeCell="D26" sqref="D26"/>
    </sheetView>
  </sheetViews>
  <sheetFormatPr defaultColWidth="11.42578125" defaultRowHeight="15" x14ac:dyDescent="0.25"/>
  <sheetData>
    <row r="2" spans="1:21" x14ac:dyDescent="0.25">
      <c r="B2">
        <v>2011</v>
      </c>
      <c r="C2">
        <v>2015</v>
      </c>
      <c r="D2">
        <v>2020</v>
      </c>
      <c r="E2">
        <v>2025</v>
      </c>
      <c r="F2">
        <v>2030</v>
      </c>
      <c r="G2">
        <v>2035</v>
      </c>
      <c r="H2">
        <v>2040</v>
      </c>
      <c r="I2">
        <v>2045</v>
      </c>
      <c r="J2">
        <v>2050</v>
      </c>
      <c r="P2">
        <v>2011</v>
      </c>
      <c r="Q2">
        <v>0</v>
      </c>
      <c r="S2" t="s">
        <v>293</v>
      </c>
      <c r="T2" t="s">
        <v>294</v>
      </c>
      <c r="U2" t="s">
        <v>295</v>
      </c>
    </row>
    <row r="3" spans="1:21" x14ac:dyDescent="0.25">
      <c r="A3" t="s">
        <v>89</v>
      </c>
      <c r="B3">
        <v>0</v>
      </c>
      <c r="C3">
        <v>0</v>
      </c>
      <c r="D3">
        <f>0.01*(((1-$L3)*($J$2-D$2)/($J$2-$C$2))+$L3)</f>
        <v>71428.58</v>
      </c>
      <c r="E3">
        <f t="shared" ref="E3:J3" si="0">0.01*(((1-$L3)*($J$2-E$2)/($J$2-$C$2))+$L3)</f>
        <v>142857.15</v>
      </c>
      <c r="F3">
        <f t="shared" si="0"/>
        <v>214285.72</v>
      </c>
      <c r="G3">
        <f t="shared" si="0"/>
        <v>285714.28999999998</v>
      </c>
      <c r="H3">
        <f t="shared" si="0"/>
        <v>357142.86</v>
      </c>
      <c r="I3">
        <f t="shared" si="0"/>
        <v>428571.43</v>
      </c>
      <c r="J3">
        <f t="shared" si="0"/>
        <v>500000</v>
      </c>
      <c r="L3">
        <v>50000000</v>
      </c>
      <c r="P3">
        <v>2015</v>
      </c>
      <c r="Q3">
        <v>0</v>
      </c>
      <c r="S3" t="s">
        <v>293</v>
      </c>
      <c r="T3" t="s">
        <v>294</v>
      </c>
      <c r="U3" t="s">
        <v>295</v>
      </c>
    </row>
    <row r="4" spans="1:21" x14ac:dyDescent="0.25">
      <c r="P4">
        <v>2020</v>
      </c>
      <c r="Q4">
        <f>0.01*(((1-$L3)*($P$10-$P4)/($P$10-$P$3))+$L3)</f>
        <v>71428.58</v>
      </c>
      <c r="S4" t="s">
        <v>293</v>
      </c>
      <c r="T4" t="s">
        <v>294</v>
      </c>
      <c r="U4" t="s">
        <v>295</v>
      </c>
    </row>
    <row r="5" spans="1:21" x14ac:dyDescent="0.25">
      <c r="A5" t="s">
        <v>291</v>
      </c>
      <c r="B5" t="s">
        <v>290</v>
      </c>
      <c r="C5" t="s">
        <v>292</v>
      </c>
      <c r="P5">
        <v>2025</v>
      </c>
      <c r="Q5">
        <f>0.01*(((1-$L3)*($P$10-$P5)/($P$10-$P$3))+$L3)</f>
        <v>142857.15</v>
      </c>
      <c r="S5" t="s">
        <v>293</v>
      </c>
      <c r="T5" t="s">
        <v>294</v>
      </c>
      <c r="U5" t="s">
        <v>295</v>
      </c>
    </row>
    <row r="6" spans="1:21" x14ac:dyDescent="0.25">
      <c r="A6">
        <v>1</v>
      </c>
      <c r="B6">
        <v>0</v>
      </c>
      <c r="C6" s="411">
        <f>0.4295/0.6909</f>
        <v>0.62165291648574328</v>
      </c>
      <c r="P6">
        <v>2030</v>
      </c>
      <c r="Q6">
        <f>0.01*(((1-$L3)*($P$10-$P6)/($P$10-$P$3))+$L3)</f>
        <v>214285.72</v>
      </c>
      <c r="S6" t="s">
        <v>293</v>
      </c>
      <c r="T6" t="s">
        <v>294</v>
      </c>
      <c r="U6" t="s">
        <v>295</v>
      </c>
    </row>
    <row r="7" spans="1:21" x14ac:dyDescent="0.25">
      <c r="A7">
        <v>2</v>
      </c>
      <c r="B7">
        <v>0.01</v>
      </c>
      <c r="C7" s="411">
        <f>0.4378/0.6984</f>
        <v>0.62686139747995417</v>
      </c>
      <c r="F7">
        <v>2011</v>
      </c>
      <c r="G7">
        <v>2015</v>
      </c>
      <c r="H7">
        <v>2020</v>
      </c>
      <c r="I7">
        <v>2025</v>
      </c>
      <c r="J7">
        <v>2030</v>
      </c>
      <c r="K7">
        <v>2035</v>
      </c>
      <c r="L7">
        <v>2040</v>
      </c>
      <c r="M7">
        <v>2045</v>
      </c>
      <c r="N7">
        <v>2050</v>
      </c>
      <c r="P7">
        <v>2035</v>
      </c>
      <c r="Q7">
        <f>0.01*(((1-$L3)*($P$10-$P7)/($P$10-$P$3))+$L3)</f>
        <v>285714.28999999998</v>
      </c>
      <c r="S7" t="s">
        <v>293</v>
      </c>
      <c r="T7" t="s">
        <v>294</v>
      </c>
      <c r="U7" t="s">
        <v>295</v>
      </c>
    </row>
    <row r="8" spans="1:21" x14ac:dyDescent="0.25">
      <c r="A8">
        <v>3</v>
      </c>
      <c r="B8">
        <v>0.5</v>
      </c>
      <c r="C8" s="411">
        <f>N8/F8</f>
        <v>0.62106865585251791</v>
      </c>
      <c r="E8" t="s">
        <v>89</v>
      </c>
      <c r="F8">
        <v>0.69099808064819301</v>
      </c>
      <c r="G8">
        <v>0.67648394582382698</v>
      </c>
      <c r="H8">
        <v>0.70232466562198403</v>
      </c>
      <c r="I8">
        <v>0.61721564054539901</v>
      </c>
      <c r="J8">
        <v>0.56071184811999997</v>
      </c>
      <c r="K8">
        <v>0.52288857782095399</v>
      </c>
      <c r="L8">
        <v>0.49261790185411602</v>
      </c>
      <c r="M8">
        <v>0.46279625830777799</v>
      </c>
      <c r="N8">
        <v>0.42915724914484299</v>
      </c>
      <c r="P8">
        <v>2040</v>
      </c>
      <c r="Q8">
        <f>0.01*(((1-$L3)*($P$10-$P8)/($P$10-$P$3))+$L3)</f>
        <v>357142.86</v>
      </c>
      <c r="S8" t="s">
        <v>293</v>
      </c>
      <c r="T8" t="s">
        <v>294</v>
      </c>
      <c r="U8" t="s">
        <v>295</v>
      </c>
    </row>
    <row r="9" spans="1:21" x14ac:dyDescent="0.25">
      <c r="A9">
        <v>4</v>
      </c>
      <c r="B9">
        <v>1000</v>
      </c>
      <c r="C9" s="411">
        <f t="shared" ref="C9:C15" si="1">N9/F9</f>
        <v>0.61239582263597359</v>
      </c>
      <c r="E9" t="s">
        <v>89</v>
      </c>
      <c r="F9">
        <v>0.69099808064819301</v>
      </c>
      <c r="G9">
        <v>0.67648394582382698</v>
      </c>
      <c r="H9">
        <v>0.70232466562198403</v>
      </c>
      <c r="I9">
        <v>0.61671728311493701</v>
      </c>
      <c r="J9">
        <v>0.55601123282687603</v>
      </c>
      <c r="K9">
        <v>0.51634073197188501</v>
      </c>
      <c r="L9">
        <v>0.48354004194285799</v>
      </c>
      <c r="M9">
        <v>0.45316429453914497</v>
      </c>
      <c r="N9">
        <v>0.42316433803842901</v>
      </c>
      <c r="P9">
        <v>2045</v>
      </c>
      <c r="Q9">
        <f>0.01*(((1-$L3)*($P$10-$P9)/($P$10-$P$3))+$L3)</f>
        <v>428571.43</v>
      </c>
      <c r="S9" t="s">
        <v>293</v>
      </c>
      <c r="T9" t="s">
        <v>294</v>
      </c>
      <c r="U9" t="s">
        <v>295</v>
      </c>
    </row>
    <row r="10" spans="1:21" x14ac:dyDescent="0.25">
      <c r="A10">
        <v>5</v>
      </c>
      <c r="B10">
        <v>20000</v>
      </c>
      <c r="C10" s="411">
        <f t="shared" si="1"/>
        <v>0.58621923480213256</v>
      </c>
      <c r="E10" t="s">
        <v>89</v>
      </c>
      <c r="F10">
        <v>0.69099808064819301</v>
      </c>
      <c r="G10">
        <v>0.67648394582382698</v>
      </c>
      <c r="H10">
        <v>0.70232466562198403</v>
      </c>
      <c r="I10">
        <v>0.59586756138703001</v>
      </c>
      <c r="J10">
        <v>0.52064551786828595</v>
      </c>
      <c r="K10">
        <v>0.481832458180187</v>
      </c>
      <c r="L10">
        <v>0.45267370144826602</v>
      </c>
      <c r="M10">
        <v>0.42912620008359598</v>
      </c>
      <c r="N10">
        <v>0.405076366087326</v>
      </c>
      <c r="P10">
        <v>2050</v>
      </c>
      <c r="Q10">
        <f>0.01*(((1-$L3)*($P$10-$P10)/($P$10-$P$3))+$L3)</f>
        <v>500000</v>
      </c>
      <c r="S10" t="s">
        <v>293</v>
      </c>
      <c r="T10" t="s">
        <v>294</v>
      </c>
      <c r="U10" t="s">
        <v>295</v>
      </c>
    </row>
    <row r="11" spans="1:21" x14ac:dyDescent="0.25">
      <c r="A11">
        <v>6</v>
      </c>
      <c r="B11">
        <v>500000</v>
      </c>
      <c r="C11" s="411">
        <f t="shared" si="1"/>
        <v>0.40210701498144547</v>
      </c>
      <c r="E11" t="s">
        <v>89</v>
      </c>
      <c r="F11">
        <v>0.69099808064819301</v>
      </c>
      <c r="G11">
        <v>0.67648394582382698</v>
      </c>
      <c r="H11">
        <v>0.70232466562198403</v>
      </c>
      <c r="I11">
        <v>0.537996633639371</v>
      </c>
      <c r="J11">
        <v>0.473887209563709</v>
      </c>
      <c r="K11">
        <v>0.45073930196858603</v>
      </c>
      <c r="L11">
        <v>0.38900920556424901</v>
      </c>
      <c r="M11">
        <v>0.33216772052934601</v>
      </c>
      <c r="N11">
        <v>0.27785517556735301</v>
      </c>
    </row>
    <row r="12" spans="1:21" x14ac:dyDescent="0.25">
      <c r="A12">
        <v>7</v>
      </c>
      <c r="B12">
        <v>2000000</v>
      </c>
      <c r="C12" s="411">
        <f t="shared" si="1"/>
        <v>0.38504323863736445</v>
      </c>
      <c r="E12" t="s">
        <v>89</v>
      </c>
      <c r="F12">
        <v>0.69099808064819301</v>
      </c>
      <c r="G12">
        <v>0.67648394582382698</v>
      </c>
      <c r="H12">
        <v>0.70232466562198403</v>
      </c>
      <c r="I12">
        <v>0.52123500195481398</v>
      </c>
      <c r="J12">
        <v>0.42927342199888702</v>
      </c>
      <c r="K12">
        <v>0.33333807525260201</v>
      </c>
      <c r="L12">
        <v>0.29326764991784599</v>
      </c>
      <c r="M12">
        <v>0.27758626964069399</v>
      </c>
      <c r="N12">
        <v>0.26606413886498298</v>
      </c>
    </row>
    <row r="13" spans="1:21" x14ac:dyDescent="0.25">
      <c r="A13">
        <v>8</v>
      </c>
      <c r="B13">
        <v>50000000</v>
      </c>
      <c r="C13" s="411">
        <f t="shared" si="1"/>
        <v>0.32333844194330796</v>
      </c>
      <c r="E13" t="s">
        <v>89</v>
      </c>
      <c r="F13">
        <v>0.69099808064819301</v>
      </c>
      <c r="G13">
        <v>0.67648394582382698</v>
      </c>
      <c r="H13">
        <v>0.45443509395524501</v>
      </c>
      <c r="I13">
        <v>0.390996996653458</v>
      </c>
      <c r="J13">
        <v>0.299817187247572</v>
      </c>
      <c r="K13">
        <v>0.27162629731929899</v>
      </c>
      <c r="L13">
        <v>0.25796284625086002</v>
      </c>
      <c r="M13">
        <v>0.23538302891535801</v>
      </c>
      <c r="N13">
        <v>0.22342624278260301</v>
      </c>
      <c r="Q13" t="str">
        <f t="shared" ref="Q13:Q21" si="2">S2&amp;P2&amp;T2&amp;Q2&amp;U2</f>
        <v>carbon_tax_yr("DEU","2011") =0;</v>
      </c>
    </row>
    <row r="14" spans="1:21" x14ac:dyDescent="0.25">
      <c r="A14">
        <v>9</v>
      </c>
      <c r="B14">
        <v>500000000</v>
      </c>
      <c r="C14" s="411" t="e">
        <f t="shared" si="1"/>
        <v>#DIV/0!</v>
      </c>
      <c r="Q14" t="str">
        <f t="shared" si="2"/>
        <v>carbon_tax_yr("DEU","2015") =0;</v>
      </c>
    </row>
    <row r="15" spans="1:21" x14ac:dyDescent="0.25">
      <c r="A15">
        <v>10</v>
      </c>
      <c r="C15" s="411" t="e">
        <f t="shared" si="1"/>
        <v>#DIV/0!</v>
      </c>
      <c r="Q15" t="str">
        <f t="shared" si="2"/>
        <v>carbon_tax_yr("DEU","2020") =71428.58;</v>
      </c>
    </row>
    <row r="16" spans="1:21" x14ac:dyDescent="0.25">
      <c r="C16" s="131"/>
      <c r="Q16" t="str">
        <f t="shared" si="2"/>
        <v>carbon_tax_yr("DEU","2025") =142857.15;</v>
      </c>
    </row>
    <row r="17" spans="3:17" x14ac:dyDescent="0.25">
      <c r="C17" s="131"/>
      <c r="Q17" t="str">
        <f t="shared" si="2"/>
        <v>carbon_tax_yr("DEU","2030") =214285.72;</v>
      </c>
    </row>
    <row r="18" spans="3:17" x14ac:dyDescent="0.25">
      <c r="C18" s="131"/>
      <c r="Q18" t="str">
        <f t="shared" si="2"/>
        <v>carbon_tax_yr("DEU","2035") =285714.29;</v>
      </c>
    </row>
    <row r="19" spans="3:17" x14ac:dyDescent="0.25">
      <c r="Q19" t="str">
        <f t="shared" si="2"/>
        <v>carbon_tax_yr("DEU","2040") =357142.86;</v>
      </c>
    </row>
    <row r="20" spans="3:17" x14ac:dyDescent="0.25">
      <c r="Q20" t="str">
        <f t="shared" si="2"/>
        <v>carbon_tax_yr("DEU","2045") =428571.43;</v>
      </c>
    </row>
    <row r="21" spans="3:17" x14ac:dyDescent="0.25">
      <c r="Q21" t="str">
        <f t="shared" si="2"/>
        <v>carbon_tax_yr("DEU","2050") =500000;</v>
      </c>
    </row>
    <row r="25" spans="3:17" x14ac:dyDescent="0.25">
      <c r="F25">
        <v>2011</v>
      </c>
      <c r="G25">
        <v>2015</v>
      </c>
      <c r="H25">
        <v>2020</v>
      </c>
      <c r="I25">
        <v>2025</v>
      </c>
      <c r="J25">
        <v>2030</v>
      </c>
      <c r="K25">
        <v>2035</v>
      </c>
      <c r="L25">
        <v>2040</v>
      </c>
      <c r="M25">
        <v>2045</v>
      </c>
      <c r="N25">
        <v>2050</v>
      </c>
    </row>
    <row r="26" spans="3:17" x14ac:dyDescent="0.25">
      <c r="E26" t="s">
        <v>89</v>
      </c>
      <c r="F26">
        <v>0.69099808064819301</v>
      </c>
      <c r="G26">
        <v>0.67648394582382698</v>
      </c>
      <c r="H26">
        <v>0.45443509395524501</v>
      </c>
      <c r="I26">
        <v>0.390996996653458</v>
      </c>
      <c r="J26">
        <v>0.299817187247572</v>
      </c>
      <c r="K26">
        <v>0.27162629731929899</v>
      </c>
      <c r="L26">
        <v>0.25796284625086002</v>
      </c>
      <c r="M26">
        <v>0.23538302891535801</v>
      </c>
      <c r="N26">
        <v>0.22342624278260301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X102"/>
  <sheetViews>
    <sheetView topLeftCell="A73" workbookViewId="0">
      <selection activeCell="E102" sqref="E102:J102"/>
    </sheetView>
  </sheetViews>
  <sheetFormatPr defaultColWidth="11.42578125" defaultRowHeight="15" x14ac:dyDescent="0.25"/>
  <cols>
    <col min="1" max="1" width="16.28515625" customWidth="1"/>
  </cols>
  <sheetData>
    <row r="1" spans="1:14" x14ac:dyDescent="0.25">
      <c r="A1" s="414" t="s">
        <v>298</v>
      </c>
      <c r="B1" s="414"/>
      <c r="C1" s="414"/>
      <c r="D1" s="414"/>
      <c r="E1" s="414"/>
      <c r="F1" s="414"/>
      <c r="G1" s="414"/>
      <c r="H1" s="414"/>
      <c r="I1" s="414"/>
      <c r="J1" s="414"/>
      <c r="K1" s="414"/>
      <c r="L1" s="414"/>
      <c r="M1" s="414"/>
      <c r="N1" s="414"/>
    </row>
    <row r="3" spans="1:14" x14ac:dyDescent="0.25">
      <c r="A3" s="414" t="s">
        <v>299</v>
      </c>
      <c r="B3" s="414"/>
      <c r="C3" s="414"/>
      <c r="D3" s="414">
        <v>1990</v>
      </c>
      <c r="E3" s="414">
        <v>2005</v>
      </c>
      <c r="F3" s="414"/>
      <c r="G3" s="414">
        <v>2014</v>
      </c>
      <c r="H3" s="414"/>
      <c r="I3" s="414">
        <v>2030</v>
      </c>
      <c r="J3" s="414"/>
      <c r="K3" s="414">
        <v>2040</v>
      </c>
      <c r="L3" s="414"/>
      <c r="M3" s="414">
        <v>2050</v>
      </c>
      <c r="N3" s="414"/>
    </row>
    <row r="4" spans="1:14" x14ac:dyDescent="0.25">
      <c r="A4" s="414" t="s">
        <v>300</v>
      </c>
      <c r="B4" s="414" t="s">
        <v>301</v>
      </c>
      <c r="C4" s="414"/>
      <c r="D4" s="414" t="s">
        <v>302</v>
      </c>
      <c r="E4" s="414" t="s">
        <v>302</v>
      </c>
      <c r="F4" s="418" t="s">
        <v>303</v>
      </c>
      <c r="G4" s="414" t="s">
        <v>302</v>
      </c>
      <c r="H4" s="418" t="s">
        <v>303</v>
      </c>
      <c r="I4" s="414" t="s">
        <v>302</v>
      </c>
      <c r="J4" s="418" t="s">
        <v>303</v>
      </c>
      <c r="K4" s="414" t="s">
        <v>302</v>
      </c>
      <c r="L4" s="418" t="s">
        <v>303</v>
      </c>
      <c r="M4" s="414" t="s">
        <v>302</v>
      </c>
      <c r="N4" s="418" t="s">
        <v>303</v>
      </c>
    </row>
    <row r="5" spans="1:14" x14ac:dyDescent="0.25">
      <c r="A5" s="414" t="s">
        <v>304</v>
      </c>
      <c r="B5" s="414" t="s">
        <v>305</v>
      </c>
      <c r="C5" s="414" t="s">
        <v>306</v>
      </c>
      <c r="D5" s="414">
        <v>428</v>
      </c>
      <c r="E5" s="414">
        <v>378</v>
      </c>
      <c r="F5" s="418">
        <v>0.11682242990654206</v>
      </c>
      <c r="G5" s="414">
        <v>344</v>
      </c>
      <c r="H5" s="418">
        <v>0.19626168224299065</v>
      </c>
      <c r="I5" s="414">
        <v>176</v>
      </c>
      <c r="J5" s="418">
        <v>0.58878504672897192</v>
      </c>
      <c r="K5" s="414">
        <v>111.4</v>
      </c>
      <c r="L5" s="418">
        <v>0.7397196261682244</v>
      </c>
      <c r="M5" s="414">
        <v>39.1</v>
      </c>
      <c r="N5" s="418">
        <v>0.90864485981308407</v>
      </c>
    </row>
    <row r="6" spans="1:14" x14ac:dyDescent="0.25">
      <c r="A6" s="414"/>
      <c r="B6" s="414"/>
      <c r="C6" s="414" t="s">
        <v>307</v>
      </c>
      <c r="D6" s="414"/>
      <c r="E6" s="414"/>
      <c r="F6" s="414"/>
      <c r="G6" s="414"/>
      <c r="H6" s="414"/>
      <c r="I6" s="414"/>
      <c r="J6" s="414"/>
      <c r="K6" s="414"/>
      <c r="L6" s="414"/>
      <c r="M6" s="414"/>
      <c r="N6" s="414"/>
    </row>
    <row r="7" spans="1:14" x14ac:dyDescent="0.25">
      <c r="A7" s="414"/>
      <c r="B7" s="414"/>
      <c r="C7" s="414" t="s">
        <v>308</v>
      </c>
      <c r="D7" s="414"/>
      <c r="E7" s="414"/>
      <c r="F7" s="414"/>
      <c r="G7" s="414"/>
      <c r="H7" s="414"/>
      <c r="I7" s="414"/>
      <c r="J7" s="414"/>
      <c r="K7" s="414"/>
      <c r="L7" s="414"/>
      <c r="M7" s="414"/>
      <c r="N7" s="414"/>
    </row>
    <row r="8" spans="1:14" x14ac:dyDescent="0.25">
      <c r="A8" s="414"/>
      <c r="B8" s="414"/>
      <c r="C8" s="414" t="s">
        <v>309</v>
      </c>
      <c r="D8" s="414"/>
      <c r="E8" s="414"/>
      <c r="F8" s="414"/>
      <c r="G8" s="414"/>
      <c r="H8" s="414"/>
      <c r="I8" s="414"/>
      <c r="J8" s="414"/>
      <c r="K8" s="414"/>
      <c r="L8" s="414"/>
      <c r="M8" s="414"/>
      <c r="N8" s="414"/>
    </row>
    <row r="9" spans="1:14" x14ac:dyDescent="0.25">
      <c r="A9" s="414"/>
      <c r="B9" s="414"/>
      <c r="C9" s="414" t="s">
        <v>310</v>
      </c>
      <c r="D9" s="414"/>
      <c r="E9" s="414"/>
      <c r="F9" s="414"/>
      <c r="G9" s="414"/>
      <c r="H9" s="414"/>
      <c r="I9" s="414"/>
      <c r="J9" s="414"/>
      <c r="K9" s="414"/>
      <c r="L9" s="414"/>
      <c r="M9" s="414"/>
      <c r="N9" s="414"/>
    </row>
    <row r="10" spans="1:14" x14ac:dyDescent="0.25">
      <c r="A10" s="414" t="s">
        <v>311</v>
      </c>
      <c r="B10" s="414" t="s">
        <v>312</v>
      </c>
      <c r="C10" s="414" t="s">
        <v>313</v>
      </c>
      <c r="D10" s="414">
        <v>203</v>
      </c>
      <c r="E10" s="414">
        <v>157</v>
      </c>
      <c r="F10" s="418">
        <v>0.22660098522167488</v>
      </c>
      <c r="G10" s="414">
        <v>122</v>
      </c>
      <c r="H10" s="418">
        <v>0.39901477832512317</v>
      </c>
      <c r="I10" s="414">
        <v>71</v>
      </c>
      <c r="J10" s="418">
        <v>0.65024630541871919</v>
      </c>
      <c r="K10" s="414">
        <v>45</v>
      </c>
      <c r="L10" s="418">
        <v>0.77832512315270941</v>
      </c>
      <c r="M10" s="414">
        <v>15.8</v>
      </c>
      <c r="N10" s="418">
        <v>0.922167487684729</v>
      </c>
    </row>
    <row r="11" spans="1:14" x14ac:dyDescent="0.25">
      <c r="A11" s="414" t="s">
        <v>314</v>
      </c>
      <c r="B11" s="414" t="s">
        <v>315</v>
      </c>
      <c r="C11" s="414" t="s">
        <v>316</v>
      </c>
      <c r="D11" s="414">
        <v>162</v>
      </c>
      <c r="E11" s="414">
        <v>160</v>
      </c>
      <c r="F11" s="418">
        <v>1.2345679012345678E-2</v>
      </c>
      <c r="G11" s="414">
        <v>159</v>
      </c>
      <c r="H11" s="418">
        <v>1.8518518518518517E-2</v>
      </c>
      <c r="I11" s="414">
        <v>96.8</v>
      </c>
      <c r="J11" s="418">
        <v>0.40246913580246918</v>
      </c>
      <c r="K11" s="414">
        <v>61.3</v>
      </c>
      <c r="L11" s="418">
        <v>0.6216049382716049</v>
      </c>
      <c r="M11" s="414">
        <v>21.5</v>
      </c>
      <c r="N11" s="418">
        <v>0.86728395061728392</v>
      </c>
    </row>
    <row r="12" spans="1:14" x14ac:dyDescent="0.25">
      <c r="A12" s="414" t="s">
        <v>317</v>
      </c>
      <c r="B12" s="414" t="s">
        <v>318</v>
      </c>
      <c r="C12" s="414" t="s">
        <v>319</v>
      </c>
      <c r="D12" s="414">
        <v>244</v>
      </c>
      <c r="E12" s="414">
        <v>167</v>
      </c>
      <c r="F12" s="418">
        <v>0.3155737704918033</v>
      </c>
      <c r="G12" s="414">
        <v>163</v>
      </c>
      <c r="H12" s="418">
        <v>0.33196721311475408</v>
      </c>
      <c r="I12" s="414">
        <v>129.1</v>
      </c>
      <c r="J12" s="418">
        <v>0.47090163934426232</v>
      </c>
      <c r="K12" s="414">
        <v>81.7</v>
      </c>
      <c r="L12" s="418">
        <v>0.66516393442622956</v>
      </c>
      <c r="M12" s="414">
        <v>28.7</v>
      </c>
      <c r="N12" s="418">
        <v>0.88237704918032789</v>
      </c>
    </row>
    <row r="13" spans="1:14" x14ac:dyDescent="0.25">
      <c r="A13" s="414"/>
      <c r="B13" s="414"/>
      <c r="C13" s="414" t="s">
        <v>320</v>
      </c>
      <c r="D13" s="414"/>
      <c r="E13" s="414"/>
      <c r="F13" s="414"/>
      <c r="G13" s="414"/>
      <c r="H13" s="414"/>
      <c r="I13" s="414"/>
      <c r="J13" s="414"/>
      <c r="K13" s="414"/>
      <c r="L13" s="414"/>
      <c r="M13" s="414"/>
      <c r="N13" s="414"/>
    </row>
    <row r="14" spans="1:14" x14ac:dyDescent="0.25">
      <c r="A14" s="414"/>
      <c r="B14" s="414"/>
      <c r="C14" s="414" t="s">
        <v>321</v>
      </c>
      <c r="D14" s="414"/>
      <c r="E14" s="414"/>
      <c r="F14" s="414"/>
      <c r="G14" s="414"/>
      <c r="H14" s="414"/>
      <c r="I14" s="414"/>
      <c r="J14" s="414"/>
      <c r="K14" s="414"/>
      <c r="L14" s="414"/>
      <c r="M14" s="414"/>
      <c r="N14" s="414"/>
    </row>
    <row r="15" spans="1:14" x14ac:dyDescent="0.25">
      <c r="A15" s="414"/>
      <c r="B15" s="414"/>
      <c r="C15" s="414" t="s">
        <v>322</v>
      </c>
      <c r="D15" s="414"/>
      <c r="E15" s="414"/>
      <c r="F15" s="414"/>
      <c r="G15" s="414"/>
      <c r="H15" s="414"/>
      <c r="I15" s="414"/>
      <c r="J15" s="414"/>
      <c r="K15" s="414"/>
      <c r="L15" s="414"/>
      <c r="M15" s="414"/>
      <c r="N15" s="414"/>
    </row>
    <row r="16" spans="1:14" x14ac:dyDescent="0.25">
      <c r="A16" s="414"/>
      <c r="B16" s="414"/>
      <c r="C16" s="414" t="s">
        <v>323</v>
      </c>
      <c r="D16" s="414"/>
      <c r="E16" s="414"/>
      <c r="F16" s="414"/>
      <c r="G16" s="414"/>
      <c r="H16" s="414"/>
      <c r="I16" s="414"/>
      <c r="J16" s="414"/>
      <c r="K16" s="414"/>
      <c r="L16" s="414"/>
      <c r="M16" s="414"/>
      <c r="N16" s="414"/>
    </row>
    <row r="17" spans="1:16" x14ac:dyDescent="0.25">
      <c r="A17" s="414"/>
      <c r="B17" s="414"/>
      <c r="C17" s="414" t="s">
        <v>324</v>
      </c>
      <c r="D17" s="414"/>
      <c r="E17" s="414"/>
      <c r="F17" s="414"/>
      <c r="G17" s="414"/>
      <c r="H17" s="414"/>
      <c r="I17" s="414"/>
      <c r="J17" s="414"/>
      <c r="K17" s="414"/>
      <c r="L17" s="414"/>
      <c r="M17" s="414"/>
      <c r="N17" s="414"/>
      <c r="O17" s="414"/>
      <c r="P17" s="414"/>
    </row>
    <row r="18" spans="1:16" x14ac:dyDescent="0.25">
      <c r="A18" s="414"/>
      <c r="B18" s="414"/>
      <c r="C18" s="414" t="s">
        <v>325</v>
      </c>
      <c r="D18" s="414"/>
      <c r="E18" s="414"/>
      <c r="F18" s="414"/>
      <c r="G18" s="414"/>
      <c r="H18" s="414"/>
      <c r="I18" s="414"/>
      <c r="J18" s="414"/>
      <c r="K18" s="414"/>
      <c r="L18" s="414"/>
      <c r="M18" s="414"/>
      <c r="N18" s="414"/>
      <c r="O18" s="414"/>
      <c r="P18" s="414"/>
    </row>
    <row r="19" spans="1:16" x14ac:dyDescent="0.25">
      <c r="A19" s="414"/>
      <c r="B19" s="414"/>
      <c r="C19" s="414" t="s">
        <v>326</v>
      </c>
      <c r="D19" s="414"/>
      <c r="E19" s="414"/>
      <c r="F19" s="414"/>
      <c r="G19" s="414"/>
      <c r="H19" s="414"/>
      <c r="I19" s="414"/>
      <c r="J19" s="414"/>
      <c r="K19" s="414"/>
      <c r="L19" s="414"/>
      <c r="M19" s="414"/>
      <c r="N19" s="414"/>
      <c r="O19" s="414"/>
      <c r="P19" s="414"/>
    </row>
    <row r="20" spans="1:16" x14ac:dyDescent="0.25">
      <c r="A20" s="414"/>
      <c r="B20" s="414"/>
      <c r="C20" s="414" t="s">
        <v>327</v>
      </c>
      <c r="D20" s="414"/>
      <c r="E20" s="414"/>
      <c r="F20" s="414"/>
      <c r="G20" s="414"/>
      <c r="H20" s="414"/>
      <c r="I20" s="414"/>
      <c r="J20" s="414"/>
      <c r="K20" s="414"/>
      <c r="L20" s="414"/>
      <c r="M20" s="414"/>
      <c r="N20" s="414"/>
      <c r="O20" s="414"/>
      <c r="P20" s="414"/>
    </row>
    <row r="21" spans="1:16" x14ac:dyDescent="0.25">
      <c r="A21" s="414" t="s">
        <v>328</v>
      </c>
      <c r="B21" s="414" t="s">
        <v>329</v>
      </c>
      <c r="C21" s="414" t="s">
        <v>330</v>
      </c>
      <c r="D21" s="414">
        <v>14</v>
      </c>
      <c r="E21" s="414">
        <v>4</v>
      </c>
      <c r="F21" s="418">
        <v>0.7142857142857143</v>
      </c>
      <c r="G21" s="414">
        <v>4</v>
      </c>
      <c r="H21" s="418">
        <v>0.7142857142857143</v>
      </c>
      <c r="I21" s="414">
        <v>3.5</v>
      </c>
      <c r="J21" s="418">
        <v>0.75</v>
      </c>
      <c r="K21" s="414">
        <v>2.2000000000000002</v>
      </c>
      <c r="L21" s="418">
        <v>0.84285714285714286</v>
      </c>
      <c r="M21" s="414">
        <v>0.8</v>
      </c>
      <c r="N21" s="418">
        <v>0.94285714285714284</v>
      </c>
      <c r="O21" s="414"/>
      <c r="P21" s="414"/>
    </row>
    <row r="22" spans="1:16" x14ac:dyDescent="0.25">
      <c r="A22" s="414" t="s">
        <v>331</v>
      </c>
      <c r="B22" s="414"/>
      <c r="C22" s="414"/>
      <c r="D22" s="414">
        <v>1051</v>
      </c>
      <c r="E22" s="414">
        <v>866</v>
      </c>
      <c r="F22" s="418">
        <v>0.17602283539486205</v>
      </c>
      <c r="G22" s="414">
        <v>792</v>
      </c>
      <c r="H22" s="418">
        <v>0.24643196955280686</v>
      </c>
      <c r="I22" s="414">
        <v>476.4</v>
      </c>
      <c r="J22" s="418">
        <v>0.54671741198858237</v>
      </c>
      <c r="K22" s="414">
        <v>301.59999999999997</v>
      </c>
      <c r="L22" s="418">
        <v>0.71303520456707903</v>
      </c>
      <c r="M22" s="414">
        <v>105.9</v>
      </c>
      <c r="N22" s="418">
        <v>0.89923882017126544</v>
      </c>
      <c r="O22" s="414"/>
      <c r="P22" s="414"/>
    </row>
    <row r="23" spans="1:16" x14ac:dyDescent="0.25">
      <c r="A23" s="414" t="s">
        <v>332</v>
      </c>
      <c r="B23" s="414" t="s">
        <v>333</v>
      </c>
      <c r="C23" s="414" t="s">
        <v>334</v>
      </c>
      <c r="D23" s="414">
        <v>0</v>
      </c>
      <c r="E23" s="414">
        <v>0</v>
      </c>
      <c r="F23" s="414"/>
      <c r="G23" s="414">
        <v>0</v>
      </c>
      <c r="H23" s="414"/>
      <c r="I23" s="414">
        <v>0</v>
      </c>
      <c r="J23" s="414"/>
      <c r="K23" s="414">
        <v>0</v>
      </c>
      <c r="L23" s="414"/>
      <c r="M23" s="414">
        <v>0</v>
      </c>
      <c r="N23" s="414"/>
      <c r="O23" s="414"/>
      <c r="P23" s="414"/>
    </row>
    <row r="24" spans="1:16" x14ac:dyDescent="0.25">
      <c r="A24" s="414" t="s">
        <v>335</v>
      </c>
      <c r="B24" s="414"/>
      <c r="C24" s="414"/>
      <c r="D24" s="414">
        <v>1051</v>
      </c>
      <c r="E24" s="414">
        <v>866</v>
      </c>
      <c r="F24" s="418">
        <v>0.17602283539486205</v>
      </c>
      <c r="G24" s="414">
        <v>792</v>
      </c>
      <c r="H24" s="418">
        <v>0.24643196955280686</v>
      </c>
      <c r="I24" s="414">
        <v>476.4</v>
      </c>
      <c r="J24" s="418">
        <v>0.54671741198858237</v>
      </c>
      <c r="K24" s="414">
        <v>301.59999999999997</v>
      </c>
      <c r="L24" s="418">
        <v>0.71303520456707903</v>
      </c>
      <c r="M24" s="414">
        <v>105.9</v>
      </c>
      <c r="N24" s="418">
        <v>0.89923882017126544</v>
      </c>
      <c r="O24" s="414"/>
      <c r="P24" s="414"/>
    </row>
    <row r="27" spans="1:16" x14ac:dyDescent="0.25">
      <c r="A27" s="421" t="s">
        <v>336</v>
      </c>
      <c r="B27" s="421"/>
      <c r="C27" s="422"/>
      <c r="D27" s="421"/>
      <c r="E27" s="422"/>
      <c r="F27" s="421"/>
      <c r="G27" s="414"/>
      <c r="H27" s="414"/>
      <c r="I27" s="414"/>
      <c r="J27" s="423"/>
      <c r="K27" s="416"/>
      <c r="L27" s="414"/>
      <c r="M27" s="414"/>
      <c r="N27" s="414"/>
      <c r="O27" s="414"/>
      <c r="P27" s="414"/>
    </row>
    <row r="28" spans="1:16" x14ac:dyDescent="0.25">
      <c r="A28" s="424"/>
      <c r="B28" s="424">
        <v>2005</v>
      </c>
      <c r="C28" s="425">
        <v>2011</v>
      </c>
      <c r="D28" s="424">
        <v>2014</v>
      </c>
      <c r="E28" s="425">
        <v>2015</v>
      </c>
      <c r="F28" s="425">
        <v>2020</v>
      </c>
      <c r="G28" s="425">
        <v>2025</v>
      </c>
      <c r="H28" s="426">
        <v>2030</v>
      </c>
      <c r="I28" s="425">
        <v>2035</v>
      </c>
      <c r="J28" s="427">
        <v>2040</v>
      </c>
      <c r="K28" s="425">
        <v>2045</v>
      </c>
      <c r="L28" s="427">
        <v>2050</v>
      </c>
      <c r="M28" s="415"/>
      <c r="N28" s="428"/>
      <c r="O28" s="415"/>
      <c r="P28" s="428"/>
    </row>
    <row r="29" spans="1:16" x14ac:dyDescent="0.25">
      <c r="A29" s="414" t="s">
        <v>337</v>
      </c>
      <c r="B29" s="419">
        <v>378</v>
      </c>
      <c r="C29" s="420">
        <v>355.33333333333331</v>
      </c>
      <c r="D29" s="419">
        <v>344</v>
      </c>
      <c r="E29" s="420">
        <v>333.5</v>
      </c>
      <c r="F29" s="420">
        <v>281</v>
      </c>
      <c r="G29" s="420">
        <v>228.5</v>
      </c>
      <c r="H29" s="419">
        <v>176</v>
      </c>
      <c r="I29" s="420">
        <v>143.69999999999999</v>
      </c>
      <c r="J29" s="419">
        <v>111.4</v>
      </c>
      <c r="K29" s="420">
        <v>75.25</v>
      </c>
      <c r="L29" s="419">
        <v>39.1</v>
      </c>
      <c r="M29" s="414"/>
      <c r="N29" s="414"/>
      <c r="O29" s="414"/>
      <c r="P29" s="418"/>
    </row>
    <row r="30" spans="1:16" x14ac:dyDescent="0.25">
      <c r="A30" s="414" t="s">
        <v>338</v>
      </c>
      <c r="B30" s="419">
        <v>157</v>
      </c>
      <c r="C30" s="420">
        <v>133.66666666666666</v>
      </c>
      <c r="D30" s="419">
        <v>122</v>
      </c>
      <c r="E30" s="420">
        <v>118.8125</v>
      </c>
      <c r="F30" s="420">
        <v>102.875</v>
      </c>
      <c r="G30" s="420">
        <v>86.9375</v>
      </c>
      <c r="H30" s="419">
        <v>71</v>
      </c>
      <c r="I30" s="420">
        <v>58</v>
      </c>
      <c r="J30" s="419">
        <v>45</v>
      </c>
      <c r="K30" s="420">
        <v>30.4</v>
      </c>
      <c r="L30" s="419">
        <v>15.8</v>
      </c>
      <c r="M30" s="414"/>
      <c r="N30" s="414"/>
      <c r="O30" s="414"/>
      <c r="P30" s="418"/>
    </row>
    <row r="31" spans="1:16" x14ac:dyDescent="0.25">
      <c r="A31" s="414" t="s">
        <v>339</v>
      </c>
      <c r="B31" s="419">
        <v>160</v>
      </c>
      <c r="C31" s="420">
        <v>159.33333333333334</v>
      </c>
      <c r="D31" s="419">
        <v>159</v>
      </c>
      <c r="E31" s="420">
        <v>155.11250000000001</v>
      </c>
      <c r="F31" s="420">
        <v>135.67500000000001</v>
      </c>
      <c r="G31" s="420">
        <v>116.2375</v>
      </c>
      <c r="H31" s="419">
        <v>96.8</v>
      </c>
      <c r="I31" s="420">
        <v>79.05</v>
      </c>
      <c r="J31" s="419">
        <v>61.3</v>
      </c>
      <c r="K31" s="420">
        <v>41.4</v>
      </c>
      <c r="L31" s="419">
        <v>21.5</v>
      </c>
      <c r="M31" s="414"/>
      <c r="N31" s="414"/>
      <c r="O31" s="414"/>
      <c r="P31" s="418"/>
    </row>
    <row r="32" spans="1:16" x14ac:dyDescent="0.25">
      <c r="A32" s="414" t="s">
        <v>340</v>
      </c>
      <c r="B32" s="419">
        <v>167</v>
      </c>
      <c r="C32" s="420">
        <v>164.33333333333334</v>
      </c>
      <c r="D32" s="419">
        <v>163</v>
      </c>
      <c r="E32" s="420">
        <v>160.88124999999999</v>
      </c>
      <c r="F32" s="420">
        <v>150.28749999999999</v>
      </c>
      <c r="G32" s="420">
        <v>139.69374999999999</v>
      </c>
      <c r="H32" s="419">
        <v>129.1</v>
      </c>
      <c r="I32" s="420">
        <v>105.4</v>
      </c>
      <c r="J32" s="419">
        <v>81.7</v>
      </c>
      <c r="K32" s="420">
        <v>55.2</v>
      </c>
      <c r="L32" s="419">
        <v>28.7</v>
      </c>
      <c r="M32" s="414"/>
      <c r="N32" s="414"/>
      <c r="O32" s="414"/>
      <c r="P32" s="418"/>
    </row>
    <row r="33" spans="1:24" x14ac:dyDescent="0.25">
      <c r="A33" s="414" t="s">
        <v>341</v>
      </c>
      <c r="B33" s="419">
        <v>4</v>
      </c>
      <c r="C33" s="420">
        <v>4</v>
      </c>
      <c r="D33" s="419">
        <v>4</v>
      </c>
      <c r="E33" s="420">
        <v>3.96875</v>
      </c>
      <c r="F33" s="420">
        <v>3.8125</v>
      </c>
      <c r="G33" s="420">
        <v>3.65625</v>
      </c>
      <c r="H33" s="419">
        <v>3.5</v>
      </c>
      <c r="I33" s="420">
        <v>2.85</v>
      </c>
      <c r="J33" s="419">
        <v>2.2000000000000002</v>
      </c>
      <c r="K33" s="420">
        <v>1.5</v>
      </c>
      <c r="L33" s="419">
        <v>0.8</v>
      </c>
      <c r="M33" s="414"/>
      <c r="N33" s="414"/>
      <c r="O33" s="414"/>
      <c r="P33" s="418"/>
    </row>
    <row r="34" spans="1:24" x14ac:dyDescent="0.25">
      <c r="A34" s="414" t="s">
        <v>342</v>
      </c>
      <c r="B34" s="418">
        <v>0</v>
      </c>
      <c r="C34" s="420">
        <v>0</v>
      </c>
      <c r="D34" s="419">
        <v>0</v>
      </c>
      <c r="E34" s="420">
        <v>0</v>
      </c>
      <c r="F34" s="420">
        <v>0</v>
      </c>
      <c r="G34" s="420">
        <v>0</v>
      </c>
      <c r="H34" s="419">
        <v>0</v>
      </c>
      <c r="I34" s="420">
        <v>0</v>
      </c>
      <c r="J34" s="419">
        <v>0</v>
      </c>
      <c r="K34" s="420">
        <v>0</v>
      </c>
      <c r="L34" s="419">
        <v>0</v>
      </c>
      <c r="M34" s="414"/>
      <c r="N34" s="414"/>
      <c r="O34" s="414"/>
      <c r="P34" s="418"/>
    </row>
    <row r="35" spans="1:24" x14ac:dyDescent="0.25">
      <c r="A35" s="417" t="s">
        <v>343</v>
      </c>
      <c r="B35" s="429">
        <v>866</v>
      </c>
      <c r="C35" s="430">
        <v>816.66666666666674</v>
      </c>
      <c r="D35" s="429">
        <v>792</v>
      </c>
      <c r="E35" s="430">
        <v>772.27499999999998</v>
      </c>
      <c r="F35" s="430">
        <v>673.65</v>
      </c>
      <c r="G35" s="430">
        <v>575.02499999999998</v>
      </c>
      <c r="H35" s="429">
        <v>476.4</v>
      </c>
      <c r="I35" s="430">
        <v>389</v>
      </c>
      <c r="J35" s="429">
        <v>301.59999999999997</v>
      </c>
      <c r="K35" s="430">
        <v>203.75</v>
      </c>
      <c r="L35" s="429">
        <v>105.9</v>
      </c>
      <c r="M35" s="415"/>
      <c r="N35" s="428"/>
      <c r="O35" s="415"/>
      <c r="P35" s="428"/>
    </row>
    <row r="36" spans="1:24" x14ac:dyDescent="0.25">
      <c r="A36" s="414"/>
      <c r="B36" s="414"/>
      <c r="C36" s="420"/>
      <c r="D36" s="414"/>
      <c r="E36" s="414"/>
      <c r="F36" s="414"/>
      <c r="G36" s="414"/>
      <c r="H36" s="414"/>
      <c r="I36" s="414"/>
      <c r="J36" s="414"/>
      <c r="K36" s="414"/>
      <c r="L36" s="414"/>
      <c r="M36" s="414"/>
      <c r="N36" s="414"/>
      <c r="O36" s="414" t="s">
        <v>347</v>
      </c>
      <c r="P36" s="418"/>
    </row>
    <row r="37" spans="1:24" x14ac:dyDescent="0.25">
      <c r="A37" s="445" t="s">
        <v>344</v>
      </c>
      <c r="B37" s="445"/>
      <c r="C37" s="446"/>
      <c r="D37" s="445"/>
      <c r="E37" s="446"/>
      <c r="F37" s="445"/>
      <c r="G37" s="446"/>
      <c r="H37" s="445"/>
      <c r="I37" s="447"/>
      <c r="J37" s="438"/>
      <c r="K37" s="414"/>
      <c r="L37" s="414"/>
      <c r="M37" s="414"/>
      <c r="N37" s="414"/>
      <c r="O37" s="445" t="s">
        <v>344</v>
      </c>
      <c r="P37" s="445"/>
      <c r="Q37" s="446"/>
      <c r="R37" s="445"/>
      <c r="S37" s="446"/>
      <c r="T37" s="445"/>
      <c r="U37" s="446"/>
      <c r="V37" s="445"/>
      <c r="W37" s="447"/>
      <c r="X37" s="438"/>
    </row>
    <row r="38" spans="1:24" x14ac:dyDescent="0.25">
      <c r="A38" s="448"/>
      <c r="B38" s="449">
        <v>2011</v>
      </c>
      <c r="C38" s="449">
        <v>2015</v>
      </c>
      <c r="D38" s="449">
        <v>2020</v>
      </c>
      <c r="E38" s="449">
        <v>2025</v>
      </c>
      <c r="F38" s="450">
        <v>2030</v>
      </c>
      <c r="G38" s="449">
        <v>2035</v>
      </c>
      <c r="H38" s="451">
        <v>2040</v>
      </c>
      <c r="I38" s="449">
        <v>2045</v>
      </c>
      <c r="J38" s="451">
        <v>2050</v>
      </c>
      <c r="K38" s="424"/>
      <c r="L38" s="427"/>
      <c r="M38" s="424"/>
      <c r="N38" s="427"/>
      <c r="O38" s="448"/>
      <c r="P38" s="449">
        <v>2011</v>
      </c>
      <c r="Q38" s="449">
        <v>2015</v>
      </c>
      <c r="R38" s="449">
        <v>2020</v>
      </c>
      <c r="S38" s="449">
        <v>2025</v>
      </c>
      <c r="T38" s="450">
        <v>2030</v>
      </c>
      <c r="U38" s="449">
        <v>2035</v>
      </c>
      <c r="V38" s="451">
        <v>2040</v>
      </c>
      <c r="W38" s="449">
        <v>2045</v>
      </c>
      <c r="X38" s="451">
        <v>2050</v>
      </c>
    </row>
    <row r="39" spans="1:24" x14ac:dyDescent="0.25">
      <c r="A39" s="438" t="s">
        <v>337</v>
      </c>
      <c r="B39" s="446">
        <v>1</v>
      </c>
      <c r="C39" s="446">
        <v>0.93855534709193256</v>
      </c>
      <c r="D39" s="446">
        <v>0.79080675422138846</v>
      </c>
      <c r="E39" s="446">
        <v>0.64305816135084426</v>
      </c>
      <c r="F39" s="442">
        <v>0.49530956848030022</v>
      </c>
      <c r="G39" s="446">
        <v>0.40440900562851784</v>
      </c>
      <c r="H39" s="442">
        <v>0.31350844277673551</v>
      </c>
      <c r="I39" s="446">
        <v>0.21177298311444653</v>
      </c>
      <c r="J39" s="442">
        <v>0.11003752345215762</v>
      </c>
      <c r="K39" s="414"/>
      <c r="L39" s="414"/>
      <c r="M39" s="414"/>
      <c r="N39" s="414"/>
      <c r="O39" s="438" t="s">
        <v>337</v>
      </c>
      <c r="P39" s="446">
        <v>1</v>
      </c>
      <c r="Q39" s="446">
        <v>0.93855534709193256</v>
      </c>
      <c r="R39" s="446">
        <v>0.79080675422138846</v>
      </c>
      <c r="S39" s="446">
        <v>0.64305816135084426</v>
      </c>
      <c r="T39" s="442">
        <v>0.49530956848030022</v>
      </c>
      <c r="U39" s="446">
        <v>0.40440900562851784</v>
      </c>
      <c r="V39" s="442">
        <v>0.31350844277673551</v>
      </c>
      <c r="W39" s="446">
        <v>0.21177298311444653</v>
      </c>
      <c r="X39" s="442">
        <v>0.11003752345215762</v>
      </c>
    </row>
    <row r="40" spans="1:24" x14ac:dyDescent="0.25">
      <c r="A40" s="438" t="s">
        <v>338</v>
      </c>
      <c r="B40" s="446">
        <v>1</v>
      </c>
      <c r="C40" s="446">
        <v>0.88887157107231929</v>
      </c>
      <c r="D40" s="446">
        <v>0.76963840399002503</v>
      </c>
      <c r="E40" s="446">
        <v>0.65040523690773067</v>
      </c>
      <c r="F40" s="442">
        <v>0.53117206982543641</v>
      </c>
      <c r="G40" s="446">
        <v>0.43391521197007482</v>
      </c>
      <c r="H40" s="442">
        <v>0.33665835411471323</v>
      </c>
      <c r="I40" s="446">
        <v>0.22743142144638404</v>
      </c>
      <c r="J40" s="442">
        <v>0.11820448877805488</v>
      </c>
      <c r="K40" s="414"/>
      <c r="L40" s="414"/>
      <c r="M40" s="414"/>
      <c r="N40" s="414"/>
      <c r="O40" s="438" t="s">
        <v>338</v>
      </c>
      <c r="P40" s="446">
        <v>1</v>
      </c>
      <c r="Q40" s="446">
        <v>0.88887157107231929</v>
      </c>
      <c r="R40" s="446">
        <v>0.76963840399002503</v>
      </c>
      <c r="S40" s="446">
        <v>0.65040523690773067</v>
      </c>
      <c r="T40" s="442">
        <v>0.53117206982543641</v>
      </c>
      <c r="U40" s="446">
        <v>0.43391521197007482</v>
      </c>
      <c r="V40" s="442">
        <v>0.33665835411471323</v>
      </c>
      <c r="W40" s="446">
        <v>0.22743142144638404</v>
      </c>
      <c r="X40" s="442">
        <v>0.11820448877805488</v>
      </c>
    </row>
    <row r="41" spans="1:24" x14ac:dyDescent="0.25">
      <c r="A41" s="438" t="s">
        <v>339</v>
      </c>
      <c r="B41" s="446">
        <v>1</v>
      </c>
      <c r="C41" s="446">
        <v>0.97350941422594139</v>
      </c>
      <c r="D41" s="446">
        <v>0.85151673640167369</v>
      </c>
      <c r="E41" s="446">
        <v>0.72952405857740577</v>
      </c>
      <c r="F41" s="442">
        <v>0.60753138075313806</v>
      </c>
      <c r="G41" s="446">
        <v>0.49612970711297066</v>
      </c>
      <c r="H41" s="442">
        <v>0.38472803347280332</v>
      </c>
      <c r="I41" s="446">
        <v>0.25983263598326356</v>
      </c>
      <c r="J41" s="442">
        <v>0.13493723849372385</v>
      </c>
      <c r="K41" s="414"/>
      <c r="L41" s="414"/>
      <c r="M41" s="414"/>
      <c r="N41" s="414"/>
      <c r="O41" s="438" t="s">
        <v>339</v>
      </c>
      <c r="P41" s="446">
        <v>1</v>
      </c>
      <c r="Q41" s="446">
        <v>0.97350941422594139</v>
      </c>
      <c r="R41" s="446">
        <v>0.85151673640167369</v>
      </c>
      <c r="S41" s="446">
        <v>0.72952405857740577</v>
      </c>
      <c r="T41" s="442">
        <v>0.60753138075313806</v>
      </c>
      <c r="U41" s="446">
        <v>0.49612970711297066</v>
      </c>
      <c r="V41" s="442">
        <v>0.38472803347280332</v>
      </c>
      <c r="W41" s="446">
        <v>0.25983263598326356</v>
      </c>
      <c r="X41" s="442">
        <v>0.13493723849372385</v>
      </c>
    </row>
    <row r="42" spans="1:24" x14ac:dyDescent="0.25">
      <c r="A42" s="438" t="s">
        <v>340</v>
      </c>
      <c r="B42" s="446">
        <v>1</v>
      </c>
      <c r="C42" s="446">
        <v>0.97899340770791066</v>
      </c>
      <c r="D42" s="446">
        <v>0.91452839756592286</v>
      </c>
      <c r="E42" s="446">
        <v>0.85006338742393506</v>
      </c>
      <c r="F42" s="442">
        <v>0.78559837728194715</v>
      </c>
      <c r="G42" s="446">
        <v>0.64137931034482754</v>
      </c>
      <c r="H42" s="442">
        <v>0.49716024340770792</v>
      </c>
      <c r="I42" s="446">
        <v>0.3359026369168357</v>
      </c>
      <c r="J42" s="442">
        <v>0.17464503042596347</v>
      </c>
      <c r="K42" s="414"/>
      <c r="L42" s="414"/>
      <c r="M42" s="414"/>
      <c r="N42" s="414"/>
      <c r="O42" s="438" t="s">
        <v>340</v>
      </c>
      <c r="P42" s="446">
        <v>1</v>
      </c>
      <c r="Q42" s="446">
        <v>0.97899340770791066</v>
      </c>
      <c r="R42" s="446">
        <v>0.91452839756592286</v>
      </c>
      <c r="S42" s="446">
        <v>0.85006338742393506</v>
      </c>
      <c r="T42" s="442">
        <v>0.78559837728194715</v>
      </c>
      <c r="U42" s="446">
        <v>0.64137931034482754</v>
      </c>
      <c r="V42" s="442">
        <v>0.49716024340770792</v>
      </c>
      <c r="W42" s="446">
        <v>0.3359026369168357</v>
      </c>
      <c r="X42" s="442">
        <v>0.17464503042596347</v>
      </c>
    </row>
    <row r="43" spans="1:24" x14ac:dyDescent="0.25">
      <c r="A43" s="438" t="s">
        <v>341</v>
      </c>
      <c r="B43" s="446">
        <v>1</v>
      </c>
      <c r="C43" s="446">
        <v>0.9921875</v>
      </c>
      <c r="D43" s="446">
        <v>0.953125</v>
      </c>
      <c r="E43" s="446">
        <v>0.9140625</v>
      </c>
      <c r="F43" s="442">
        <v>0.875</v>
      </c>
      <c r="G43" s="446">
        <v>0.71250000000000002</v>
      </c>
      <c r="H43" s="442">
        <v>0.55000000000000004</v>
      </c>
      <c r="I43" s="446">
        <v>0.375</v>
      </c>
      <c r="J43" s="442">
        <v>0.2</v>
      </c>
      <c r="K43" s="414"/>
      <c r="L43" s="414"/>
      <c r="M43" s="414"/>
      <c r="N43" s="414"/>
      <c r="O43" s="438" t="s">
        <v>341</v>
      </c>
      <c r="P43" s="446">
        <v>1</v>
      </c>
      <c r="Q43" s="446">
        <v>0.9921875</v>
      </c>
      <c r="R43" s="446">
        <v>0.953125</v>
      </c>
      <c r="S43" s="446">
        <v>0.9140625</v>
      </c>
      <c r="T43" s="442">
        <v>0.875</v>
      </c>
      <c r="U43" s="446">
        <v>0.71250000000000002</v>
      </c>
      <c r="V43" s="442">
        <v>0.55000000000000004</v>
      </c>
      <c r="W43" s="446">
        <v>0.375</v>
      </c>
      <c r="X43" s="442">
        <v>0.2</v>
      </c>
    </row>
    <row r="44" spans="1:24" x14ac:dyDescent="0.25">
      <c r="A44" s="438" t="s">
        <v>342</v>
      </c>
      <c r="B44" s="446">
        <v>1</v>
      </c>
      <c r="C44" s="446">
        <v>1</v>
      </c>
      <c r="D44" s="446">
        <v>1</v>
      </c>
      <c r="E44" s="446">
        <v>1</v>
      </c>
      <c r="F44" s="442">
        <v>1</v>
      </c>
      <c r="G44" s="446">
        <v>1</v>
      </c>
      <c r="H44" s="442">
        <v>1</v>
      </c>
      <c r="I44" s="446">
        <v>1</v>
      </c>
      <c r="J44" s="442">
        <v>1</v>
      </c>
      <c r="K44" s="414"/>
      <c r="L44" s="414"/>
      <c r="M44" s="414"/>
      <c r="N44" s="414"/>
      <c r="O44" s="438" t="s">
        <v>342</v>
      </c>
      <c r="P44" s="446">
        <v>1</v>
      </c>
      <c r="Q44" s="446">
        <v>1</v>
      </c>
      <c r="R44" s="446">
        <v>1</v>
      </c>
      <c r="S44" s="446">
        <v>1</v>
      </c>
      <c r="T44" s="442">
        <v>1</v>
      </c>
      <c r="U44" s="446">
        <v>1</v>
      </c>
      <c r="V44" s="442">
        <v>1</v>
      </c>
      <c r="W44" s="446">
        <v>1</v>
      </c>
      <c r="X44" s="442">
        <v>1</v>
      </c>
    </row>
    <row r="45" spans="1:24" x14ac:dyDescent="0.25">
      <c r="A45" s="441" t="s">
        <v>343</v>
      </c>
      <c r="B45" s="453">
        <f>C35/$C$35</f>
        <v>1</v>
      </c>
      <c r="C45" s="453">
        <f>E35/$C$35</f>
        <v>0.94564285714285701</v>
      </c>
      <c r="D45" s="453">
        <f t="shared" ref="D45:J45" si="0">F35/$C$35</f>
        <v>0.82487755102040805</v>
      </c>
      <c r="E45" s="453">
        <f t="shared" si="0"/>
        <v>0.70411224489795909</v>
      </c>
      <c r="F45" s="453">
        <f t="shared" si="0"/>
        <v>0.58334693877551014</v>
      </c>
      <c r="G45" s="453">
        <f t="shared" si="0"/>
        <v>0.47632653061224484</v>
      </c>
      <c r="H45" s="453">
        <f t="shared" si="0"/>
        <v>0.36930612244897953</v>
      </c>
      <c r="I45" s="453">
        <f t="shared" si="0"/>
        <v>0.24948979591836731</v>
      </c>
      <c r="J45" s="453">
        <f t="shared" si="0"/>
        <v>0.12967346938775509</v>
      </c>
      <c r="K45" s="415"/>
      <c r="L45" s="428"/>
      <c r="M45" s="415"/>
      <c r="N45" s="415"/>
      <c r="O45" s="441" t="s">
        <v>343</v>
      </c>
      <c r="P45" s="453">
        <v>1</v>
      </c>
      <c r="Q45" s="453">
        <v>0.94564285714285701</v>
      </c>
      <c r="R45" s="453">
        <v>0.82487755102040805</v>
      </c>
      <c r="S45" s="453">
        <v>0.70411224489795909</v>
      </c>
      <c r="T45" s="453">
        <v>0.58334693877551014</v>
      </c>
      <c r="U45" s="453">
        <v>0.47632653061224484</v>
      </c>
      <c r="V45" s="453">
        <v>0.36930612244897953</v>
      </c>
      <c r="W45" s="453">
        <v>0.24948979591836731</v>
      </c>
      <c r="X45" s="453">
        <v>0.12967346938775509</v>
      </c>
    </row>
    <row r="47" spans="1:24" x14ac:dyDescent="0.25">
      <c r="A47" s="414" t="s">
        <v>345</v>
      </c>
      <c r="B47" s="414"/>
      <c r="C47" s="414"/>
      <c r="D47" s="414"/>
      <c r="E47" s="414"/>
      <c r="F47" s="414"/>
      <c r="G47" s="414"/>
      <c r="H47" s="414"/>
      <c r="I47" s="414"/>
      <c r="J47" s="414"/>
      <c r="K47" s="414"/>
      <c r="L47" s="414"/>
      <c r="M47" s="414"/>
      <c r="N47" s="414"/>
      <c r="O47" s="414"/>
      <c r="P47" s="414"/>
    </row>
    <row r="48" spans="1:24" x14ac:dyDescent="0.25">
      <c r="E48" s="473">
        <f>D39-C39</f>
        <v>-0.14774859287054409</v>
      </c>
    </row>
    <row r="50" spans="1:12" x14ac:dyDescent="0.25">
      <c r="A50" t="s">
        <v>354</v>
      </c>
      <c r="B50">
        <v>1</v>
      </c>
      <c r="C50">
        <v>0.99032356000839805</v>
      </c>
      <c r="D50">
        <v>0.86722383327687946</v>
      </c>
      <c r="E50">
        <v>0.74412410654536087</v>
      </c>
      <c r="F50">
        <v>0.62102437981384229</v>
      </c>
      <c r="G50">
        <v>0.4979246530823237</v>
      </c>
      <c r="H50">
        <v>0.37482492635080511</v>
      </c>
      <c r="I50">
        <v>0.25172519961928652</v>
      </c>
      <c r="J50">
        <v>0.12862547288776796</v>
      </c>
    </row>
    <row r="54" spans="1:12" x14ac:dyDescent="0.25">
      <c r="A54" s="445" t="s">
        <v>336</v>
      </c>
      <c r="B54" s="445"/>
      <c r="C54" s="446"/>
      <c r="D54" s="445"/>
      <c r="E54" s="446"/>
      <c r="F54" s="445"/>
      <c r="G54" s="438"/>
      <c r="H54" s="438"/>
      <c r="I54" s="438"/>
      <c r="J54" s="447"/>
      <c r="K54" s="440"/>
      <c r="L54" s="438"/>
    </row>
    <row r="55" spans="1:12" x14ac:dyDescent="0.25">
      <c r="A55" s="448"/>
      <c r="B55" s="448">
        <v>2005</v>
      </c>
      <c r="C55" s="449">
        <v>2011</v>
      </c>
      <c r="D55" s="448">
        <v>2014</v>
      </c>
      <c r="E55" s="449">
        <v>2015</v>
      </c>
      <c r="F55" s="449">
        <v>2020</v>
      </c>
      <c r="G55" s="449">
        <v>2025</v>
      </c>
      <c r="H55" s="450">
        <v>2030</v>
      </c>
      <c r="I55" s="449">
        <v>2035</v>
      </c>
      <c r="J55" s="451">
        <v>2040</v>
      </c>
      <c r="K55" s="449">
        <v>2045</v>
      </c>
      <c r="L55" s="451">
        <v>2050</v>
      </c>
    </row>
    <row r="56" spans="1:12" x14ac:dyDescent="0.25">
      <c r="A56" s="438" t="s">
        <v>337</v>
      </c>
      <c r="B56" s="470">
        <v>378</v>
      </c>
      <c r="C56" s="471">
        <v>355.33333333333331</v>
      </c>
      <c r="D56" s="470">
        <v>344</v>
      </c>
      <c r="E56" s="471">
        <v>333.5</v>
      </c>
      <c r="F56" s="471">
        <v>281</v>
      </c>
      <c r="G56" s="471">
        <v>228.5</v>
      </c>
      <c r="H56" s="470">
        <v>176</v>
      </c>
      <c r="I56" s="471">
        <v>143.69999999999999</v>
      </c>
      <c r="J56" s="470">
        <v>111.4</v>
      </c>
      <c r="K56" s="471">
        <v>75.25</v>
      </c>
      <c r="L56" s="470">
        <v>39.1</v>
      </c>
    </row>
    <row r="57" spans="1:12" x14ac:dyDescent="0.25">
      <c r="A57" s="438" t="s">
        <v>338</v>
      </c>
      <c r="B57" s="470">
        <v>157</v>
      </c>
      <c r="C57" s="471">
        <v>133.66666666666666</v>
      </c>
      <c r="D57" s="470">
        <v>122</v>
      </c>
      <c r="E57" s="471">
        <v>118.8125</v>
      </c>
      <c r="F57" s="471">
        <v>102.875</v>
      </c>
      <c r="G57" s="471">
        <v>86.9375</v>
      </c>
      <c r="H57" s="470">
        <v>71</v>
      </c>
      <c r="I57" s="471">
        <v>58</v>
      </c>
      <c r="J57" s="470">
        <v>45</v>
      </c>
      <c r="K57" s="471">
        <v>30.4</v>
      </c>
      <c r="L57" s="470">
        <v>15.8</v>
      </c>
    </row>
    <row r="58" spans="1:12" x14ac:dyDescent="0.25">
      <c r="A58" s="438" t="s">
        <v>339</v>
      </c>
      <c r="B58" s="470">
        <v>160</v>
      </c>
      <c r="C58" s="471">
        <v>159.33333333333334</v>
      </c>
      <c r="D58" s="470">
        <v>159</v>
      </c>
      <c r="E58" s="471">
        <v>155.11250000000001</v>
      </c>
      <c r="F58" s="471">
        <v>135.67500000000001</v>
      </c>
      <c r="G58" s="471">
        <v>116.2375</v>
      </c>
      <c r="H58" s="470">
        <v>96.8</v>
      </c>
      <c r="I58" s="471">
        <v>79.05</v>
      </c>
      <c r="J58" s="470">
        <v>61.3</v>
      </c>
      <c r="K58" s="471">
        <v>41.4</v>
      </c>
      <c r="L58" s="470">
        <v>21.5</v>
      </c>
    </row>
    <row r="59" spans="1:12" x14ac:dyDescent="0.25">
      <c r="A59" s="438" t="s">
        <v>340</v>
      </c>
      <c r="B59" s="470">
        <v>167</v>
      </c>
      <c r="C59" s="471">
        <v>164.33333333333334</v>
      </c>
      <c r="D59" s="470">
        <v>163</v>
      </c>
      <c r="E59" s="471">
        <v>160.88124999999999</v>
      </c>
      <c r="F59" s="471">
        <v>150.28749999999999</v>
      </c>
      <c r="G59" s="471">
        <v>139.69374999999999</v>
      </c>
      <c r="H59" s="470">
        <v>129.1</v>
      </c>
      <c r="I59" s="471">
        <v>105.4</v>
      </c>
      <c r="J59" s="470">
        <v>81.7</v>
      </c>
      <c r="K59" s="471">
        <v>55.2</v>
      </c>
      <c r="L59" s="470">
        <v>28.7</v>
      </c>
    </row>
    <row r="60" spans="1:12" x14ac:dyDescent="0.25">
      <c r="A60" s="438" t="s">
        <v>341</v>
      </c>
      <c r="B60" s="470">
        <v>4</v>
      </c>
      <c r="C60" s="471">
        <v>4</v>
      </c>
      <c r="D60" s="470">
        <v>4</v>
      </c>
      <c r="E60" s="471">
        <v>3.96875</v>
      </c>
      <c r="F60" s="471">
        <v>3.8125</v>
      </c>
      <c r="G60" s="471">
        <v>3.65625</v>
      </c>
      <c r="H60" s="470">
        <v>3.5</v>
      </c>
      <c r="I60" s="471">
        <v>2.85</v>
      </c>
      <c r="J60" s="470">
        <v>2.2000000000000002</v>
      </c>
      <c r="K60" s="471">
        <v>1.5</v>
      </c>
      <c r="L60" s="470">
        <v>0.8</v>
      </c>
    </row>
    <row r="61" spans="1:12" x14ac:dyDescent="0.25">
      <c r="A61" s="438" t="s">
        <v>342</v>
      </c>
      <c r="B61" s="442">
        <v>0</v>
      </c>
      <c r="C61" s="444">
        <v>0</v>
      </c>
      <c r="D61" s="443">
        <v>0</v>
      </c>
      <c r="E61" s="444">
        <v>0</v>
      </c>
      <c r="F61" s="444">
        <v>0</v>
      </c>
      <c r="G61" s="444">
        <v>0</v>
      </c>
      <c r="H61" s="443">
        <v>0</v>
      </c>
      <c r="I61" s="444">
        <v>0</v>
      </c>
      <c r="J61" s="443">
        <v>0</v>
      </c>
      <c r="K61" s="444">
        <v>0</v>
      </c>
      <c r="L61" s="443">
        <v>0</v>
      </c>
    </row>
    <row r="62" spans="1:12" x14ac:dyDescent="0.25">
      <c r="A62" s="441" t="s">
        <v>343</v>
      </c>
      <c r="B62" s="453">
        <v>866</v>
      </c>
      <c r="C62" s="454">
        <v>816.66666666666674</v>
      </c>
      <c r="D62" s="453">
        <v>792</v>
      </c>
      <c r="E62" s="454">
        <v>772.27499999999998</v>
      </c>
      <c r="F62" s="454">
        <v>673.65</v>
      </c>
      <c r="G62" s="454">
        <v>575.02499999999998</v>
      </c>
      <c r="H62" s="453">
        <v>476.4</v>
      </c>
      <c r="I62" s="454">
        <v>389</v>
      </c>
      <c r="J62" s="453">
        <v>301.59999999999997</v>
      </c>
      <c r="K62" s="454">
        <v>203.75</v>
      </c>
      <c r="L62" s="453">
        <v>105.9</v>
      </c>
    </row>
    <row r="63" spans="1:12" x14ac:dyDescent="0.25">
      <c r="A63" s="440"/>
      <c r="B63" s="440"/>
      <c r="C63" s="458"/>
      <c r="D63" s="440"/>
      <c r="E63" s="440"/>
      <c r="F63" s="440"/>
      <c r="G63" s="440"/>
      <c r="H63" s="440"/>
      <c r="I63" s="440"/>
      <c r="J63" s="440"/>
      <c r="K63" s="440"/>
      <c r="L63" s="440"/>
    </row>
    <row r="64" spans="1:12" x14ac:dyDescent="0.25">
      <c r="A64" s="448"/>
      <c r="B64" s="448">
        <v>2005</v>
      </c>
      <c r="C64" s="462">
        <v>2011</v>
      </c>
      <c r="D64" s="448">
        <v>2014</v>
      </c>
      <c r="E64" s="462">
        <v>2015</v>
      </c>
      <c r="F64" s="462">
        <v>2020</v>
      </c>
      <c r="G64" s="462">
        <v>2025</v>
      </c>
      <c r="H64" s="450">
        <v>2030</v>
      </c>
      <c r="I64" s="462">
        <v>2035</v>
      </c>
      <c r="J64" s="451">
        <v>2040</v>
      </c>
      <c r="K64" s="462">
        <v>2045</v>
      </c>
      <c r="L64" s="451">
        <v>2050</v>
      </c>
    </row>
    <row r="65" spans="1:12" x14ac:dyDescent="0.25">
      <c r="A65" s="438" t="s">
        <v>337</v>
      </c>
      <c r="B65" s="434">
        <f>B56/B$62</f>
        <v>0.43648960739030024</v>
      </c>
      <c r="C65" s="463">
        <f t="shared" ref="C65:L65" si="1">C56/C$62</f>
        <v>0.43510204081632647</v>
      </c>
      <c r="D65" s="434">
        <f t="shared" si="1"/>
        <v>0.43434343434343436</v>
      </c>
      <c r="E65" s="463">
        <f t="shared" si="1"/>
        <v>0.431840989284905</v>
      </c>
      <c r="F65" s="463">
        <f t="shared" si="1"/>
        <v>0.41713055741111854</v>
      </c>
      <c r="G65" s="463">
        <f t="shared" si="1"/>
        <v>0.39737402721620801</v>
      </c>
      <c r="H65" s="434">
        <f t="shared" si="1"/>
        <v>0.36943744752308988</v>
      </c>
      <c r="I65" s="463">
        <f t="shared" si="1"/>
        <v>0.36940874035989713</v>
      </c>
      <c r="J65" s="434">
        <f t="shared" si="1"/>
        <v>0.36936339522546424</v>
      </c>
      <c r="K65" s="463">
        <f t="shared" si="1"/>
        <v>0.36932515337423311</v>
      </c>
      <c r="L65" s="434">
        <f t="shared" si="1"/>
        <v>0.36921624173748818</v>
      </c>
    </row>
    <row r="66" spans="1:12" x14ac:dyDescent="0.25">
      <c r="A66" s="438" t="s">
        <v>338</v>
      </c>
      <c r="B66" s="434">
        <f t="shared" ref="B66:L71" si="2">B57/B$62</f>
        <v>0.1812933025404157</v>
      </c>
      <c r="C66" s="463">
        <f t="shared" si="2"/>
        <v>0.16367346938775507</v>
      </c>
      <c r="D66" s="434">
        <f t="shared" si="2"/>
        <v>0.15404040404040403</v>
      </c>
      <c r="E66" s="463">
        <f t="shared" si="2"/>
        <v>0.15384739891877894</v>
      </c>
      <c r="F66" s="463">
        <f t="shared" si="2"/>
        <v>0.15271283307355452</v>
      </c>
      <c r="G66" s="463">
        <f t="shared" si="2"/>
        <v>0.15118907873570714</v>
      </c>
      <c r="H66" s="434">
        <f t="shared" si="2"/>
        <v>0.14903442485306465</v>
      </c>
      <c r="I66" s="463">
        <f t="shared" si="2"/>
        <v>0.14910025706940874</v>
      </c>
      <c r="J66" s="434">
        <f t="shared" si="2"/>
        <v>0.14920424403183025</v>
      </c>
      <c r="K66" s="463">
        <f t="shared" si="2"/>
        <v>0.14920245398773005</v>
      </c>
      <c r="L66" s="434">
        <f t="shared" si="2"/>
        <v>0.14919735599622286</v>
      </c>
    </row>
    <row r="67" spans="1:12" x14ac:dyDescent="0.25">
      <c r="A67" s="438" t="s">
        <v>339</v>
      </c>
      <c r="B67" s="434">
        <f t="shared" si="2"/>
        <v>0.18475750577367206</v>
      </c>
      <c r="C67" s="463">
        <f t="shared" si="2"/>
        <v>0.19510204081632651</v>
      </c>
      <c r="D67" s="434">
        <f t="shared" si="2"/>
        <v>0.20075757575757575</v>
      </c>
      <c r="E67" s="463">
        <f t="shared" si="2"/>
        <v>0.20085138066103397</v>
      </c>
      <c r="F67" s="463">
        <f t="shared" si="2"/>
        <v>0.20140280561122248</v>
      </c>
      <c r="G67" s="463">
        <f t="shared" si="2"/>
        <v>0.20214338507021434</v>
      </c>
      <c r="H67" s="434">
        <f t="shared" si="2"/>
        <v>0.20319059613769941</v>
      </c>
      <c r="I67" s="463">
        <f t="shared" si="2"/>
        <v>0.20321336760925449</v>
      </c>
      <c r="J67" s="434">
        <f t="shared" si="2"/>
        <v>0.20324933687002653</v>
      </c>
      <c r="K67" s="463">
        <f t="shared" si="2"/>
        <v>0.20319018404907974</v>
      </c>
      <c r="L67" s="434">
        <f t="shared" si="2"/>
        <v>0.20302171860245513</v>
      </c>
    </row>
    <row r="68" spans="1:12" x14ac:dyDescent="0.25">
      <c r="A68" s="438" t="s">
        <v>340</v>
      </c>
      <c r="B68" s="434">
        <f t="shared" si="2"/>
        <v>0.19284064665127021</v>
      </c>
      <c r="C68" s="463">
        <f t="shared" si="2"/>
        <v>0.20122448979591837</v>
      </c>
      <c r="D68" s="434">
        <f t="shared" si="2"/>
        <v>0.2058080808080808</v>
      </c>
      <c r="E68" s="463">
        <f t="shared" si="2"/>
        <v>0.20832119387523873</v>
      </c>
      <c r="F68" s="463">
        <f t="shared" si="2"/>
        <v>0.22309433682179172</v>
      </c>
      <c r="G68" s="463">
        <f t="shared" si="2"/>
        <v>0.24293508977870526</v>
      </c>
      <c r="H68" s="434">
        <f t="shared" si="2"/>
        <v>0.27099076406381195</v>
      </c>
      <c r="I68" s="463">
        <f t="shared" si="2"/>
        <v>0.27095115681233933</v>
      </c>
      <c r="J68" s="434">
        <f t="shared" si="2"/>
        <v>0.27088859416445626</v>
      </c>
      <c r="K68" s="463">
        <f t="shared" si="2"/>
        <v>0.27092024539877302</v>
      </c>
      <c r="L68" s="434">
        <f t="shared" si="2"/>
        <v>0.27101038715769593</v>
      </c>
    </row>
    <row r="69" spans="1:12" x14ac:dyDescent="0.25">
      <c r="A69" s="438" t="s">
        <v>341</v>
      </c>
      <c r="B69" s="434">
        <f t="shared" si="2"/>
        <v>4.6189376443418013E-3</v>
      </c>
      <c r="C69" s="463">
        <f t="shared" si="2"/>
        <v>4.8979591836734691E-3</v>
      </c>
      <c r="D69" s="434">
        <f t="shared" si="2"/>
        <v>5.0505050505050509E-3</v>
      </c>
      <c r="E69" s="463">
        <f t="shared" si="2"/>
        <v>5.1390372600433783E-3</v>
      </c>
      <c r="F69" s="463">
        <f t="shared" si="2"/>
        <v>5.6594670823127743E-3</v>
      </c>
      <c r="G69" s="463">
        <f t="shared" si="2"/>
        <v>6.3584191991652543E-3</v>
      </c>
      <c r="H69" s="434">
        <f t="shared" si="2"/>
        <v>7.3467674223341734E-3</v>
      </c>
      <c r="I69" s="463">
        <f t="shared" si="2"/>
        <v>7.3264781491002573E-3</v>
      </c>
      <c r="J69" s="434">
        <f t="shared" si="2"/>
        <v>7.2944297082228127E-3</v>
      </c>
      <c r="K69" s="463">
        <f t="shared" si="2"/>
        <v>7.3619631901840491E-3</v>
      </c>
      <c r="L69" s="434">
        <f t="shared" si="2"/>
        <v>7.5542965061378663E-3</v>
      </c>
    </row>
    <row r="70" spans="1:12" x14ac:dyDescent="0.25">
      <c r="A70" s="438" t="s">
        <v>342</v>
      </c>
      <c r="B70" s="434">
        <f t="shared" si="2"/>
        <v>0</v>
      </c>
      <c r="C70" s="463">
        <f t="shared" si="2"/>
        <v>0</v>
      </c>
      <c r="D70" s="434">
        <f t="shared" si="2"/>
        <v>0</v>
      </c>
      <c r="E70" s="463">
        <f t="shared" si="2"/>
        <v>0</v>
      </c>
      <c r="F70" s="463">
        <f t="shared" si="2"/>
        <v>0</v>
      </c>
      <c r="G70" s="463">
        <f t="shared" si="2"/>
        <v>0</v>
      </c>
      <c r="H70" s="434">
        <f t="shared" si="2"/>
        <v>0</v>
      </c>
      <c r="I70" s="463">
        <f t="shared" si="2"/>
        <v>0</v>
      </c>
      <c r="J70" s="434">
        <f t="shared" si="2"/>
        <v>0</v>
      </c>
      <c r="K70" s="463">
        <f t="shared" si="2"/>
        <v>0</v>
      </c>
      <c r="L70" s="434">
        <f t="shared" si="2"/>
        <v>0</v>
      </c>
    </row>
    <row r="71" spans="1:12" x14ac:dyDescent="0.25">
      <c r="A71" s="460" t="s">
        <v>343</v>
      </c>
      <c r="B71" s="461">
        <f t="shared" si="2"/>
        <v>1</v>
      </c>
      <c r="C71" s="464">
        <f t="shared" si="2"/>
        <v>1</v>
      </c>
      <c r="D71" s="461">
        <f t="shared" si="2"/>
        <v>1</v>
      </c>
      <c r="E71" s="464">
        <f t="shared" si="2"/>
        <v>1</v>
      </c>
      <c r="F71" s="464">
        <f t="shared" si="2"/>
        <v>1</v>
      </c>
      <c r="G71" s="464">
        <f t="shared" si="2"/>
        <v>1</v>
      </c>
      <c r="H71" s="461">
        <f t="shared" si="2"/>
        <v>1</v>
      </c>
      <c r="I71" s="464">
        <f t="shared" si="2"/>
        <v>1</v>
      </c>
      <c r="J71" s="461">
        <f t="shared" si="2"/>
        <v>1</v>
      </c>
      <c r="K71" s="464">
        <f t="shared" si="2"/>
        <v>1</v>
      </c>
      <c r="L71" s="461">
        <f t="shared" si="2"/>
        <v>1</v>
      </c>
    </row>
    <row r="72" spans="1:12" x14ac:dyDescent="0.25">
      <c r="A72" s="404"/>
      <c r="B72" s="459"/>
      <c r="C72" s="459"/>
      <c r="D72" s="459"/>
      <c r="E72" s="459"/>
      <c r="F72" s="459"/>
      <c r="G72" s="459"/>
      <c r="H72" s="459"/>
      <c r="I72" s="459"/>
      <c r="J72" s="459"/>
      <c r="K72" s="439"/>
      <c r="L72" s="452"/>
    </row>
    <row r="74" spans="1:12" x14ac:dyDescent="0.25">
      <c r="A74" s="466" t="s">
        <v>355</v>
      </c>
      <c r="B74" s="445" t="s">
        <v>359</v>
      </c>
      <c r="C74" s="445"/>
      <c r="D74" s="445"/>
      <c r="E74" s="445"/>
    </row>
    <row r="75" spans="1:12" x14ac:dyDescent="0.25">
      <c r="A75" s="376"/>
      <c r="B75" s="441">
        <v>1990</v>
      </c>
      <c r="C75" s="441">
        <v>2005</v>
      </c>
      <c r="D75" s="441">
        <v>2011</v>
      </c>
      <c r="E75" s="441">
        <v>2015</v>
      </c>
    </row>
    <row r="76" spans="1:12" x14ac:dyDescent="0.25">
      <c r="A76" s="404" t="s">
        <v>356</v>
      </c>
      <c r="B76" s="293">
        <v>1250.915</v>
      </c>
      <c r="C76" s="293">
        <v>991.93299999999999</v>
      </c>
      <c r="D76" s="293">
        <v>922.36300000000006</v>
      </c>
      <c r="E76" s="293">
        <v>901.93200000000002</v>
      </c>
    </row>
    <row r="77" spans="1:12" x14ac:dyDescent="0.25">
      <c r="A77" s="404" t="s">
        <v>357</v>
      </c>
      <c r="B77" s="293">
        <v>84.12</v>
      </c>
      <c r="C77" s="293">
        <v>87.29</v>
      </c>
      <c r="D77" s="293">
        <v>88.1</v>
      </c>
      <c r="E77" s="293">
        <v>87.82</v>
      </c>
    </row>
    <row r="78" spans="1:12" x14ac:dyDescent="0.25">
      <c r="A78" s="460" t="s">
        <v>358</v>
      </c>
      <c r="B78" s="465">
        <f>B76*B77/100</f>
        <v>1052.2696980000001</v>
      </c>
      <c r="C78" s="465">
        <f>C76*C77/100</f>
        <v>865.85831570000005</v>
      </c>
      <c r="D78" s="465">
        <f t="shared" ref="D78:E78" si="3">D76*D77/100</f>
        <v>812.6018029999999</v>
      </c>
      <c r="E78" s="465">
        <f t="shared" si="3"/>
        <v>792.07668239999998</v>
      </c>
      <c r="K78">
        <f>D92-C92</f>
        <v>-0.14748486004154038</v>
      </c>
    </row>
    <row r="79" spans="1:12" x14ac:dyDescent="0.25">
      <c r="A79" s="474" t="s">
        <v>362</v>
      </c>
      <c r="B79" s="438">
        <f>B78/D78*D79</f>
        <v>894.86759173933353</v>
      </c>
      <c r="D79" s="438">
        <v>691.05004152048696</v>
      </c>
      <c r="G79">
        <v>1000</v>
      </c>
    </row>
    <row r="81" spans="1:13" x14ac:dyDescent="0.25">
      <c r="A81" s="448"/>
      <c r="B81">
        <v>2011</v>
      </c>
      <c r="C81">
        <v>2015</v>
      </c>
      <c r="D81">
        <v>2020</v>
      </c>
      <c r="E81" s="438">
        <v>2025</v>
      </c>
      <c r="F81" s="438">
        <v>2030</v>
      </c>
      <c r="G81" s="438">
        <v>2035</v>
      </c>
      <c r="H81" s="438">
        <v>2040</v>
      </c>
      <c r="I81" s="438">
        <v>2045</v>
      </c>
      <c r="J81" s="438">
        <v>2050</v>
      </c>
    </row>
    <row r="82" spans="1:13" x14ac:dyDescent="0.25">
      <c r="A82" s="438" t="s">
        <v>337</v>
      </c>
      <c r="B82" s="68">
        <f>B$88*C65</f>
        <v>353.56470285632645</v>
      </c>
      <c r="C82" s="68">
        <f>C$88*E65</f>
        <v>342.05117811712148</v>
      </c>
      <c r="D82" s="68">
        <f>D$88*F65</f>
        <v>289.90573740072739</v>
      </c>
      <c r="E82" s="68">
        <f>E$88*G65</f>
        <v>231.12289142698145</v>
      </c>
      <c r="F82" s="468">
        <f>H56</f>
        <v>176</v>
      </c>
      <c r="G82">
        <f>I65*$G$88</f>
        <v>143.69999999999999</v>
      </c>
      <c r="H82" s="468">
        <f>J56</f>
        <v>111.4</v>
      </c>
      <c r="I82" s="68">
        <f>K65*$I$88</f>
        <v>75.25</v>
      </c>
      <c r="J82" s="468">
        <f>L56</f>
        <v>39.1</v>
      </c>
    </row>
    <row r="83" spans="1:13" x14ac:dyDescent="0.25">
      <c r="A83" s="438" t="s">
        <v>338</v>
      </c>
      <c r="B83" s="68">
        <f t="shared" ref="B83:B87" si="4">B$88*C66</f>
        <v>133.00135632775505</v>
      </c>
      <c r="C83" s="68">
        <f t="shared" ref="C83:E87" si="5">C$88*E66</f>
        <v>121.85893733145576</v>
      </c>
      <c r="D83" s="68">
        <f t="shared" si="5"/>
        <v>106.13541898612038</v>
      </c>
      <c r="E83" s="68">
        <f t="shared" si="5"/>
        <v>87.935432706491028</v>
      </c>
      <c r="F83" s="468">
        <f t="shared" ref="F83:F88" si="6">H57</f>
        <v>71</v>
      </c>
      <c r="G83" s="438">
        <f t="shared" ref="G83:G86" si="7">I66*$G$88</f>
        <v>58</v>
      </c>
      <c r="H83" s="468">
        <f t="shared" ref="H83:H88" si="8">J57</f>
        <v>45</v>
      </c>
      <c r="I83" s="68">
        <f t="shared" ref="I83:I86" si="9">K66*$I$88</f>
        <v>30.4</v>
      </c>
      <c r="J83" s="468">
        <f t="shared" ref="J83:J88" si="10">L57</f>
        <v>15.8</v>
      </c>
    </row>
    <row r="84" spans="1:13" x14ac:dyDescent="0.25">
      <c r="A84" s="438" t="s">
        <v>339</v>
      </c>
      <c r="B84" s="68">
        <f t="shared" si="4"/>
        <v>158.54027013632648</v>
      </c>
      <c r="C84" s="68">
        <f t="shared" si="5"/>
        <v>159.0896952494513</v>
      </c>
      <c r="D84" s="68">
        <f t="shared" si="5"/>
        <v>139.97494989979961</v>
      </c>
      <c r="E84" s="68">
        <f t="shared" si="5"/>
        <v>117.57175970347377</v>
      </c>
      <c r="F84" s="468">
        <f t="shared" si="6"/>
        <v>96.8</v>
      </c>
      <c r="G84" s="438">
        <f t="shared" si="7"/>
        <v>79.05</v>
      </c>
      <c r="H84" s="468">
        <f t="shared" si="8"/>
        <v>61.3</v>
      </c>
      <c r="I84" s="68">
        <f t="shared" si="9"/>
        <v>41.4</v>
      </c>
      <c r="J84" s="468">
        <f t="shared" si="10"/>
        <v>21.5</v>
      </c>
    </row>
    <row r="85" spans="1:13" x14ac:dyDescent="0.25">
      <c r="A85" s="438" t="s">
        <v>340</v>
      </c>
      <c r="B85" s="68">
        <f t="shared" si="4"/>
        <v>163.51538321591835</v>
      </c>
      <c r="C85" s="68">
        <f t="shared" si="5"/>
        <v>165.00636011830628</v>
      </c>
      <c r="D85" s="68">
        <f t="shared" si="5"/>
        <v>155.05056409114525</v>
      </c>
      <c r="E85" s="68">
        <f t="shared" si="5"/>
        <v>141.2972578305378</v>
      </c>
      <c r="F85" s="468">
        <f t="shared" si="6"/>
        <v>129.1</v>
      </c>
      <c r="G85" s="438">
        <f t="shared" si="7"/>
        <v>105.4</v>
      </c>
      <c r="H85" s="468">
        <f t="shared" si="8"/>
        <v>81.7</v>
      </c>
      <c r="I85" s="68">
        <f t="shared" si="9"/>
        <v>55.2</v>
      </c>
      <c r="J85" s="468">
        <f t="shared" si="10"/>
        <v>28.7</v>
      </c>
    </row>
    <row r="86" spans="1:13" x14ac:dyDescent="0.25">
      <c r="A86" s="438" t="s">
        <v>341</v>
      </c>
      <c r="B86" s="68">
        <f t="shared" si="4"/>
        <v>3.9800904636734686</v>
      </c>
      <c r="C86" s="68">
        <f t="shared" si="5"/>
        <v>4.0705115836651453</v>
      </c>
      <c r="D86" s="68">
        <f t="shared" si="5"/>
        <v>3.9333296222073781</v>
      </c>
      <c r="E86" s="68">
        <f t="shared" si="5"/>
        <v>3.6982191325159781</v>
      </c>
      <c r="F86" s="468">
        <f t="shared" si="6"/>
        <v>3.5</v>
      </c>
      <c r="G86" s="438">
        <f t="shared" si="7"/>
        <v>2.85</v>
      </c>
      <c r="H86" s="468">
        <f t="shared" si="8"/>
        <v>2.2000000000000002</v>
      </c>
      <c r="I86" s="68">
        <f t="shared" si="9"/>
        <v>1.5</v>
      </c>
      <c r="J86" s="468">
        <f t="shared" si="10"/>
        <v>0.8</v>
      </c>
    </row>
    <row r="87" spans="1:13" x14ac:dyDescent="0.25">
      <c r="A87" s="438" t="s">
        <v>342</v>
      </c>
      <c r="B87" s="68">
        <f t="shared" si="4"/>
        <v>0</v>
      </c>
      <c r="C87" s="68">
        <f t="shared" si="5"/>
        <v>0</v>
      </c>
      <c r="D87" s="68">
        <f t="shared" si="5"/>
        <v>0</v>
      </c>
      <c r="E87" s="68">
        <f t="shared" si="5"/>
        <v>0</v>
      </c>
      <c r="F87" s="468">
        <v>0</v>
      </c>
      <c r="G87" s="438">
        <v>0</v>
      </c>
      <c r="H87" s="468">
        <v>0</v>
      </c>
      <c r="I87" s="68">
        <v>0</v>
      </c>
      <c r="J87" s="468">
        <v>0</v>
      </c>
    </row>
    <row r="88" spans="1:13" x14ac:dyDescent="0.25">
      <c r="A88" s="460" t="s">
        <v>343</v>
      </c>
      <c r="B88" s="467">
        <f>D78</f>
        <v>812.6018029999999</v>
      </c>
      <c r="C88" s="467">
        <f>E78</f>
        <v>792.07668239999998</v>
      </c>
      <c r="D88" s="467">
        <v>695</v>
      </c>
      <c r="E88" s="467">
        <f>$C$88-($C$88-$F$88)/($F$81-$C$81)*(E81-$C$81)</f>
        <v>581.62556080000002</v>
      </c>
      <c r="F88" s="469">
        <f t="shared" si="6"/>
        <v>476.4</v>
      </c>
      <c r="G88" s="467">
        <f>AVERAGE(F88,H88)</f>
        <v>389</v>
      </c>
      <c r="H88" s="469">
        <f t="shared" si="8"/>
        <v>301.59999999999997</v>
      </c>
      <c r="I88" s="467">
        <f>AVERAGE(H88,J88)</f>
        <v>203.75</v>
      </c>
      <c r="J88" s="469">
        <f t="shared" si="10"/>
        <v>105.9</v>
      </c>
      <c r="M88" s="472">
        <f>J88/B78</f>
        <v>0.10063959857561156</v>
      </c>
    </row>
    <row r="89" spans="1:13" ht="15.75" thickBot="1" x14ac:dyDescent="0.3"/>
    <row r="90" spans="1:13" ht="15.75" thickBot="1" x14ac:dyDescent="0.3">
      <c r="A90" s="555" t="s">
        <v>360</v>
      </c>
      <c r="B90" s="556"/>
      <c r="C90" s="378"/>
      <c r="D90" s="378"/>
      <c r="E90" s="378"/>
      <c r="F90" s="378"/>
      <c r="G90" s="378"/>
      <c r="H90" s="378"/>
      <c r="I90" s="378"/>
      <c r="J90" s="379"/>
    </row>
    <row r="91" spans="1:13" x14ac:dyDescent="0.25">
      <c r="A91" s="377"/>
      <c r="B91" s="399">
        <v>2011</v>
      </c>
      <c r="C91" s="399">
        <v>2015</v>
      </c>
      <c r="D91" s="399">
        <v>2020</v>
      </c>
      <c r="E91" s="399">
        <v>2025</v>
      </c>
      <c r="F91" s="399">
        <v>2030</v>
      </c>
      <c r="G91" s="399">
        <v>2035</v>
      </c>
      <c r="H91" s="399">
        <v>2040</v>
      </c>
      <c r="I91" s="399">
        <v>2045</v>
      </c>
      <c r="J91" s="400">
        <v>2050</v>
      </c>
    </row>
    <row r="92" spans="1:13" x14ac:dyDescent="0.25">
      <c r="A92" s="402" t="s">
        <v>337</v>
      </c>
      <c r="B92" s="293">
        <f>B82/$B82</f>
        <v>1</v>
      </c>
      <c r="C92" s="293">
        <f t="shared" ref="C92:D92" si="11">C82/$B82</f>
        <v>0.96743587624502336</v>
      </c>
      <c r="D92" s="293">
        <f t="shared" si="11"/>
        <v>0.81995101620348299</v>
      </c>
      <c r="E92" s="293">
        <f>[12]Minderungserfordernisse!K69</f>
        <v>0.64097709457527097</v>
      </c>
      <c r="F92" s="293">
        <f>[12]Minderungserfordernisse!L69</f>
        <v>0.50029419564195221</v>
      </c>
      <c r="G92" s="293">
        <f>[12]Minderungserfordernisse!M69</f>
        <v>0.40503841399463658</v>
      </c>
      <c r="H92" s="293">
        <f>[12]Minderungserfordernisse!N69</f>
        <v>0.30978263234732106</v>
      </c>
      <c r="I92" s="293">
        <f>[12]Minderungserfordernisse!O69</f>
        <v>0.18012843907049869</v>
      </c>
      <c r="J92" s="386">
        <f>[12]Minderungserfordernisse!P69</f>
        <v>5.0474245793676334E-2</v>
      </c>
    </row>
    <row r="93" spans="1:13" x14ac:dyDescent="0.25">
      <c r="A93" s="402" t="s">
        <v>338</v>
      </c>
      <c r="B93" s="293">
        <f t="shared" ref="B93:D95" si="12">B83/$B83</f>
        <v>1</v>
      </c>
      <c r="C93" s="293">
        <f t="shared" si="12"/>
        <v>0.9162232679128397</v>
      </c>
      <c r="D93" s="293">
        <f t="shared" si="12"/>
        <v>0.7980025310762322</v>
      </c>
      <c r="E93" s="293">
        <f>[12]Minderungserfordernisse!K70</f>
        <v>0.72542184573217083</v>
      </c>
      <c r="F93" s="293">
        <f>[12]Minderungserfordernisse!L70</f>
        <v>0.57403179920756398</v>
      </c>
      <c r="G93" s="293">
        <f>[12]Minderungserfordernisse!M70</f>
        <v>0.46473641221277978</v>
      </c>
      <c r="H93" s="293">
        <f>[12]Minderungserfordernisse!N70</f>
        <v>0.3554410252179957</v>
      </c>
      <c r="I93" s="293">
        <f>[12]Minderungserfordernisse!O70</f>
        <v>0.2066772968161493</v>
      </c>
      <c r="J93" s="386">
        <f>[12]Minderungserfordernisse!P70</f>
        <v>5.7913568414302882E-2</v>
      </c>
    </row>
    <row r="94" spans="1:13" x14ac:dyDescent="0.25">
      <c r="A94" s="402" t="s">
        <v>339</v>
      </c>
      <c r="B94" s="293">
        <f t="shared" si="12"/>
        <v>1</v>
      </c>
      <c r="C94" s="293">
        <f t="shared" si="12"/>
        <v>1.0034655240126207</v>
      </c>
      <c r="D94" s="293">
        <f t="shared" si="12"/>
        <v>0.88289839407638937</v>
      </c>
      <c r="E94" s="293">
        <f>[12]Minderungserfordernisse!K71</f>
        <v>0.84626080891585131</v>
      </c>
      <c r="F94" s="293">
        <f>[12]Minderungserfordernisse!L71</f>
        <v>0.65085090289525427</v>
      </c>
      <c r="G94" s="293">
        <f>[12]Minderungserfordernisse!M71</f>
        <v>0.52692919436614227</v>
      </c>
      <c r="H94" s="293">
        <f>[12]Minderungserfordernisse!N71</f>
        <v>0.40300748583703039</v>
      </c>
      <c r="I94" s="293">
        <f>[12]Minderungserfordernisse!O71</f>
        <v>0.23433563336811175</v>
      </c>
      <c r="J94" s="386">
        <f>[12]Minderungserfordernisse!P71</f>
        <v>6.5663780899193169E-2</v>
      </c>
    </row>
    <row r="95" spans="1:13" x14ac:dyDescent="0.25">
      <c r="A95" s="402" t="s">
        <v>340</v>
      </c>
      <c r="B95" s="293">
        <f t="shared" si="12"/>
        <v>1</v>
      </c>
      <c r="C95" s="293">
        <f t="shared" si="12"/>
        <v>1.0091182668753504</v>
      </c>
      <c r="D95" s="293">
        <f t="shared" si="12"/>
        <v>0.94823227663176191</v>
      </c>
      <c r="E95" s="293">
        <f>[12]Minderungserfordernisse!K72</f>
        <v>0.84013464900568657</v>
      </c>
      <c r="F95" s="293">
        <f>[12]Minderungserfordernisse!L72</f>
        <v>0.76564922538180624</v>
      </c>
      <c r="G95" s="293">
        <f>[12]Minderungserfordernisse!M72</f>
        <v>0.61986996976237552</v>
      </c>
      <c r="H95" s="293">
        <f>[12]Minderungserfordernisse!N72</f>
        <v>0.47409071414294485</v>
      </c>
      <c r="I95" s="293">
        <f>[12]Minderungserfordernisse!O72</f>
        <v>0.27566819892162736</v>
      </c>
      <c r="J95" s="386">
        <f>[12]Minderungserfordernisse!P72</f>
        <v>7.7245683700309847E-2</v>
      </c>
    </row>
    <row r="96" spans="1:13" x14ac:dyDescent="0.25">
      <c r="A96" s="402"/>
      <c r="B96" s="293"/>
      <c r="C96" s="293"/>
      <c r="D96" s="293"/>
      <c r="E96" s="293"/>
      <c r="F96" s="293"/>
      <c r="G96" s="293"/>
      <c r="H96" s="293"/>
      <c r="I96" s="293"/>
      <c r="J96" s="386"/>
    </row>
    <row r="97" spans="1:10" ht="15.75" thickBot="1" x14ac:dyDescent="0.3">
      <c r="A97" s="401"/>
      <c r="B97" s="88"/>
      <c r="C97" s="88"/>
      <c r="D97" s="88"/>
      <c r="E97" s="88"/>
      <c r="F97" s="88"/>
      <c r="G97" s="88"/>
      <c r="H97" s="88"/>
      <c r="I97" s="88"/>
      <c r="J97" s="388"/>
    </row>
    <row r="98" spans="1:10" x14ac:dyDescent="0.25">
      <c r="A98" s="382"/>
      <c r="B98" s="293"/>
      <c r="C98" s="293"/>
      <c r="D98" s="293"/>
      <c r="E98" s="293"/>
      <c r="F98" s="293"/>
      <c r="G98" s="293"/>
      <c r="H98" s="293"/>
      <c r="I98" s="293"/>
      <c r="J98" s="386"/>
    </row>
    <row r="99" spans="1:10" x14ac:dyDescent="0.25">
      <c r="A99" s="382"/>
      <c r="B99" s="293"/>
      <c r="C99" s="293"/>
      <c r="D99" s="293"/>
      <c r="E99" s="293"/>
      <c r="F99" s="293"/>
      <c r="G99" s="293"/>
      <c r="H99" s="293"/>
      <c r="I99" s="293"/>
      <c r="J99" s="386"/>
    </row>
    <row r="100" spans="1:10" ht="15.75" thickBot="1" x14ac:dyDescent="0.3">
      <c r="A100" s="557" t="s">
        <v>361</v>
      </c>
      <c r="B100" s="558"/>
      <c r="C100" s="293"/>
      <c r="D100" s="293"/>
      <c r="E100" s="293"/>
      <c r="F100" s="293"/>
      <c r="G100" s="293"/>
      <c r="H100" s="293"/>
      <c r="I100" s="293"/>
      <c r="J100" s="386"/>
    </row>
    <row r="101" spans="1:10" x14ac:dyDescent="0.25">
      <c r="A101" s="377"/>
      <c r="B101" s="399">
        <v>2011</v>
      </c>
      <c r="C101" s="399">
        <v>2015</v>
      </c>
      <c r="D101" s="399">
        <v>2020</v>
      </c>
      <c r="E101" s="399">
        <v>2025</v>
      </c>
      <c r="F101" s="399">
        <v>2030</v>
      </c>
      <c r="G101" s="399">
        <v>2035</v>
      </c>
      <c r="H101" s="399">
        <v>2040</v>
      </c>
      <c r="I101" s="399">
        <v>2045</v>
      </c>
      <c r="J101" s="400">
        <v>2050</v>
      </c>
    </row>
    <row r="102" spans="1:10" ht="15.75" thickBot="1" x14ac:dyDescent="0.3">
      <c r="A102" s="401" t="s">
        <v>89</v>
      </c>
      <c r="B102" s="88">
        <f>B88/$B$88</f>
        <v>1</v>
      </c>
      <c r="C102" s="88">
        <f t="shared" ref="C102" si="13">C88/$B$88</f>
        <v>0.97474147789947752</v>
      </c>
      <c r="D102" s="88">
        <f>D88/$B$88</f>
        <v>0.85527745254092191</v>
      </c>
      <c r="E102" s="88">
        <f>[12]Minderungserfordernisse!K73</f>
        <v>0.71428977624631373</v>
      </c>
      <c r="F102" s="88">
        <f>[12]Minderungserfordernisse!L73</f>
        <v>0.57709347961216995</v>
      </c>
      <c r="G102" s="88">
        <f>[12]Minderungserfordernisse!M73</f>
        <v>0.46721515009549469</v>
      </c>
      <c r="H102" s="88">
        <f>[12]Minderungserfordernisse!N73</f>
        <v>0.35733682057881944</v>
      </c>
      <c r="I102" s="88">
        <f>[12]Minderungserfordernisse!O73</f>
        <v>0.20777963963167362</v>
      </c>
      <c r="J102" s="88">
        <f>[12]Minderungserfordernisse!P73</f>
        <v>5.8222458684527745E-2</v>
      </c>
    </row>
  </sheetData>
  <mergeCells count="2">
    <mergeCell ref="A90:B90"/>
    <mergeCell ref="A100:B100"/>
  </mergeCells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W47"/>
  <sheetViews>
    <sheetView workbookViewId="0">
      <selection activeCell="D55" sqref="D55"/>
    </sheetView>
  </sheetViews>
  <sheetFormatPr defaultColWidth="11.42578125" defaultRowHeight="15" x14ac:dyDescent="0.25"/>
  <sheetData>
    <row r="1" spans="1:14" x14ac:dyDescent="0.25">
      <c r="A1" s="431" t="s">
        <v>346</v>
      </c>
      <c r="B1" s="431"/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</row>
    <row r="3" spans="1:14" x14ac:dyDescent="0.25">
      <c r="A3" s="431" t="s">
        <v>299</v>
      </c>
      <c r="B3" s="431"/>
      <c r="C3" s="431"/>
      <c r="D3" s="431">
        <v>1990</v>
      </c>
      <c r="E3" s="431">
        <v>2005</v>
      </c>
      <c r="F3" s="431"/>
      <c r="G3" s="431">
        <v>2014</v>
      </c>
      <c r="H3" s="431"/>
      <c r="I3" s="431">
        <v>2030</v>
      </c>
      <c r="J3" s="431"/>
      <c r="K3" s="431">
        <v>2040</v>
      </c>
      <c r="L3" s="431"/>
      <c r="M3" s="431">
        <v>2050</v>
      </c>
      <c r="N3" s="431"/>
    </row>
    <row r="4" spans="1:14" x14ac:dyDescent="0.25">
      <c r="A4" s="431" t="s">
        <v>300</v>
      </c>
      <c r="B4" s="431" t="s">
        <v>301</v>
      </c>
      <c r="C4" s="431"/>
      <c r="D4" s="431" t="s">
        <v>302</v>
      </c>
      <c r="E4" s="431" t="s">
        <v>302</v>
      </c>
      <c r="F4" s="435" t="s">
        <v>303</v>
      </c>
      <c r="G4" s="431" t="s">
        <v>302</v>
      </c>
      <c r="H4" s="435" t="s">
        <v>303</v>
      </c>
      <c r="I4" s="431" t="s">
        <v>302</v>
      </c>
      <c r="J4" s="435" t="s">
        <v>303</v>
      </c>
      <c r="K4" s="431" t="s">
        <v>302</v>
      </c>
      <c r="L4" s="435" t="s">
        <v>303</v>
      </c>
      <c r="M4" s="431" t="s">
        <v>302</v>
      </c>
      <c r="N4" s="435" t="s">
        <v>303</v>
      </c>
    </row>
    <row r="5" spans="1:14" x14ac:dyDescent="0.25">
      <c r="A5" s="431" t="s">
        <v>304</v>
      </c>
      <c r="B5" s="431" t="s">
        <v>305</v>
      </c>
      <c r="C5" s="431" t="s">
        <v>306</v>
      </c>
      <c r="D5" s="433">
        <v>427.97036000000003</v>
      </c>
      <c r="E5" s="433">
        <v>378.45865951654002</v>
      </c>
      <c r="F5" s="434">
        <v>0.11568955495763772</v>
      </c>
      <c r="G5" s="433">
        <v>343.81085999999999</v>
      </c>
      <c r="H5" s="434">
        <v>0.19664796412536614</v>
      </c>
      <c r="I5" s="433">
        <v>175.95944399927788</v>
      </c>
      <c r="J5" s="434">
        <v>0.58885133073403062</v>
      </c>
      <c r="K5" s="433">
        <v>106.94671821704021</v>
      </c>
      <c r="L5" s="434">
        <v>0.7501071844857663</v>
      </c>
      <c r="M5" s="433">
        <v>29.392769302751606</v>
      </c>
      <c r="N5" s="434">
        <v>0.93132054915496576</v>
      </c>
    </row>
    <row r="6" spans="1:14" x14ac:dyDescent="0.25">
      <c r="A6" s="431"/>
      <c r="B6" s="431"/>
      <c r="C6" s="431" t="s">
        <v>307</v>
      </c>
      <c r="D6" s="431"/>
      <c r="E6" s="431"/>
      <c r="F6" s="431"/>
      <c r="G6" s="431"/>
      <c r="H6" s="434"/>
      <c r="I6" s="431"/>
      <c r="J6" s="434"/>
      <c r="K6" s="431"/>
      <c r="L6" s="434"/>
      <c r="M6" s="431"/>
      <c r="N6" s="434"/>
    </row>
    <row r="7" spans="1:14" x14ac:dyDescent="0.25">
      <c r="A7" s="431"/>
      <c r="B7" s="431"/>
      <c r="C7" s="431" t="s">
        <v>308</v>
      </c>
      <c r="D7" s="431"/>
      <c r="E7" s="431"/>
      <c r="F7" s="431"/>
      <c r="G7" s="431"/>
      <c r="H7" s="434"/>
      <c r="I7" s="431"/>
      <c r="J7" s="434"/>
      <c r="K7" s="431"/>
      <c r="L7" s="434"/>
      <c r="M7" s="431"/>
      <c r="N7" s="434"/>
    </row>
    <row r="8" spans="1:14" x14ac:dyDescent="0.25">
      <c r="A8" s="431"/>
      <c r="B8" s="431"/>
      <c r="C8" s="431" t="s">
        <v>309</v>
      </c>
      <c r="D8" s="431"/>
      <c r="E8" s="431"/>
      <c r="F8" s="431"/>
      <c r="G8" s="431"/>
      <c r="H8" s="434"/>
      <c r="I8" s="431"/>
      <c r="J8" s="434"/>
      <c r="K8" s="431"/>
      <c r="L8" s="434"/>
      <c r="M8" s="431"/>
      <c r="N8" s="434"/>
    </row>
    <row r="9" spans="1:14" x14ac:dyDescent="0.25">
      <c r="A9" s="431"/>
      <c r="B9" s="431"/>
      <c r="C9" s="431" t="s">
        <v>310</v>
      </c>
      <c r="D9" s="431"/>
      <c r="E9" s="431"/>
      <c r="F9" s="434"/>
      <c r="G9" s="431"/>
      <c r="H9" s="434"/>
      <c r="I9" s="431"/>
      <c r="J9" s="434"/>
      <c r="K9" s="431"/>
      <c r="L9" s="434"/>
      <c r="M9" s="431"/>
      <c r="N9" s="434"/>
    </row>
    <row r="10" spans="1:14" x14ac:dyDescent="0.25">
      <c r="A10" s="431" t="s">
        <v>311</v>
      </c>
      <c r="B10" s="431" t="s">
        <v>312</v>
      </c>
      <c r="C10" s="431" t="s">
        <v>313</v>
      </c>
      <c r="D10" s="433">
        <v>203.03066999999999</v>
      </c>
      <c r="E10" s="433">
        <v>156.87234034560001</v>
      </c>
      <c r="F10" s="434">
        <v>0.22734658588478274</v>
      </c>
      <c r="G10" s="433">
        <v>122.21073</v>
      </c>
      <c r="H10" s="434">
        <v>0.39806764170162073</v>
      </c>
      <c r="I10" s="433">
        <v>70.991696979339949</v>
      </c>
      <c r="J10" s="434">
        <v>0.6503400349349191</v>
      </c>
      <c r="K10" s="433">
        <v>43.148175738894324</v>
      </c>
      <c r="L10" s="434">
        <v>0.78747951854321152</v>
      </c>
      <c r="M10" s="433">
        <v>11.858656314765071</v>
      </c>
      <c r="N10" s="434">
        <v>0.9415917983486678</v>
      </c>
    </row>
    <row r="11" spans="1:14" x14ac:dyDescent="0.25">
      <c r="A11" s="431" t="s">
        <v>314</v>
      </c>
      <c r="B11" s="431" t="s">
        <v>315</v>
      </c>
      <c r="C11" s="431" t="s">
        <v>316</v>
      </c>
      <c r="D11" s="433">
        <v>161.88240999999999</v>
      </c>
      <c r="E11" s="433">
        <v>160.04445636493</v>
      </c>
      <c r="F11" s="434">
        <v>1.1353634005510505E-2</v>
      </c>
      <c r="G11" s="433">
        <v>159.46931000000001</v>
      </c>
      <c r="H11" s="434">
        <v>1.4906499106357423E-2</v>
      </c>
      <c r="I11" s="433">
        <v>96.763538777690059</v>
      </c>
      <c r="J11" s="434">
        <v>0.40226032724809285</v>
      </c>
      <c r="K11" s="433">
        <v>58.81209146912132</v>
      </c>
      <c r="L11" s="434">
        <v>0.63669869092558407</v>
      </c>
      <c r="M11" s="433">
        <v>16.163658554309677</v>
      </c>
      <c r="N11" s="434">
        <v>0.90015185371709205</v>
      </c>
    </row>
    <row r="12" spans="1:14" x14ac:dyDescent="0.25">
      <c r="A12" s="431" t="s">
        <v>317</v>
      </c>
      <c r="B12" s="431" t="s">
        <v>318</v>
      </c>
      <c r="C12" s="431" t="s">
        <v>319</v>
      </c>
      <c r="D12" s="433">
        <v>244.37368000000001</v>
      </c>
      <c r="E12" s="433">
        <v>166.52787358026001</v>
      </c>
      <c r="F12" s="434">
        <v>0.31855233517676701</v>
      </c>
      <c r="G12" s="433">
        <v>163.45577</v>
      </c>
      <c r="H12" s="434">
        <v>0.3311236709288824</v>
      </c>
      <c r="I12" s="433">
        <v>129.38939128148721</v>
      </c>
      <c r="J12" s="434">
        <v>0.47052648517022289</v>
      </c>
      <c r="K12" s="433">
        <v>89.066677519016906</v>
      </c>
      <c r="L12" s="434">
        <v>0.63553080872286694</v>
      </c>
      <c r="M12" s="433">
        <v>44.135261244525999</v>
      </c>
      <c r="N12" s="434">
        <v>0.81939437485851185</v>
      </c>
    </row>
    <row r="13" spans="1:14" x14ac:dyDescent="0.25">
      <c r="A13" s="431"/>
      <c r="B13" s="431"/>
      <c r="C13" s="431" t="s">
        <v>320</v>
      </c>
      <c r="D13" s="433"/>
      <c r="E13" s="433"/>
      <c r="F13" s="434"/>
      <c r="G13" s="433"/>
      <c r="H13" s="434"/>
      <c r="I13" s="433"/>
      <c r="J13" s="434"/>
      <c r="K13" s="433"/>
      <c r="L13" s="434"/>
      <c r="M13" s="433"/>
      <c r="N13" s="434"/>
    </row>
    <row r="14" spans="1:14" x14ac:dyDescent="0.25">
      <c r="A14" s="431"/>
      <c r="B14" s="431"/>
      <c r="C14" s="431" t="s">
        <v>321</v>
      </c>
      <c r="D14" s="433"/>
      <c r="E14" s="433"/>
      <c r="F14" s="434"/>
      <c r="G14" s="433"/>
      <c r="H14" s="434"/>
      <c r="I14" s="433"/>
      <c r="J14" s="434"/>
      <c r="K14" s="433"/>
      <c r="L14" s="434"/>
      <c r="M14" s="433"/>
      <c r="N14" s="434"/>
    </row>
    <row r="15" spans="1:14" x14ac:dyDescent="0.25">
      <c r="A15" s="431"/>
      <c r="B15" s="431"/>
      <c r="C15" s="431" t="s">
        <v>322</v>
      </c>
      <c r="D15" s="433"/>
      <c r="E15" s="433"/>
      <c r="F15" s="434"/>
      <c r="G15" s="433"/>
      <c r="H15" s="434"/>
      <c r="I15" s="433"/>
      <c r="J15" s="434"/>
      <c r="K15" s="433"/>
      <c r="L15" s="434"/>
      <c r="M15" s="433"/>
      <c r="N15" s="434"/>
    </row>
    <row r="16" spans="1:14" x14ac:dyDescent="0.25">
      <c r="A16" s="431"/>
      <c r="B16" s="431"/>
      <c r="C16" s="431" t="s">
        <v>323</v>
      </c>
      <c r="D16" s="433"/>
      <c r="E16" s="433"/>
      <c r="F16" s="434"/>
      <c r="G16" s="433"/>
      <c r="H16" s="434"/>
      <c r="I16" s="433"/>
      <c r="J16" s="434"/>
      <c r="K16" s="433"/>
      <c r="L16" s="434"/>
      <c r="M16" s="433"/>
      <c r="N16" s="434"/>
    </row>
    <row r="17" spans="1:16" x14ac:dyDescent="0.25">
      <c r="A17" s="431"/>
      <c r="B17" s="431"/>
      <c r="C17" s="431" t="s">
        <v>324</v>
      </c>
      <c r="D17" s="433"/>
      <c r="E17" s="433"/>
      <c r="F17" s="434"/>
      <c r="G17" s="433"/>
      <c r="H17" s="434"/>
      <c r="I17" s="433"/>
      <c r="J17" s="434"/>
      <c r="K17" s="433"/>
      <c r="L17" s="434"/>
      <c r="M17" s="433"/>
      <c r="N17" s="434"/>
      <c r="O17" s="431"/>
      <c r="P17" s="431"/>
    </row>
    <row r="18" spans="1:16" x14ac:dyDescent="0.25">
      <c r="A18" s="431"/>
      <c r="B18" s="431"/>
      <c r="C18" s="431" t="s">
        <v>325</v>
      </c>
      <c r="D18" s="433"/>
      <c r="E18" s="433"/>
      <c r="F18" s="434"/>
      <c r="G18" s="433"/>
      <c r="H18" s="434"/>
      <c r="I18" s="433"/>
      <c r="J18" s="434"/>
      <c r="K18" s="433"/>
      <c r="L18" s="434"/>
      <c r="M18" s="433"/>
      <c r="N18" s="434"/>
      <c r="O18" s="431"/>
      <c r="P18" s="431"/>
    </row>
    <row r="19" spans="1:16" x14ac:dyDescent="0.25">
      <c r="A19" s="431"/>
      <c r="B19" s="431"/>
      <c r="C19" s="431" t="s">
        <v>326</v>
      </c>
      <c r="D19" s="433"/>
      <c r="E19" s="433"/>
      <c r="F19" s="434"/>
      <c r="G19" s="433"/>
      <c r="H19" s="434"/>
      <c r="I19" s="433"/>
      <c r="J19" s="434"/>
      <c r="K19" s="433"/>
      <c r="L19" s="434"/>
      <c r="M19" s="433"/>
      <c r="N19" s="434"/>
      <c r="O19" s="431"/>
      <c r="P19" s="431"/>
    </row>
    <row r="20" spans="1:16" x14ac:dyDescent="0.25">
      <c r="A20" s="431"/>
      <c r="B20" s="431"/>
      <c r="C20" s="431" t="s">
        <v>327</v>
      </c>
      <c r="D20" s="433"/>
      <c r="E20" s="433"/>
      <c r="F20" s="434"/>
      <c r="G20" s="433"/>
      <c r="H20" s="434"/>
      <c r="I20" s="433"/>
      <c r="J20" s="434"/>
      <c r="K20" s="433"/>
      <c r="L20" s="434"/>
      <c r="M20" s="433"/>
      <c r="N20" s="434"/>
      <c r="O20" s="431"/>
      <c r="P20" s="431"/>
    </row>
    <row r="21" spans="1:16" x14ac:dyDescent="0.25">
      <c r="A21" s="431" t="s">
        <v>328</v>
      </c>
      <c r="B21" s="431" t="s">
        <v>329</v>
      </c>
      <c r="C21" s="431" t="s">
        <v>330</v>
      </c>
      <c r="D21" s="433">
        <v>13.701890000000001</v>
      </c>
      <c r="E21" s="433">
        <v>4.0086898413999998</v>
      </c>
      <c r="F21" s="434">
        <v>0.70743526320821426</v>
      </c>
      <c r="G21" s="433">
        <v>3.9119199999999998</v>
      </c>
      <c r="H21" s="434">
        <v>0.71449778096306416</v>
      </c>
      <c r="I21" s="433">
        <v>3.54843392634859</v>
      </c>
      <c r="J21" s="434">
        <v>0.74102595143089089</v>
      </c>
      <c r="K21" s="433">
        <v>2.1567092655427218</v>
      </c>
      <c r="L21" s="434">
        <v>0.84259768064531815</v>
      </c>
      <c r="M21" s="433">
        <v>0.59274056232894912</v>
      </c>
      <c r="N21" s="434">
        <v>0.95674023347662629</v>
      </c>
      <c r="O21" s="431"/>
      <c r="P21" s="431"/>
    </row>
    <row r="22" spans="1:16" x14ac:dyDescent="0.25">
      <c r="A22" s="431" t="s">
        <v>331</v>
      </c>
      <c r="B22" s="431"/>
      <c r="C22" s="431"/>
      <c r="D22" s="433">
        <v>1050.95901</v>
      </c>
      <c r="E22" s="433">
        <v>865.91201964873017</v>
      </c>
      <c r="F22" s="434">
        <v>0.17607441259889847</v>
      </c>
      <c r="G22" s="433">
        <v>792.85859000000005</v>
      </c>
      <c r="H22" s="434">
        <v>0.24558561993773664</v>
      </c>
      <c r="I22" s="433">
        <v>476.65250496414365</v>
      </c>
      <c r="J22" s="434">
        <v>0.5464594713697315</v>
      </c>
      <c r="K22" s="433">
        <v>300.13037220961547</v>
      </c>
      <c r="L22" s="434">
        <v>0.71442238055543628</v>
      </c>
      <c r="M22" s="433">
        <v>102.1430859786813</v>
      </c>
      <c r="N22" s="434">
        <v>0.90280963861884467</v>
      </c>
      <c r="O22" s="431"/>
      <c r="P22" s="431"/>
    </row>
    <row r="23" spans="1:16" x14ac:dyDescent="0.25">
      <c r="A23" s="431" t="s">
        <v>332</v>
      </c>
      <c r="B23" s="431" t="s">
        <v>333</v>
      </c>
      <c r="C23" s="431" t="s">
        <v>334</v>
      </c>
      <c r="D23" s="433">
        <v>0</v>
      </c>
      <c r="E23" s="433">
        <v>0</v>
      </c>
      <c r="F23" s="434"/>
      <c r="G23" s="433">
        <v>0</v>
      </c>
      <c r="H23" s="434"/>
      <c r="I23" s="433">
        <v>0</v>
      </c>
      <c r="J23" s="434"/>
      <c r="K23" s="433">
        <v>0</v>
      </c>
      <c r="L23" s="434"/>
      <c r="M23" s="433">
        <v>0</v>
      </c>
      <c r="N23" s="434"/>
      <c r="O23" s="431"/>
      <c r="P23" s="431"/>
    </row>
    <row r="24" spans="1:16" x14ac:dyDescent="0.25">
      <c r="A24" s="431" t="s">
        <v>335</v>
      </c>
      <c r="B24" s="431"/>
      <c r="C24" s="431"/>
      <c r="D24" s="433">
        <v>1050.95901</v>
      </c>
      <c r="E24" s="433">
        <v>865.91201964873017</v>
      </c>
      <c r="F24" s="434">
        <v>0.17607441259889847</v>
      </c>
      <c r="G24" s="433">
        <v>792.85859000000005</v>
      </c>
      <c r="H24" s="434">
        <v>0.24558561993773664</v>
      </c>
      <c r="I24" s="433">
        <v>476.65250496414365</v>
      </c>
      <c r="J24" s="434">
        <v>0.5464594713697315</v>
      </c>
      <c r="K24" s="433">
        <v>300.13037220961547</v>
      </c>
      <c r="L24" s="434">
        <v>0.71442238055543628</v>
      </c>
      <c r="M24" s="433">
        <v>102.1430859786813</v>
      </c>
      <c r="N24" s="434">
        <v>0.90280963861884467</v>
      </c>
      <c r="O24" s="431"/>
      <c r="P24" s="431"/>
    </row>
    <row r="25" spans="1:16" x14ac:dyDescent="0.25">
      <c r="A25" s="431"/>
      <c r="B25" s="431"/>
      <c r="C25" s="431"/>
      <c r="D25" s="431"/>
      <c r="E25" s="431"/>
      <c r="F25" s="434"/>
      <c r="G25" s="431"/>
      <c r="H25" s="434"/>
      <c r="I25" s="431"/>
      <c r="J25" s="434"/>
      <c r="K25" s="433"/>
      <c r="L25" s="434"/>
      <c r="M25" s="433"/>
      <c r="N25" s="434"/>
      <c r="O25" s="431"/>
      <c r="P25" s="431"/>
    </row>
    <row r="27" spans="1:16" x14ac:dyDescent="0.25">
      <c r="A27" s="445" t="s">
        <v>336</v>
      </c>
      <c r="B27" s="445"/>
      <c r="C27" s="446"/>
      <c r="D27" s="445"/>
      <c r="E27" s="446"/>
      <c r="F27" s="445"/>
      <c r="G27" s="438"/>
      <c r="H27" s="438"/>
      <c r="I27" s="438"/>
      <c r="J27" s="447"/>
      <c r="K27" s="440"/>
      <c r="L27" s="438"/>
      <c r="M27" s="431"/>
      <c r="N27" s="431"/>
      <c r="O27" s="431"/>
      <c r="P27" s="431"/>
    </row>
    <row r="28" spans="1:16" x14ac:dyDescent="0.25">
      <c r="A28" s="448"/>
      <c r="B28" s="448">
        <v>2005</v>
      </c>
      <c r="C28" s="449">
        <v>2011</v>
      </c>
      <c r="D28" s="448">
        <v>2014</v>
      </c>
      <c r="E28" s="449">
        <v>2015</v>
      </c>
      <c r="F28" s="449">
        <v>2020</v>
      </c>
      <c r="G28" s="449">
        <v>2025</v>
      </c>
      <c r="H28" s="450">
        <v>2030</v>
      </c>
      <c r="I28" s="449">
        <v>2035</v>
      </c>
      <c r="J28" s="451">
        <v>2040</v>
      </c>
      <c r="K28" s="449">
        <v>2045</v>
      </c>
      <c r="L28" s="451">
        <v>2050</v>
      </c>
      <c r="M28" s="432"/>
      <c r="N28" s="437"/>
      <c r="O28" s="432"/>
      <c r="P28" s="437"/>
    </row>
    <row r="29" spans="1:16" x14ac:dyDescent="0.25">
      <c r="A29" s="438" t="s">
        <v>337</v>
      </c>
      <c r="B29" s="443">
        <v>378.45865951654002</v>
      </c>
      <c r="C29" s="444">
        <v>355.36012650551334</v>
      </c>
      <c r="D29" s="443">
        <v>343.81085999999999</v>
      </c>
      <c r="E29" s="444">
        <v>333.32014649995483</v>
      </c>
      <c r="F29" s="444">
        <v>280.8665789997292</v>
      </c>
      <c r="G29" s="444">
        <v>228.41301149950354</v>
      </c>
      <c r="H29" s="443">
        <v>175.95944399927788</v>
      </c>
      <c r="I29" s="444">
        <v>141.45308110815904</v>
      </c>
      <c r="J29" s="443">
        <v>106.94671821704021</v>
      </c>
      <c r="K29" s="444">
        <v>68.169743759895908</v>
      </c>
      <c r="L29" s="443">
        <v>29.392769302751606</v>
      </c>
      <c r="M29" s="431"/>
      <c r="N29" s="431"/>
      <c r="O29" s="431"/>
      <c r="P29" s="435"/>
    </row>
    <row r="30" spans="1:16" x14ac:dyDescent="0.25">
      <c r="A30" s="438" t="s">
        <v>338</v>
      </c>
      <c r="B30" s="443">
        <v>156.87234034560001</v>
      </c>
      <c r="C30" s="444">
        <v>133.76460011520001</v>
      </c>
      <c r="D30" s="443">
        <v>122.21073</v>
      </c>
      <c r="E30" s="444">
        <v>119.00954043620874</v>
      </c>
      <c r="F30" s="444">
        <v>103.00359261725248</v>
      </c>
      <c r="G30" s="444">
        <v>86.997644798296221</v>
      </c>
      <c r="H30" s="443">
        <v>70.991696979339949</v>
      </c>
      <c r="I30" s="444">
        <v>57.069936359117136</v>
      </c>
      <c r="J30" s="443">
        <v>43.148175738894324</v>
      </c>
      <c r="K30" s="444">
        <v>27.503416026829697</v>
      </c>
      <c r="L30" s="443">
        <v>11.858656314765071</v>
      </c>
      <c r="M30" s="431"/>
      <c r="N30" s="431"/>
      <c r="O30" s="431"/>
      <c r="P30" s="435"/>
    </row>
    <row r="31" spans="1:16" x14ac:dyDescent="0.25">
      <c r="A31" s="438" t="s">
        <v>339</v>
      </c>
      <c r="B31" s="443">
        <v>160.04445636493</v>
      </c>
      <c r="C31" s="444">
        <v>159.66102545497668</v>
      </c>
      <c r="D31" s="443">
        <v>159.46931000000001</v>
      </c>
      <c r="E31" s="444">
        <v>155.55019929860563</v>
      </c>
      <c r="F31" s="444">
        <v>135.95464579163377</v>
      </c>
      <c r="G31" s="444">
        <v>116.35909228466193</v>
      </c>
      <c r="H31" s="443">
        <v>96.763538777690059</v>
      </c>
      <c r="I31" s="444">
        <v>77.787815123405693</v>
      </c>
      <c r="J31" s="443">
        <v>58.81209146912132</v>
      </c>
      <c r="K31" s="444">
        <v>37.487875011715502</v>
      </c>
      <c r="L31" s="443">
        <v>16.163658554309677</v>
      </c>
      <c r="M31" s="431"/>
      <c r="N31" s="431"/>
      <c r="O31" s="431"/>
      <c r="P31" s="435"/>
    </row>
    <row r="32" spans="1:16" x14ac:dyDescent="0.25">
      <c r="A32" s="438" t="s">
        <v>340</v>
      </c>
      <c r="B32" s="443">
        <v>166.52787358026001</v>
      </c>
      <c r="C32" s="444">
        <v>164.47980452675333</v>
      </c>
      <c r="D32" s="443">
        <v>163.45577</v>
      </c>
      <c r="E32" s="444">
        <v>161.32662133009296</v>
      </c>
      <c r="F32" s="444">
        <v>150.68087798055771</v>
      </c>
      <c r="G32" s="444">
        <v>140.03513463102246</v>
      </c>
      <c r="H32" s="443">
        <v>129.38939128148721</v>
      </c>
      <c r="I32" s="444">
        <v>109.22803440025206</v>
      </c>
      <c r="J32" s="443">
        <v>89.066677519016906</v>
      </c>
      <c r="K32" s="444">
        <v>66.600969381771449</v>
      </c>
      <c r="L32" s="443">
        <v>44.135261244525999</v>
      </c>
      <c r="M32" s="431"/>
      <c r="N32" s="431"/>
      <c r="O32" s="431"/>
      <c r="P32" s="435"/>
    </row>
    <row r="33" spans="1:23" x14ac:dyDescent="0.25">
      <c r="A33" s="438" t="s">
        <v>341</v>
      </c>
      <c r="B33" s="443">
        <v>4.0086898413999998</v>
      </c>
      <c r="C33" s="444">
        <v>3.9441766137999998</v>
      </c>
      <c r="D33" s="443">
        <v>3.9119199999999998</v>
      </c>
      <c r="E33" s="444">
        <v>3.8892021203967868</v>
      </c>
      <c r="F33" s="444">
        <v>3.7756127223807212</v>
      </c>
      <c r="G33" s="444">
        <v>3.6620233243646556</v>
      </c>
      <c r="H33" s="443">
        <v>3.54843392634859</v>
      </c>
      <c r="I33" s="444">
        <v>2.8525715959456557</v>
      </c>
      <c r="J33" s="443">
        <v>2.1567092655427218</v>
      </c>
      <c r="K33" s="444">
        <v>1.3747249139358355</v>
      </c>
      <c r="L33" s="443">
        <v>0.59274056232894912</v>
      </c>
      <c r="M33" s="431"/>
      <c r="N33" s="431"/>
      <c r="O33" s="431"/>
      <c r="P33" s="435"/>
    </row>
    <row r="34" spans="1:23" x14ac:dyDescent="0.25">
      <c r="A34" s="438" t="s">
        <v>342</v>
      </c>
      <c r="B34" s="442">
        <v>0</v>
      </c>
      <c r="C34" s="444">
        <v>0</v>
      </c>
      <c r="D34" s="443">
        <v>0</v>
      </c>
      <c r="E34" s="444">
        <v>0</v>
      </c>
      <c r="F34" s="444">
        <v>0</v>
      </c>
      <c r="G34" s="444">
        <v>0</v>
      </c>
      <c r="H34" s="443">
        <v>0</v>
      </c>
      <c r="I34" s="444">
        <v>0</v>
      </c>
      <c r="J34" s="443">
        <v>0</v>
      </c>
      <c r="K34" s="444">
        <v>0</v>
      </c>
      <c r="L34" s="443">
        <v>0</v>
      </c>
      <c r="M34" s="431"/>
      <c r="N34" s="431"/>
      <c r="O34" s="431"/>
      <c r="P34" s="435"/>
    </row>
    <row r="35" spans="1:23" x14ac:dyDescent="0.25">
      <c r="A35" s="441" t="s">
        <v>343</v>
      </c>
      <c r="B35" s="453">
        <v>865.91201964873017</v>
      </c>
      <c r="C35" s="454">
        <v>817.20973321624331</v>
      </c>
      <c r="D35" s="453">
        <v>792.85859000000005</v>
      </c>
      <c r="E35" s="454">
        <v>773.09570968525895</v>
      </c>
      <c r="F35" s="454">
        <v>674.28130811155393</v>
      </c>
      <c r="G35" s="454">
        <v>575.46690653784879</v>
      </c>
      <c r="H35" s="453">
        <v>476.65250496414365</v>
      </c>
      <c r="I35" s="454">
        <v>388.39143858687964</v>
      </c>
      <c r="J35" s="453">
        <v>300.13037220961547</v>
      </c>
      <c r="K35" s="454">
        <v>201.13672909414839</v>
      </c>
      <c r="L35" s="453">
        <v>102.1430859786813</v>
      </c>
      <c r="M35" s="432"/>
      <c r="N35" s="437"/>
      <c r="O35" s="432"/>
      <c r="P35" s="437"/>
    </row>
    <row r="36" spans="1:23" x14ac:dyDescent="0.25">
      <c r="A36" s="438"/>
      <c r="B36" s="438"/>
      <c r="C36" s="444"/>
      <c r="D36" s="438"/>
      <c r="E36" s="438"/>
      <c r="F36" s="438"/>
      <c r="G36" s="438"/>
      <c r="H36" s="438"/>
      <c r="I36" s="438"/>
      <c r="J36" s="438"/>
      <c r="K36" s="438"/>
      <c r="L36" s="438"/>
      <c r="M36" s="431"/>
      <c r="N36" s="431" t="s">
        <v>347</v>
      </c>
      <c r="O36" s="431"/>
      <c r="P36" s="435"/>
    </row>
    <row r="37" spans="1:23" x14ac:dyDescent="0.25">
      <c r="A37" s="445" t="s">
        <v>344</v>
      </c>
      <c r="B37" s="445"/>
      <c r="C37" s="446"/>
      <c r="D37" s="445"/>
      <c r="E37" s="446"/>
      <c r="F37" s="445"/>
      <c r="G37" s="446"/>
      <c r="H37" s="445"/>
      <c r="I37" s="447"/>
      <c r="J37" s="438"/>
      <c r="K37" s="438"/>
      <c r="L37" s="438"/>
      <c r="M37" s="431"/>
      <c r="N37" s="445" t="s">
        <v>344</v>
      </c>
      <c r="O37" s="445"/>
      <c r="P37" s="446"/>
      <c r="Q37" s="445"/>
      <c r="R37" s="446"/>
      <c r="S37" s="445"/>
      <c r="T37" s="446"/>
      <c r="U37" s="445"/>
      <c r="V37" s="447"/>
      <c r="W37" s="438"/>
    </row>
    <row r="38" spans="1:23" x14ac:dyDescent="0.25">
      <c r="A38" s="448"/>
      <c r="B38" s="449">
        <v>2011</v>
      </c>
      <c r="C38" s="449">
        <v>2015</v>
      </c>
      <c r="D38" s="449">
        <v>2020</v>
      </c>
      <c r="E38" s="449">
        <v>2025</v>
      </c>
      <c r="F38" s="450">
        <v>2030</v>
      </c>
      <c r="G38" s="449">
        <v>2035</v>
      </c>
      <c r="H38" s="451">
        <v>2040</v>
      </c>
      <c r="I38" s="449">
        <v>2045</v>
      </c>
      <c r="J38" s="451">
        <v>2050</v>
      </c>
      <c r="K38" s="448"/>
      <c r="L38" s="451"/>
      <c r="M38" s="436"/>
      <c r="N38" s="448"/>
      <c r="O38" s="449">
        <v>2011</v>
      </c>
      <c r="P38" s="449">
        <v>2015</v>
      </c>
      <c r="Q38" s="449">
        <v>2020</v>
      </c>
      <c r="R38" s="449">
        <v>2025</v>
      </c>
      <c r="S38" s="450">
        <v>2030</v>
      </c>
      <c r="T38" s="449">
        <v>2035</v>
      </c>
      <c r="U38" s="451">
        <v>2040</v>
      </c>
      <c r="V38" s="449">
        <v>2045</v>
      </c>
      <c r="W38" s="451">
        <v>2050</v>
      </c>
    </row>
    <row r="39" spans="1:23" x14ac:dyDescent="0.25">
      <c r="A39" s="438" t="s">
        <v>337</v>
      </c>
      <c r="B39" s="446">
        <v>1</v>
      </c>
      <c r="C39" s="446">
        <v>0.937978466457979</v>
      </c>
      <c r="D39" s="446">
        <v>0.79037167664721553</v>
      </c>
      <c r="E39" s="446">
        <v>0.64276488683645194</v>
      </c>
      <c r="F39" s="442">
        <v>0.49515809702568842</v>
      </c>
      <c r="G39" s="446">
        <v>0.39805557955857052</v>
      </c>
      <c r="H39" s="442">
        <v>0.30095306209145262</v>
      </c>
      <c r="I39" s="446">
        <v>0.19183284413547808</v>
      </c>
      <c r="J39" s="442">
        <v>8.2712626179503521E-2</v>
      </c>
      <c r="K39" s="438"/>
      <c r="L39" s="438"/>
      <c r="M39" s="431"/>
      <c r="N39" s="438" t="s">
        <v>337</v>
      </c>
      <c r="O39" s="446">
        <v>1</v>
      </c>
      <c r="P39" s="446">
        <v>0.937978466457979</v>
      </c>
      <c r="Q39" s="446">
        <v>0.79037167664721553</v>
      </c>
      <c r="R39" s="446">
        <v>0.64276488683645194</v>
      </c>
      <c r="S39" s="442">
        <v>0.49515809702568842</v>
      </c>
      <c r="T39" s="446">
        <v>0.39805557955857052</v>
      </c>
      <c r="U39" s="442">
        <v>0.30095306209145262</v>
      </c>
      <c r="V39" s="446">
        <v>0.19183284413547808</v>
      </c>
      <c r="W39" s="442">
        <v>8.2712626179503521E-2</v>
      </c>
    </row>
    <row r="40" spans="1:23" x14ac:dyDescent="0.25">
      <c r="A40" s="438" t="s">
        <v>338</v>
      </c>
      <c r="B40" s="446">
        <v>1</v>
      </c>
      <c r="C40" s="446">
        <v>0.8896938377845558</v>
      </c>
      <c r="D40" s="446">
        <v>0.77003626167569217</v>
      </c>
      <c r="E40" s="446">
        <v>0.65037868556682854</v>
      </c>
      <c r="F40" s="442">
        <v>0.5307211094579648</v>
      </c>
      <c r="G40" s="446">
        <v>0.42664454055832174</v>
      </c>
      <c r="H40" s="442">
        <v>0.32256797165867868</v>
      </c>
      <c r="I40" s="446">
        <v>0.20561057262641505</v>
      </c>
      <c r="J40" s="442">
        <v>8.8653173594151397E-2</v>
      </c>
      <c r="K40" s="438"/>
      <c r="L40" s="438"/>
      <c r="M40" s="431"/>
      <c r="N40" s="438" t="s">
        <v>338</v>
      </c>
      <c r="O40" s="446">
        <v>1</v>
      </c>
      <c r="P40" s="446">
        <v>0.8896938377845558</v>
      </c>
      <c r="Q40" s="446">
        <v>0.77003626167569217</v>
      </c>
      <c r="R40" s="446">
        <v>0.65037868556682854</v>
      </c>
      <c r="S40" s="442">
        <v>0.5307211094579648</v>
      </c>
      <c r="T40" s="446">
        <v>0.42664454055832174</v>
      </c>
      <c r="U40" s="442">
        <v>0.32256797165867868</v>
      </c>
      <c r="V40" s="446">
        <v>0.20561057262641505</v>
      </c>
      <c r="W40" s="442">
        <v>8.8653173594151397E-2</v>
      </c>
    </row>
    <row r="41" spans="1:23" x14ac:dyDescent="0.25">
      <c r="A41" s="438" t="s">
        <v>339</v>
      </c>
      <c r="B41" s="446">
        <v>1</v>
      </c>
      <c r="C41" s="446">
        <v>0.97425278871498744</v>
      </c>
      <c r="D41" s="446">
        <v>0.85152055991255082</v>
      </c>
      <c r="E41" s="446">
        <v>0.72878833111011421</v>
      </c>
      <c r="F41" s="442">
        <v>0.60605610230767759</v>
      </c>
      <c r="G41" s="446">
        <v>0.48720603479614583</v>
      </c>
      <c r="H41" s="442">
        <v>0.36835596728461406</v>
      </c>
      <c r="I41" s="446">
        <v>0.23479665688535131</v>
      </c>
      <c r="J41" s="442">
        <v>0.10123734648608855</v>
      </c>
      <c r="K41" s="438"/>
      <c r="L41" s="438"/>
      <c r="M41" s="431"/>
      <c r="N41" s="438" t="s">
        <v>339</v>
      </c>
      <c r="O41" s="446">
        <v>1</v>
      </c>
      <c r="P41" s="446">
        <v>0.97425278871498744</v>
      </c>
      <c r="Q41" s="446">
        <v>0.85152055991255082</v>
      </c>
      <c r="R41" s="446">
        <v>0.72878833111011421</v>
      </c>
      <c r="S41" s="442">
        <v>0.60605610230767759</v>
      </c>
      <c r="T41" s="446">
        <v>0.48720603479614583</v>
      </c>
      <c r="U41" s="442">
        <v>0.36835596728461406</v>
      </c>
      <c r="V41" s="446">
        <v>0.23479665688535131</v>
      </c>
      <c r="W41" s="442">
        <v>0.10123734648608855</v>
      </c>
    </row>
    <row r="42" spans="1:23" x14ac:dyDescent="0.25">
      <c r="A42" s="438" t="s">
        <v>340</v>
      </c>
      <c r="B42" s="446">
        <v>1</v>
      </c>
      <c r="C42" s="446">
        <v>0.98082935953302708</v>
      </c>
      <c r="D42" s="446">
        <v>0.91610564843569497</v>
      </c>
      <c r="E42" s="446">
        <v>0.85138193733836276</v>
      </c>
      <c r="F42" s="442">
        <v>0.78665822624103054</v>
      </c>
      <c r="G42" s="446">
        <v>0.66408173766090328</v>
      </c>
      <c r="H42" s="442">
        <v>0.54150524908077602</v>
      </c>
      <c r="I42" s="446">
        <v>0.40491882619509389</v>
      </c>
      <c r="J42" s="442">
        <v>0.26833240330941183</v>
      </c>
      <c r="K42" s="438"/>
      <c r="L42" s="438"/>
      <c r="M42" s="431"/>
      <c r="N42" s="438" t="s">
        <v>340</v>
      </c>
      <c r="O42" s="446">
        <v>1</v>
      </c>
      <c r="P42" s="446">
        <v>0.98082935953302708</v>
      </c>
      <c r="Q42" s="446">
        <v>0.91610564843569497</v>
      </c>
      <c r="R42" s="446">
        <v>0.85138193733836276</v>
      </c>
      <c r="S42" s="442">
        <v>0.78665822624103054</v>
      </c>
      <c r="T42" s="446">
        <v>0.66408173766090328</v>
      </c>
      <c r="U42" s="442">
        <v>0.54150524908077602</v>
      </c>
      <c r="V42" s="446">
        <v>0.40491882619509389</v>
      </c>
      <c r="W42" s="442">
        <v>0.26833240330941183</v>
      </c>
    </row>
    <row r="43" spans="1:23" x14ac:dyDescent="0.25">
      <c r="A43" s="438" t="s">
        <v>341</v>
      </c>
      <c r="B43" s="446">
        <v>1</v>
      </c>
      <c r="C43" s="446">
        <v>0.9860618580793602</v>
      </c>
      <c r="D43" s="446">
        <v>0.95726259041506856</v>
      </c>
      <c r="E43" s="446">
        <v>0.92846332275077692</v>
      </c>
      <c r="F43" s="442">
        <v>0.89966405508648528</v>
      </c>
      <c r="G43" s="446">
        <v>0.7232362734379072</v>
      </c>
      <c r="H43" s="442">
        <v>0.54680849178932933</v>
      </c>
      <c r="I43" s="446">
        <v>0.34854547565793781</v>
      </c>
      <c r="J43" s="442">
        <v>0.15028245952654634</v>
      </c>
      <c r="K43" s="438"/>
      <c r="L43" s="438"/>
      <c r="M43" s="431"/>
      <c r="N43" s="438" t="s">
        <v>341</v>
      </c>
      <c r="O43" s="446">
        <v>1</v>
      </c>
      <c r="P43" s="446">
        <v>0.9860618580793602</v>
      </c>
      <c r="Q43" s="446">
        <v>0.95726259041506856</v>
      </c>
      <c r="R43" s="446">
        <v>0.92846332275077692</v>
      </c>
      <c r="S43" s="442">
        <v>0.89966405508648528</v>
      </c>
      <c r="T43" s="446">
        <v>0.7232362734379072</v>
      </c>
      <c r="U43" s="442">
        <v>0.54680849178932933</v>
      </c>
      <c r="V43" s="446">
        <v>0.34854547565793781</v>
      </c>
      <c r="W43" s="442">
        <v>0.15028245952654634</v>
      </c>
    </row>
    <row r="44" spans="1:23" x14ac:dyDescent="0.25">
      <c r="A44" s="438" t="s">
        <v>342</v>
      </c>
      <c r="B44" s="446">
        <v>1</v>
      </c>
      <c r="C44" s="446">
        <v>1</v>
      </c>
      <c r="D44" s="446">
        <v>1</v>
      </c>
      <c r="E44" s="446">
        <v>1</v>
      </c>
      <c r="F44" s="442">
        <v>1</v>
      </c>
      <c r="G44" s="446">
        <v>1</v>
      </c>
      <c r="H44" s="442">
        <v>1</v>
      </c>
      <c r="I44" s="446">
        <v>1</v>
      </c>
      <c r="J44" s="442">
        <v>1</v>
      </c>
      <c r="K44" s="438"/>
      <c r="L44" s="438"/>
      <c r="M44" s="431"/>
      <c r="N44" s="438" t="s">
        <v>342</v>
      </c>
      <c r="O44" s="446">
        <v>1</v>
      </c>
      <c r="P44" s="446">
        <v>1</v>
      </c>
      <c r="Q44" s="446">
        <v>1</v>
      </c>
      <c r="R44" s="446">
        <v>1</v>
      </c>
      <c r="S44" s="442">
        <v>1</v>
      </c>
      <c r="T44" s="446">
        <v>1</v>
      </c>
      <c r="U44" s="442">
        <v>1</v>
      </c>
      <c r="V44" s="446">
        <v>1</v>
      </c>
      <c r="W44" s="442">
        <v>1</v>
      </c>
    </row>
    <row r="45" spans="1:23" x14ac:dyDescent="0.25">
      <c r="A45" s="441" t="s">
        <v>343</v>
      </c>
      <c r="B45" s="453">
        <v>1</v>
      </c>
      <c r="C45" s="453">
        <v>0.94601872476803794</v>
      </c>
      <c r="D45" s="453">
        <v>0.82510190555100882</v>
      </c>
      <c r="E45" s="453">
        <v>0.70418508633397969</v>
      </c>
      <c r="F45" s="453">
        <v>0.58326826711695046</v>
      </c>
      <c r="G45" s="453">
        <v>0.47526531170683783</v>
      </c>
      <c r="H45" s="453">
        <v>0.36726235629672493</v>
      </c>
      <c r="I45" s="453">
        <v>0.246126203493131</v>
      </c>
      <c r="J45" s="453">
        <v>0.12499005068953704</v>
      </c>
      <c r="K45" s="439"/>
      <c r="L45" s="452"/>
      <c r="M45" s="432"/>
      <c r="N45" s="441" t="s">
        <v>343</v>
      </c>
      <c r="O45" s="453">
        <v>1</v>
      </c>
      <c r="P45" s="453">
        <v>0.94601872476803794</v>
      </c>
      <c r="Q45" s="453">
        <v>0.82510190555100882</v>
      </c>
      <c r="R45" s="453">
        <v>0.70418508633397969</v>
      </c>
      <c r="S45" s="453">
        <v>0.58326826711695046</v>
      </c>
      <c r="T45" s="453">
        <v>0.47526531170683783</v>
      </c>
      <c r="U45" s="453">
        <v>0.36726235629672493</v>
      </c>
      <c r="V45" s="453">
        <v>0.246126203493131</v>
      </c>
      <c r="W45" s="453">
        <v>0.12499005068953704</v>
      </c>
    </row>
    <row r="47" spans="1:23" x14ac:dyDescent="0.25">
      <c r="A47" s="431" t="s">
        <v>345</v>
      </c>
      <c r="B47" s="431"/>
      <c r="C47" s="431"/>
      <c r="D47" s="431"/>
      <c r="E47" s="431"/>
      <c r="F47" s="431"/>
      <c r="G47" s="431"/>
      <c r="H47" s="431"/>
      <c r="I47" s="431"/>
      <c r="J47" s="431"/>
      <c r="K47" s="431"/>
      <c r="L47" s="431"/>
      <c r="M47" s="431"/>
      <c r="N47" s="431"/>
      <c r="O47" s="431"/>
      <c r="P47" s="43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Charts</vt:lpstr>
      </vt:variant>
      <vt:variant>
        <vt:i4>1</vt:i4>
      </vt:variant>
    </vt:vector>
  </HeadingPairs>
  <TitlesOfParts>
    <vt:vector size="22" baseType="lpstr">
      <vt:lpstr>Pivot</vt:lpstr>
      <vt:lpstr>18x18x4_ETS75</vt:lpstr>
      <vt:lpstr>co2pfad_ets</vt:lpstr>
      <vt:lpstr>co2pfad_nonets</vt:lpstr>
      <vt:lpstr>co2pfad_nonets_vorher</vt:lpstr>
      <vt:lpstr>CO2 EU-ETS</vt:lpstr>
      <vt:lpstr>BMWi_exp</vt:lpstr>
      <vt:lpstr>BMWi_lin</vt:lpstr>
      <vt:lpstr>Historische_Emissionen</vt:lpstr>
      <vt:lpstr>DEHst_1vs4</vt:lpstr>
      <vt:lpstr>Umlaufmenge</vt:lpstr>
      <vt:lpstr>EU-Pfad</vt:lpstr>
      <vt:lpstr>RoW-Pfad</vt:lpstr>
      <vt:lpstr>EU-Pfad_ENAVI</vt:lpstr>
      <vt:lpstr>Reference_2020</vt:lpstr>
      <vt:lpstr>EU-Pfad_REEEM</vt:lpstr>
      <vt:lpstr>REEEM_pathways</vt:lpstr>
      <vt:lpstr>EU-Reference CO2 emissions</vt:lpstr>
      <vt:lpstr>carbon tax</vt:lpstr>
      <vt:lpstr>DEU-Pfad</vt:lpstr>
      <vt:lpstr>DEU-Pfad-2</vt:lpstr>
      <vt:lpstr>Diagramm1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Gesterkamp</dc:creator>
  <cp:lastModifiedBy>Roland</cp:lastModifiedBy>
  <dcterms:created xsi:type="dcterms:W3CDTF">2014-05-27T08:14:55Z</dcterms:created>
  <dcterms:modified xsi:type="dcterms:W3CDTF">2020-08-03T14:19:19Z</dcterms:modified>
</cp:coreProperties>
</file>