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4160" yWindow="225" windowWidth="11685" windowHeight="12255" tabRatio="795" activeTab="9"/>
  </bookViews>
  <sheets>
    <sheet name="IEA Electricity Information 09" sheetId="19" r:id="rId1"/>
    <sheet name="--------  " sheetId="24" r:id="rId2"/>
    <sheet name="GEP" sheetId="21" r:id="rId3"/>
    <sheet name="GEP_add1" sheetId="29" r:id="rId4"/>
    <sheet name="GEP_Aggtech" sheetId="32" r:id="rId5"/>
    <sheet name="GEP_Aggreg" sheetId="22" r:id="rId6"/>
    <sheet name="NEWAGE" sheetId="45" r:id="rId7"/>
    <sheet name="NEWAGE_CCS" sheetId="46" r:id="rId8"/>
    <sheet name="NEWAGE_CCS_new_diff" sheetId="43" r:id="rId9"/>
    <sheet name="NEWAGE_read" sheetId="36" r:id="rId10"/>
    <sheet name="NEWAGE_read_old" sheetId="40" r:id="rId11"/>
    <sheet name="-------- " sheetId="20" r:id="rId12"/>
    <sheet name="Table 1.1 complete" sheetId="15" r:id="rId13"/>
    <sheet name="Table 1.2 complete" sheetId="16" r:id="rId14"/>
    <sheet name="Table 1.3 complete" sheetId="17" r:id="rId15"/>
    <sheet name="--------" sheetId="18" r:id="rId16"/>
    <sheet name="Table 1.1 II.4" sheetId="3" r:id="rId17"/>
    <sheet name="Table 1.1 II.5" sheetId="1" r:id="rId18"/>
    <sheet name="Table 1.1 II.6" sheetId="4" r:id="rId19"/>
    <sheet name="Table 1.1 II.7" sheetId="5" r:id="rId20"/>
    <sheet name="Table 1.2 II.8" sheetId="6" r:id="rId21"/>
    <sheet name="Table 1.2 II.9" sheetId="8" r:id="rId22"/>
    <sheet name="Table 1.2 II.10" sheetId="9" r:id="rId23"/>
    <sheet name="Table 1.2 II.11" sheetId="10" r:id="rId24"/>
    <sheet name="Table 1.3 II.12" sheetId="11" r:id="rId25"/>
    <sheet name="Table 1.3 II.13" sheetId="12" r:id="rId26"/>
    <sheet name="Table 1.3 II.14" sheetId="13" r:id="rId27"/>
    <sheet name="Table 1.3 II.15" sheetId="14" r:id="rId28"/>
    <sheet name=" --------" sheetId="30" r:id="rId29"/>
    <sheet name="CHP" sheetId="33" r:id="rId30"/>
    <sheet name="Pumps" sheetId="34" r:id="rId31"/>
    <sheet name="Wind" sheetId="35" r:id="rId32"/>
  </sheets>
  <externalReferences>
    <externalReference r:id="rId33"/>
  </externalReferences>
  <definedNames>
    <definedName name="_xlnm._FilterDatabase" localSheetId="2" hidden="1">GEP!$B$8:$V$8</definedName>
    <definedName name="_xlnm._FilterDatabase" localSheetId="3" hidden="1">GEP_add1!$B$8:$AK$8</definedName>
    <definedName name="_xlnm._FilterDatabase" localSheetId="5" hidden="1">GEP_Aggreg!$C$8:$U$8</definedName>
    <definedName name="_xlnm._FilterDatabase" localSheetId="6" hidden="1">NEWAGE!$F$8:$AI$8</definedName>
    <definedName name="_xlnm._FilterDatabase" localSheetId="7" hidden="1">NEWAGE_CCS!$F$8:$AI$8</definedName>
    <definedName name="_xlnm._FilterDatabase" localSheetId="8" hidden="1">NEWAGE_CCS_new_diff!$F$8:$AI$8</definedName>
    <definedName name="_xlnm._FilterDatabase" localSheetId="9" hidden="1">NEWAGE_read!$A$24:$S$43</definedName>
    <definedName name="_xlnm._FilterDatabase" localSheetId="12" hidden="1">'Table 1.1 complete'!$A$5:$N$5</definedName>
    <definedName name="_xlnm._FilterDatabase" localSheetId="13" hidden="1">'Table 1.2 complete'!$A$5:$L$5</definedName>
    <definedName name="_xlnm._FilterDatabase" localSheetId="14" hidden="1">'Table 1.3 complete'!$A$5:$O$5</definedName>
    <definedName name="_xlnm.Print_Area" localSheetId="2">GEP!$A$2:$W$163</definedName>
    <definedName name="_xlnm.Print_Area" localSheetId="3">GEP_add1!$O$2:$AK$165</definedName>
    <definedName name="_xlnm.Print_Area" localSheetId="5">GEP_Aggreg!$B$2:$V$41</definedName>
    <definedName name="_xlnm.Print_Area" localSheetId="4">GEP_Aggtech!$B$2:$F$10</definedName>
    <definedName name="_xlnm.Print_Area" localSheetId="6">NEWAGE!$F$2:$AJ$41</definedName>
    <definedName name="_xlnm.Print_Area" localSheetId="7">NEWAGE_CCS!$F$2:$AJ$41</definedName>
    <definedName name="_xlnm.Print_Area" localSheetId="8">NEWAGE_CCS_new_diff!$F$2:$AJ$41</definedName>
  </definedNames>
  <calcPr calcId="145621" concurrentCalc="0"/>
</workbook>
</file>

<file path=xl/calcChain.xml><?xml version="1.0" encoding="utf-8"?>
<calcChain xmlns="http://schemas.openxmlformats.org/spreadsheetml/2006/main">
  <c r="S43" i="36" l="1"/>
  <c r="C43" i="36"/>
  <c r="D43" i="36"/>
  <c r="E43" i="36"/>
  <c r="F43" i="36"/>
  <c r="G43" i="36"/>
  <c r="H43" i="36"/>
  <c r="I43" i="36"/>
  <c r="J43" i="36"/>
  <c r="K43" i="36"/>
  <c r="L43" i="36"/>
  <c r="M43" i="36"/>
  <c r="N43" i="36"/>
  <c r="O43" i="36"/>
  <c r="P43" i="36"/>
  <c r="Q43" i="36"/>
  <c r="R43" i="36"/>
  <c r="B43" i="36"/>
  <c r="S26" i="36"/>
  <c r="S27" i="36"/>
  <c r="S28" i="36"/>
  <c r="S29" i="36"/>
  <c r="S30" i="36"/>
  <c r="S31" i="36"/>
  <c r="S32" i="36"/>
  <c r="S33" i="36"/>
  <c r="S34" i="36"/>
  <c r="S35" i="36"/>
  <c r="S36" i="36"/>
  <c r="S37" i="36"/>
  <c r="S38" i="36"/>
  <c r="S39" i="36"/>
  <c r="S40" i="36"/>
  <c r="S41" i="36"/>
  <c r="S42" i="36"/>
  <c r="S25" i="36"/>
  <c r="B3" i="36"/>
  <c r="B4" i="36"/>
  <c r="B5" i="36"/>
  <c r="B6" i="36"/>
  <c r="B7" i="36"/>
  <c r="B8" i="36"/>
  <c r="B9" i="36"/>
  <c r="B10" i="36"/>
  <c r="B11" i="36"/>
  <c r="B12" i="36"/>
  <c r="B13" i="36"/>
  <c r="B14" i="36"/>
  <c r="B15" i="36"/>
  <c r="B16" i="36"/>
  <c r="B17" i="36"/>
  <c r="B18" i="36"/>
  <c r="B19" i="36"/>
  <c r="B20" i="36"/>
  <c r="C3" i="36"/>
  <c r="C4" i="36"/>
  <c r="C5" i="36"/>
  <c r="C6" i="36"/>
  <c r="C7" i="36"/>
  <c r="C8" i="36"/>
  <c r="C9" i="36"/>
  <c r="C10" i="36"/>
  <c r="C11" i="36"/>
  <c r="C12" i="36"/>
  <c r="C13" i="36"/>
  <c r="C14" i="36"/>
  <c r="C15" i="36"/>
  <c r="C16" i="36"/>
  <c r="C17" i="36"/>
  <c r="C18" i="36"/>
  <c r="C19" i="36"/>
  <c r="C20" i="36"/>
  <c r="D3" i="36"/>
  <c r="D4" i="36"/>
  <c r="D5" i="36"/>
  <c r="D6" i="36"/>
  <c r="D7" i="36"/>
  <c r="D8" i="36"/>
  <c r="D9" i="36"/>
  <c r="D10" i="36"/>
  <c r="D11" i="36"/>
  <c r="D12" i="36"/>
  <c r="D13" i="36"/>
  <c r="D14" i="36"/>
  <c r="D15" i="36"/>
  <c r="D16" i="36"/>
  <c r="D17" i="36"/>
  <c r="D18" i="36"/>
  <c r="D19" i="36"/>
  <c r="D20" i="36"/>
  <c r="E3" i="36"/>
  <c r="E4" i="36"/>
  <c r="E5" i="36"/>
  <c r="E6" i="36"/>
  <c r="E7" i="36"/>
  <c r="E8" i="36"/>
  <c r="E9" i="36"/>
  <c r="E10" i="36"/>
  <c r="E11" i="36"/>
  <c r="E12" i="36"/>
  <c r="E13" i="36"/>
  <c r="E14" i="36"/>
  <c r="E15" i="36"/>
  <c r="E16" i="36"/>
  <c r="E17" i="36"/>
  <c r="E18" i="36"/>
  <c r="E19" i="36"/>
  <c r="E20" i="36"/>
  <c r="F3" i="36"/>
  <c r="F4" i="36"/>
  <c r="F5" i="36"/>
  <c r="F6" i="36"/>
  <c r="F7" i="36"/>
  <c r="F8" i="36"/>
  <c r="F9" i="36"/>
  <c r="F10" i="36"/>
  <c r="F11" i="36"/>
  <c r="F12" i="36"/>
  <c r="F13" i="36"/>
  <c r="F14" i="36"/>
  <c r="F15" i="36"/>
  <c r="F16" i="36"/>
  <c r="F17" i="36"/>
  <c r="F18" i="36"/>
  <c r="F19" i="36"/>
  <c r="F20" i="36"/>
  <c r="G3" i="36"/>
  <c r="G4" i="36"/>
  <c r="G5" i="36"/>
  <c r="G6" i="36"/>
  <c r="G7" i="36"/>
  <c r="G8" i="36"/>
  <c r="G9" i="36"/>
  <c r="G10" i="36"/>
  <c r="G11" i="36"/>
  <c r="G12" i="36"/>
  <c r="G13" i="36"/>
  <c r="G14" i="36"/>
  <c r="G15" i="36"/>
  <c r="G16" i="36"/>
  <c r="G17" i="36"/>
  <c r="G18" i="36"/>
  <c r="G19" i="36"/>
  <c r="G20" i="36"/>
  <c r="H3" i="36"/>
  <c r="H4" i="36"/>
  <c r="H5" i="36"/>
  <c r="H6" i="36"/>
  <c r="H7" i="36"/>
  <c r="H8" i="36"/>
  <c r="H9" i="36"/>
  <c r="H10" i="36"/>
  <c r="H11" i="36"/>
  <c r="H12" i="36"/>
  <c r="H13" i="36"/>
  <c r="H14" i="36"/>
  <c r="H15" i="36"/>
  <c r="H16" i="36"/>
  <c r="H17" i="36"/>
  <c r="H18" i="36"/>
  <c r="H19" i="36"/>
  <c r="H20" i="36"/>
  <c r="I3" i="36"/>
  <c r="I4" i="36"/>
  <c r="I5" i="36"/>
  <c r="I6" i="36"/>
  <c r="I7" i="36"/>
  <c r="I8" i="36"/>
  <c r="I9" i="36"/>
  <c r="I10" i="36"/>
  <c r="I11" i="36"/>
  <c r="I12" i="36"/>
  <c r="I13" i="36"/>
  <c r="I14" i="36"/>
  <c r="I15" i="36"/>
  <c r="I16" i="36"/>
  <c r="I17" i="36"/>
  <c r="I18" i="36"/>
  <c r="I19" i="36"/>
  <c r="I20" i="36"/>
  <c r="J3" i="36"/>
  <c r="J4" i="36"/>
  <c r="J5" i="36"/>
  <c r="J6" i="36"/>
  <c r="J7" i="36"/>
  <c r="J8" i="36"/>
  <c r="J9" i="36"/>
  <c r="J10" i="36"/>
  <c r="J11" i="36"/>
  <c r="J12" i="36"/>
  <c r="J13" i="36"/>
  <c r="J14" i="36"/>
  <c r="J15" i="36"/>
  <c r="J16" i="36"/>
  <c r="J17" i="36"/>
  <c r="J18" i="36"/>
  <c r="J19" i="36"/>
  <c r="J20" i="36"/>
  <c r="K3" i="36"/>
  <c r="K4" i="36"/>
  <c r="K5" i="36"/>
  <c r="K6" i="36"/>
  <c r="K7" i="36"/>
  <c r="K8" i="36"/>
  <c r="K9" i="36"/>
  <c r="K10" i="36"/>
  <c r="K11" i="36"/>
  <c r="K12" i="36"/>
  <c r="K13" i="36"/>
  <c r="K14" i="36"/>
  <c r="K15" i="36"/>
  <c r="K16" i="36"/>
  <c r="K17" i="36"/>
  <c r="K18" i="36"/>
  <c r="K19" i="36"/>
  <c r="K20" i="36"/>
  <c r="L3" i="36"/>
  <c r="L4" i="36"/>
  <c r="L5" i="36"/>
  <c r="L6" i="36"/>
  <c r="L7" i="36"/>
  <c r="L8" i="36"/>
  <c r="L9" i="36"/>
  <c r="L10" i="36"/>
  <c r="L11" i="36"/>
  <c r="L12" i="36"/>
  <c r="L13" i="36"/>
  <c r="L14" i="36"/>
  <c r="L15" i="36"/>
  <c r="L16" i="36"/>
  <c r="L17" i="36"/>
  <c r="L18" i="36"/>
  <c r="L19" i="36"/>
  <c r="L20" i="36"/>
  <c r="M3" i="36"/>
  <c r="M4" i="36"/>
  <c r="M5" i="36"/>
  <c r="M6" i="36"/>
  <c r="M7" i="36"/>
  <c r="M8" i="36"/>
  <c r="M9" i="36"/>
  <c r="M10" i="36"/>
  <c r="M11" i="36"/>
  <c r="M12" i="36"/>
  <c r="M13" i="36"/>
  <c r="M14" i="36"/>
  <c r="M15" i="36"/>
  <c r="M16" i="36"/>
  <c r="M17" i="36"/>
  <c r="M18" i="36"/>
  <c r="M19" i="36"/>
  <c r="M20" i="36"/>
  <c r="N3" i="36"/>
  <c r="N4" i="36"/>
  <c r="N5" i="36"/>
  <c r="N6" i="36"/>
  <c r="N7" i="36"/>
  <c r="N8" i="36"/>
  <c r="N9" i="36"/>
  <c r="N10" i="36"/>
  <c r="N11" i="36"/>
  <c r="N12" i="36"/>
  <c r="N13" i="36"/>
  <c r="N14" i="36"/>
  <c r="N15" i="36"/>
  <c r="N16" i="36"/>
  <c r="N17" i="36"/>
  <c r="N18" i="36"/>
  <c r="N19" i="36"/>
  <c r="N20" i="36"/>
  <c r="O3" i="36"/>
  <c r="O4" i="36"/>
  <c r="O5" i="36"/>
  <c r="O6" i="36"/>
  <c r="O7" i="36"/>
  <c r="O8" i="36"/>
  <c r="O9" i="36"/>
  <c r="O10" i="36"/>
  <c r="O11" i="36"/>
  <c r="O12" i="36"/>
  <c r="O13" i="36"/>
  <c r="O14" i="36"/>
  <c r="O15" i="36"/>
  <c r="O16" i="36"/>
  <c r="O17" i="36"/>
  <c r="O18" i="36"/>
  <c r="O19" i="36"/>
  <c r="O20" i="36"/>
  <c r="P3" i="36"/>
  <c r="P4" i="36"/>
  <c r="P5" i="36"/>
  <c r="P6" i="36"/>
  <c r="P7" i="36"/>
  <c r="P8" i="36"/>
  <c r="P9" i="36"/>
  <c r="P10" i="36"/>
  <c r="P11" i="36"/>
  <c r="P12" i="36"/>
  <c r="P13" i="36"/>
  <c r="P14" i="36"/>
  <c r="P15" i="36"/>
  <c r="P16" i="36"/>
  <c r="P17" i="36"/>
  <c r="P18" i="36"/>
  <c r="P19" i="36"/>
  <c r="P20" i="36"/>
  <c r="Q3" i="36"/>
  <c r="Q4" i="36"/>
  <c r="Q5" i="36"/>
  <c r="Q6" i="36"/>
  <c r="Q7" i="36"/>
  <c r="Q8" i="36"/>
  <c r="Q9" i="36"/>
  <c r="Q10" i="36"/>
  <c r="Q11" i="36"/>
  <c r="Q12" i="36"/>
  <c r="Q13" i="36"/>
  <c r="Q14" i="36"/>
  <c r="Q15" i="36"/>
  <c r="Q16" i="36"/>
  <c r="Q17" i="36"/>
  <c r="Q18" i="36"/>
  <c r="Q19" i="36"/>
  <c r="Q20" i="36"/>
  <c r="R3" i="36"/>
  <c r="R4" i="36"/>
  <c r="R5" i="36"/>
  <c r="R6" i="36"/>
  <c r="R7" i="36"/>
  <c r="R8" i="36"/>
  <c r="R9" i="36"/>
  <c r="R10" i="36"/>
  <c r="R11" i="36"/>
  <c r="R12" i="36"/>
  <c r="R13" i="36"/>
  <c r="R14" i="36"/>
  <c r="R15" i="36"/>
  <c r="R16" i="36"/>
  <c r="R17" i="36"/>
  <c r="R18" i="36"/>
  <c r="R19" i="36"/>
  <c r="R20" i="36"/>
  <c r="S3" i="36"/>
  <c r="S4" i="36"/>
  <c r="S5" i="36"/>
  <c r="S6" i="36"/>
  <c r="S7" i="36"/>
  <c r="S8" i="36"/>
  <c r="S9" i="36"/>
  <c r="S10" i="36"/>
  <c r="S11" i="36"/>
  <c r="S12" i="36"/>
  <c r="S13" i="36"/>
  <c r="S14" i="36"/>
  <c r="S15" i="36"/>
  <c r="S16" i="36"/>
  <c r="S17" i="36"/>
  <c r="S18" i="36"/>
  <c r="S19" i="36"/>
  <c r="S20" i="36"/>
  <c r="T20" i="36"/>
  <c r="U21" i="36"/>
  <c r="C21" i="36"/>
  <c r="D21" i="36"/>
  <c r="E21" i="36"/>
  <c r="F21" i="36"/>
  <c r="G21" i="36"/>
  <c r="H21" i="36"/>
  <c r="I21" i="36"/>
  <c r="J21" i="36"/>
  <c r="K21" i="36"/>
  <c r="L21" i="36"/>
  <c r="M21" i="36"/>
  <c r="N21" i="36"/>
  <c r="O21" i="36"/>
  <c r="P21" i="36"/>
  <c r="Q21" i="36"/>
  <c r="R21" i="36"/>
  <c r="S21" i="36"/>
  <c r="B21" i="36"/>
  <c r="T19" i="36"/>
  <c r="U19" i="36"/>
  <c r="T18" i="36"/>
  <c r="U18" i="36"/>
  <c r="T17" i="36"/>
  <c r="U17" i="36"/>
  <c r="T16" i="36"/>
  <c r="U16" i="36"/>
  <c r="T15" i="36"/>
  <c r="U15" i="36"/>
  <c r="T14" i="36"/>
  <c r="U14" i="36"/>
  <c r="T13" i="36"/>
  <c r="U13" i="36"/>
  <c r="T12" i="36"/>
  <c r="U12" i="36"/>
  <c r="T11" i="36"/>
  <c r="U11" i="36"/>
  <c r="T10" i="36"/>
  <c r="U10" i="36"/>
  <c r="T9" i="36"/>
  <c r="U9" i="36"/>
  <c r="T8" i="36"/>
  <c r="U8" i="36"/>
  <c r="T7" i="36"/>
  <c r="U7" i="36"/>
  <c r="T6" i="36"/>
  <c r="U6" i="36"/>
  <c r="T5" i="36"/>
  <c r="U5" i="36"/>
  <c r="T4" i="36"/>
  <c r="U4" i="36"/>
  <c r="T3" i="36"/>
  <c r="U3" i="36"/>
  <c r="B2" i="36"/>
  <c r="C2" i="36"/>
  <c r="D2" i="36"/>
  <c r="E2" i="36"/>
  <c r="F2" i="36"/>
  <c r="G2" i="36"/>
  <c r="H2" i="36"/>
  <c r="I2" i="36"/>
  <c r="J2" i="36"/>
  <c r="K2" i="36"/>
  <c r="L2" i="36"/>
  <c r="M2" i="36"/>
  <c r="N2" i="36"/>
  <c r="O2" i="36"/>
  <c r="P2" i="36"/>
  <c r="Q2" i="36"/>
  <c r="R2" i="36"/>
  <c r="S2" i="36"/>
  <c r="I19" i="43"/>
  <c r="J19" i="43"/>
  <c r="K19" i="43"/>
  <c r="L19" i="43"/>
  <c r="M19" i="43"/>
  <c r="N19" i="43"/>
  <c r="O19" i="43"/>
  <c r="P19" i="43"/>
  <c r="Q19" i="43"/>
  <c r="R19" i="43"/>
  <c r="S19" i="43"/>
  <c r="T19" i="43"/>
  <c r="U19" i="43"/>
  <c r="V19" i="43"/>
  <c r="W19" i="43"/>
  <c r="X19" i="43"/>
  <c r="Y19" i="43"/>
  <c r="I20" i="43"/>
  <c r="J20" i="43"/>
  <c r="K20" i="43"/>
  <c r="L20" i="43"/>
  <c r="M20" i="43"/>
  <c r="N20" i="43"/>
  <c r="O20" i="43"/>
  <c r="P20" i="43"/>
  <c r="Q20" i="43"/>
  <c r="R20" i="43"/>
  <c r="S20" i="43"/>
  <c r="T20" i="43"/>
  <c r="U20" i="43"/>
  <c r="V20" i="43"/>
  <c r="W20" i="43"/>
  <c r="X20" i="43"/>
  <c r="Y20" i="43"/>
  <c r="I21" i="43"/>
  <c r="J21" i="43"/>
  <c r="K21" i="43"/>
  <c r="L21" i="43"/>
  <c r="M21" i="43"/>
  <c r="N21" i="43"/>
  <c r="O21" i="43"/>
  <c r="P21" i="43"/>
  <c r="Q21" i="43"/>
  <c r="R21" i="43"/>
  <c r="S21" i="43"/>
  <c r="T21" i="43"/>
  <c r="U21" i="43"/>
  <c r="V21" i="43"/>
  <c r="W21" i="43"/>
  <c r="X21" i="43"/>
  <c r="Y21" i="43"/>
  <c r="I22" i="43"/>
  <c r="J22" i="43"/>
  <c r="K22" i="43"/>
  <c r="L22" i="43"/>
  <c r="M22" i="43"/>
  <c r="N22" i="43"/>
  <c r="O22" i="43"/>
  <c r="P22" i="43"/>
  <c r="Q22" i="43"/>
  <c r="R22" i="43"/>
  <c r="S22" i="43"/>
  <c r="T22" i="43"/>
  <c r="U22" i="43"/>
  <c r="V22" i="43"/>
  <c r="W22" i="43"/>
  <c r="X22" i="43"/>
  <c r="Y22" i="43"/>
  <c r="I23" i="43"/>
  <c r="J23" i="43"/>
  <c r="K23" i="43"/>
  <c r="L23" i="43"/>
  <c r="M23" i="43"/>
  <c r="N23" i="43"/>
  <c r="O23" i="43"/>
  <c r="P23" i="43"/>
  <c r="Q23" i="43"/>
  <c r="R23" i="43"/>
  <c r="S23" i="43"/>
  <c r="T23" i="43"/>
  <c r="U23" i="43"/>
  <c r="V23" i="43"/>
  <c r="W23" i="43"/>
  <c r="X23" i="43"/>
  <c r="Y23" i="43"/>
  <c r="I24" i="43"/>
  <c r="J24" i="43"/>
  <c r="K24" i="43"/>
  <c r="L24" i="43"/>
  <c r="M24" i="43"/>
  <c r="N24" i="43"/>
  <c r="O24" i="43"/>
  <c r="P24" i="43"/>
  <c r="Q24" i="43"/>
  <c r="R24" i="43"/>
  <c r="S24" i="43"/>
  <c r="T24" i="43"/>
  <c r="U24" i="43"/>
  <c r="V24" i="43"/>
  <c r="W24" i="43"/>
  <c r="X24" i="43"/>
  <c r="Y24" i="43"/>
  <c r="I25" i="43"/>
  <c r="J25" i="43"/>
  <c r="K25" i="43"/>
  <c r="L25" i="43"/>
  <c r="M25" i="43"/>
  <c r="N25" i="43"/>
  <c r="O25" i="43"/>
  <c r="P25" i="43"/>
  <c r="Q25" i="43"/>
  <c r="R25" i="43"/>
  <c r="S25" i="43"/>
  <c r="T25" i="43"/>
  <c r="U25" i="43"/>
  <c r="V25" i="43"/>
  <c r="W25" i="43"/>
  <c r="X25" i="43"/>
  <c r="Y25" i="43"/>
  <c r="I26" i="43"/>
  <c r="J26" i="43"/>
  <c r="K26" i="43"/>
  <c r="L26" i="43"/>
  <c r="M26" i="43"/>
  <c r="N26" i="43"/>
  <c r="O26" i="43"/>
  <c r="P26" i="43"/>
  <c r="Q26" i="43"/>
  <c r="R26" i="43"/>
  <c r="S26" i="43"/>
  <c r="T26" i="43"/>
  <c r="U26" i="43"/>
  <c r="V26" i="43"/>
  <c r="W26" i="43"/>
  <c r="X26" i="43"/>
  <c r="Y26" i="43"/>
  <c r="H26" i="43"/>
  <c r="H25" i="43"/>
  <c r="H24" i="43"/>
  <c r="H20" i="43"/>
  <c r="H21" i="43"/>
  <c r="H22" i="43"/>
  <c r="H23" i="43"/>
  <c r="H19" i="43"/>
  <c r="I14" i="43"/>
  <c r="J14" i="43"/>
  <c r="K14" i="43"/>
  <c r="L14" i="43"/>
  <c r="M14" i="43"/>
  <c r="N14" i="43"/>
  <c r="O14" i="43"/>
  <c r="P14" i="43"/>
  <c r="Q14" i="43"/>
  <c r="R14" i="43"/>
  <c r="S14" i="43"/>
  <c r="T14" i="43"/>
  <c r="U14" i="43"/>
  <c r="V14" i="43"/>
  <c r="W14" i="43"/>
  <c r="X14" i="43"/>
  <c r="Y14" i="43"/>
  <c r="I15" i="43"/>
  <c r="J15" i="43"/>
  <c r="K15" i="43"/>
  <c r="L15" i="43"/>
  <c r="M15" i="43"/>
  <c r="N15" i="43"/>
  <c r="O15" i="43"/>
  <c r="P15" i="43"/>
  <c r="Q15" i="43"/>
  <c r="R15" i="43"/>
  <c r="S15" i="43"/>
  <c r="T15" i="43"/>
  <c r="U15" i="43"/>
  <c r="V15" i="43"/>
  <c r="W15" i="43"/>
  <c r="X15" i="43"/>
  <c r="Y15" i="43"/>
  <c r="I16" i="43"/>
  <c r="J16" i="43"/>
  <c r="K16" i="43"/>
  <c r="L16" i="43"/>
  <c r="M16" i="43"/>
  <c r="N16" i="43"/>
  <c r="O16" i="43"/>
  <c r="P16" i="43"/>
  <c r="Q16" i="43"/>
  <c r="R16" i="43"/>
  <c r="S16" i="43"/>
  <c r="T16" i="43"/>
  <c r="U16" i="43"/>
  <c r="V16" i="43"/>
  <c r="W16" i="43"/>
  <c r="X16" i="43"/>
  <c r="Y16" i="43"/>
  <c r="I17" i="43"/>
  <c r="J17" i="43"/>
  <c r="K17" i="43"/>
  <c r="L17" i="43"/>
  <c r="M17" i="43"/>
  <c r="N17" i="43"/>
  <c r="O17" i="43"/>
  <c r="P17" i="43"/>
  <c r="Q17" i="43"/>
  <c r="R17" i="43"/>
  <c r="S17" i="43"/>
  <c r="T17" i="43"/>
  <c r="U17" i="43"/>
  <c r="V17" i="43"/>
  <c r="W17" i="43"/>
  <c r="X17" i="43"/>
  <c r="Y17" i="43"/>
  <c r="I18" i="43"/>
  <c r="J18" i="43"/>
  <c r="K18" i="43"/>
  <c r="L18" i="43"/>
  <c r="M18" i="43"/>
  <c r="N18" i="43"/>
  <c r="O18" i="43"/>
  <c r="P18" i="43"/>
  <c r="Q18" i="43"/>
  <c r="R18" i="43"/>
  <c r="S18" i="43"/>
  <c r="T18" i="43"/>
  <c r="U18" i="43"/>
  <c r="V18" i="43"/>
  <c r="W18" i="43"/>
  <c r="X18" i="43"/>
  <c r="Y18" i="43"/>
  <c r="H18" i="43"/>
  <c r="H17" i="43"/>
  <c r="H15" i="43"/>
  <c r="H16" i="43"/>
  <c r="H14" i="43"/>
  <c r="H11" i="43"/>
  <c r="I11" i="43"/>
  <c r="J11" i="43"/>
  <c r="K11" i="43"/>
  <c r="L11" i="43"/>
  <c r="M11" i="43"/>
  <c r="N11" i="43"/>
  <c r="O11" i="43"/>
  <c r="P11" i="43"/>
  <c r="Q11" i="43"/>
  <c r="R11" i="43"/>
  <c r="S11" i="43"/>
  <c r="T11" i="43"/>
  <c r="U11" i="43"/>
  <c r="V11" i="43"/>
  <c r="W11" i="43"/>
  <c r="X11" i="43"/>
  <c r="Y11" i="43"/>
  <c r="H12" i="43"/>
  <c r="I12" i="43"/>
  <c r="J12" i="43"/>
  <c r="K12" i="43"/>
  <c r="L12" i="43"/>
  <c r="M12" i="43"/>
  <c r="N12" i="43"/>
  <c r="O12" i="43"/>
  <c r="P12" i="43"/>
  <c r="Q12" i="43"/>
  <c r="R12" i="43"/>
  <c r="S12" i="43"/>
  <c r="T12" i="43"/>
  <c r="U12" i="43"/>
  <c r="V12" i="43"/>
  <c r="W12" i="43"/>
  <c r="X12" i="43"/>
  <c r="Y12" i="43"/>
  <c r="H13" i="43"/>
  <c r="I13" i="43"/>
  <c r="J13" i="43"/>
  <c r="K13" i="43"/>
  <c r="L13" i="43"/>
  <c r="M13" i="43"/>
  <c r="N13" i="43"/>
  <c r="O13" i="43"/>
  <c r="P13" i="43"/>
  <c r="Q13" i="43"/>
  <c r="R13" i="43"/>
  <c r="S13" i="43"/>
  <c r="T13" i="43"/>
  <c r="U13" i="43"/>
  <c r="V13" i="43"/>
  <c r="W13" i="43"/>
  <c r="X13" i="43"/>
  <c r="Y13" i="43"/>
  <c r="I10" i="43"/>
  <c r="J10" i="43"/>
  <c r="K10" i="43"/>
  <c r="L10" i="43"/>
  <c r="M10" i="43"/>
  <c r="N10" i="43"/>
  <c r="O10" i="43"/>
  <c r="P10" i="43"/>
  <c r="Q10" i="43"/>
  <c r="R10" i="43"/>
  <c r="S10" i="43"/>
  <c r="T10" i="43"/>
  <c r="U10" i="43"/>
  <c r="V10" i="43"/>
  <c r="W10" i="43"/>
  <c r="X10" i="43"/>
  <c r="Y10" i="43"/>
  <c r="H10" i="43"/>
  <c r="N11" i="46"/>
  <c r="O11" i="46"/>
  <c r="P11" i="46"/>
  <c r="Q11" i="46"/>
  <c r="R11" i="46"/>
  <c r="S11" i="46"/>
  <c r="T11" i="46"/>
  <c r="U11" i="46"/>
  <c r="V11" i="46"/>
  <c r="W11" i="46"/>
  <c r="X11" i="46"/>
  <c r="Y11" i="46"/>
  <c r="N12" i="46"/>
  <c r="O12" i="46"/>
  <c r="P12" i="46"/>
  <c r="Q12" i="46"/>
  <c r="R12" i="46"/>
  <c r="S12" i="46"/>
  <c r="T12" i="46"/>
  <c r="U12" i="46"/>
  <c r="V12" i="46"/>
  <c r="W12" i="46"/>
  <c r="X12" i="46"/>
  <c r="Y12" i="46"/>
  <c r="N13" i="46"/>
  <c r="O13" i="46"/>
  <c r="P13" i="46"/>
  <c r="Q13" i="46"/>
  <c r="R13" i="46"/>
  <c r="S13" i="46"/>
  <c r="T13" i="46"/>
  <c r="U13" i="46"/>
  <c r="V13" i="46"/>
  <c r="W13" i="46"/>
  <c r="X13" i="46"/>
  <c r="Y13" i="46"/>
  <c r="N14" i="46"/>
  <c r="O14" i="46"/>
  <c r="P14" i="46"/>
  <c r="Q14" i="46"/>
  <c r="R14" i="46"/>
  <c r="S14" i="46"/>
  <c r="T14" i="46"/>
  <c r="U14" i="46"/>
  <c r="V14" i="46"/>
  <c r="W14" i="46"/>
  <c r="X14" i="46"/>
  <c r="Y14" i="46"/>
  <c r="N15" i="46"/>
  <c r="O15" i="46"/>
  <c r="P15" i="46"/>
  <c r="Q15" i="46"/>
  <c r="R15" i="46"/>
  <c r="S15" i="46"/>
  <c r="T15" i="46"/>
  <c r="U15" i="46"/>
  <c r="V15" i="46"/>
  <c r="W15" i="46"/>
  <c r="X15" i="46"/>
  <c r="Y15" i="46"/>
  <c r="N16" i="46"/>
  <c r="O16" i="46"/>
  <c r="P16" i="46"/>
  <c r="Q16" i="46"/>
  <c r="R16" i="46"/>
  <c r="S16" i="46"/>
  <c r="T16" i="46"/>
  <c r="U16" i="46"/>
  <c r="V16" i="46"/>
  <c r="W16" i="46"/>
  <c r="X16" i="46"/>
  <c r="Y16" i="46"/>
  <c r="N17" i="46"/>
  <c r="O17" i="46"/>
  <c r="P17" i="46"/>
  <c r="Q17" i="46"/>
  <c r="R17" i="46"/>
  <c r="S17" i="46"/>
  <c r="T17" i="46"/>
  <c r="U17" i="46"/>
  <c r="V17" i="46"/>
  <c r="W17" i="46"/>
  <c r="X17" i="46"/>
  <c r="Y17" i="46"/>
  <c r="N18" i="46"/>
  <c r="O18" i="46"/>
  <c r="P18" i="46"/>
  <c r="Q18" i="46"/>
  <c r="R18" i="46"/>
  <c r="S18" i="46"/>
  <c r="T18" i="46"/>
  <c r="U18" i="46"/>
  <c r="V18" i="46"/>
  <c r="W18" i="46"/>
  <c r="X18" i="46"/>
  <c r="Y18" i="46"/>
  <c r="N19" i="46"/>
  <c r="O19" i="46"/>
  <c r="P19" i="46"/>
  <c r="Q19" i="46"/>
  <c r="R19" i="46"/>
  <c r="S19" i="46"/>
  <c r="T19" i="46"/>
  <c r="U19" i="46"/>
  <c r="V19" i="46"/>
  <c r="W19" i="46"/>
  <c r="X19" i="46"/>
  <c r="Y19" i="46"/>
  <c r="N20" i="46"/>
  <c r="O20" i="46"/>
  <c r="P20" i="46"/>
  <c r="Q20" i="46"/>
  <c r="R20" i="46"/>
  <c r="S20" i="46"/>
  <c r="T20" i="46"/>
  <c r="U20" i="46"/>
  <c r="V20" i="46"/>
  <c r="W20" i="46"/>
  <c r="X20" i="46"/>
  <c r="Y20" i="46"/>
  <c r="N21" i="46"/>
  <c r="O21" i="46"/>
  <c r="P21" i="46"/>
  <c r="Q21" i="46"/>
  <c r="R21" i="46"/>
  <c r="S21" i="46"/>
  <c r="T21" i="46"/>
  <c r="U21" i="46"/>
  <c r="V21" i="46"/>
  <c r="W21" i="46"/>
  <c r="X21" i="46"/>
  <c r="Y21" i="46"/>
  <c r="N22" i="46"/>
  <c r="O22" i="46"/>
  <c r="P22" i="46"/>
  <c r="Q22" i="46"/>
  <c r="R22" i="46"/>
  <c r="S22" i="46"/>
  <c r="T22" i="46"/>
  <c r="U22" i="46"/>
  <c r="V22" i="46"/>
  <c r="W22" i="46"/>
  <c r="X22" i="46"/>
  <c r="Y22" i="46"/>
  <c r="N23" i="46"/>
  <c r="O23" i="46"/>
  <c r="P23" i="46"/>
  <c r="Q23" i="46"/>
  <c r="R23" i="46"/>
  <c r="S23" i="46"/>
  <c r="T23" i="46"/>
  <c r="U23" i="46"/>
  <c r="V23" i="46"/>
  <c r="W23" i="46"/>
  <c r="X23" i="46"/>
  <c r="Y23" i="46"/>
  <c r="N24" i="46"/>
  <c r="O24" i="46"/>
  <c r="P24" i="46"/>
  <c r="Q24" i="46"/>
  <c r="R24" i="46"/>
  <c r="S24" i="46"/>
  <c r="T24" i="46"/>
  <c r="U24" i="46"/>
  <c r="V24" i="46"/>
  <c r="W24" i="46"/>
  <c r="X24" i="46"/>
  <c r="Y24" i="46"/>
  <c r="N25" i="46"/>
  <c r="O25" i="46"/>
  <c r="P25" i="46"/>
  <c r="Q25" i="46"/>
  <c r="R25" i="46"/>
  <c r="S25" i="46"/>
  <c r="T25" i="46"/>
  <c r="U25" i="46"/>
  <c r="V25" i="46"/>
  <c r="W25" i="46"/>
  <c r="X25" i="46"/>
  <c r="Y25" i="46"/>
  <c r="N26" i="46"/>
  <c r="O26" i="46"/>
  <c r="P26" i="46"/>
  <c r="Q26" i="46"/>
  <c r="R26" i="46"/>
  <c r="S26" i="46"/>
  <c r="T26" i="46"/>
  <c r="U26" i="46"/>
  <c r="V26" i="46"/>
  <c r="W26" i="46"/>
  <c r="X26" i="46"/>
  <c r="Y26" i="46"/>
  <c r="Y10" i="46"/>
  <c r="X10" i="46"/>
  <c r="R10" i="46"/>
  <c r="Q10" i="46"/>
  <c r="AF11" i="46"/>
  <c r="AF10" i="46"/>
  <c r="AF24" i="46"/>
  <c r="AH24" i="46"/>
  <c r="U10" i="46"/>
  <c r="T10" i="46"/>
  <c r="P10" i="46"/>
  <c r="O10" i="46"/>
  <c r="N10" i="46"/>
  <c r="H11" i="46"/>
  <c r="I11" i="46"/>
  <c r="J11" i="46"/>
  <c r="K11" i="46"/>
  <c r="L11" i="46"/>
  <c r="M11" i="46"/>
  <c r="H12" i="46"/>
  <c r="I12" i="46"/>
  <c r="J12" i="46"/>
  <c r="K12" i="46"/>
  <c r="L12" i="46"/>
  <c r="M12" i="46"/>
  <c r="H13" i="46"/>
  <c r="I13" i="46"/>
  <c r="J13" i="46"/>
  <c r="K13" i="46"/>
  <c r="L13" i="46"/>
  <c r="M13" i="46"/>
  <c r="H14" i="46"/>
  <c r="I14" i="46"/>
  <c r="J14" i="46"/>
  <c r="K14" i="46"/>
  <c r="L14" i="46"/>
  <c r="M14" i="46"/>
  <c r="H15" i="46"/>
  <c r="I15" i="46"/>
  <c r="J15" i="46"/>
  <c r="K15" i="46"/>
  <c r="L15" i="46"/>
  <c r="M15" i="46"/>
  <c r="H16" i="46"/>
  <c r="I16" i="46"/>
  <c r="J16" i="46"/>
  <c r="K16" i="46"/>
  <c r="L16" i="46"/>
  <c r="M16" i="46"/>
  <c r="H17" i="46"/>
  <c r="I17" i="46"/>
  <c r="J17" i="46"/>
  <c r="K17" i="46"/>
  <c r="L17" i="46"/>
  <c r="M17" i="46"/>
  <c r="H18" i="46"/>
  <c r="I18" i="46"/>
  <c r="J18" i="46"/>
  <c r="K18" i="46"/>
  <c r="L18" i="46"/>
  <c r="M18" i="46"/>
  <c r="H19" i="46"/>
  <c r="I19" i="46"/>
  <c r="J19" i="46"/>
  <c r="K19" i="46"/>
  <c r="L19" i="46"/>
  <c r="M19" i="46"/>
  <c r="H20" i="46"/>
  <c r="I20" i="46"/>
  <c r="J20" i="46"/>
  <c r="K20" i="46"/>
  <c r="L20" i="46"/>
  <c r="M20" i="46"/>
  <c r="H21" i="46"/>
  <c r="I21" i="46"/>
  <c r="J21" i="46"/>
  <c r="K21" i="46"/>
  <c r="L21" i="46"/>
  <c r="M21" i="46"/>
  <c r="H22" i="46"/>
  <c r="I22" i="46"/>
  <c r="J22" i="46"/>
  <c r="K22" i="46"/>
  <c r="L22" i="46"/>
  <c r="M22" i="46"/>
  <c r="H23" i="46"/>
  <c r="I23" i="46"/>
  <c r="J23" i="46"/>
  <c r="K23" i="46"/>
  <c r="L23" i="46"/>
  <c r="M23" i="46"/>
  <c r="H24" i="46"/>
  <c r="I24" i="46"/>
  <c r="J24" i="46"/>
  <c r="K24" i="46"/>
  <c r="L24" i="46"/>
  <c r="M24" i="46"/>
  <c r="H25" i="46"/>
  <c r="I25" i="46"/>
  <c r="J25" i="46"/>
  <c r="K25" i="46"/>
  <c r="L25" i="46"/>
  <c r="M25" i="46"/>
  <c r="H26" i="46"/>
  <c r="I26" i="46"/>
  <c r="J26" i="46"/>
  <c r="K26" i="46"/>
  <c r="L26" i="46"/>
  <c r="M26" i="46"/>
  <c r="I10" i="46"/>
  <c r="J10" i="46"/>
  <c r="K10" i="46"/>
  <c r="L10" i="46"/>
  <c r="M10" i="46"/>
  <c r="S10" i="46"/>
  <c r="V10" i="46"/>
  <c r="W10" i="46"/>
  <c r="H10" i="46"/>
  <c r="S1" i="46"/>
  <c r="AJ41" i="46"/>
  <c r="H41" i="46"/>
  <c r="I41" i="46"/>
  <c r="J41" i="46"/>
  <c r="K41" i="46"/>
  <c r="L41" i="46"/>
  <c r="M41" i="46"/>
  <c r="N41" i="46"/>
  <c r="O41" i="46"/>
  <c r="P41" i="46"/>
  <c r="Q41" i="46"/>
  <c r="R41" i="46"/>
  <c r="S41" i="46"/>
  <c r="T41" i="46"/>
  <c r="U41" i="46"/>
  <c r="V41" i="46"/>
  <c r="W41" i="46"/>
  <c r="Z41" i="46"/>
  <c r="AA41" i="46"/>
  <c r="AB41" i="46"/>
  <c r="AC41" i="46"/>
  <c r="AF41" i="46"/>
  <c r="AI41" i="46"/>
  <c r="AH41" i="46"/>
  <c r="AG41" i="46"/>
  <c r="AJ40" i="46"/>
  <c r="H40" i="46"/>
  <c r="I40" i="46"/>
  <c r="J40" i="46"/>
  <c r="K40" i="46"/>
  <c r="L40" i="46"/>
  <c r="M40" i="46"/>
  <c r="N40" i="46"/>
  <c r="O40" i="46"/>
  <c r="P40" i="46"/>
  <c r="Q40" i="46"/>
  <c r="R40" i="46"/>
  <c r="S40" i="46"/>
  <c r="T40" i="46"/>
  <c r="U40" i="46"/>
  <c r="V40" i="46"/>
  <c r="W40" i="46"/>
  <c r="Z40" i="46"/>
  <c r="AA40" i="46"/>
  <c r="AB40" i="46"/>
  <c r="AC40" i="46"/>
  <c r="AF40" i="46"/>
  <c r="AI40" i="46"/>
  <c r="AH40" i="46"/>
  <c r="AG40" i="46"/>
  <c r="AJ39" i="46"/>
  <c r="H39" i="46"/>
  <c r="I39" i="46"/>
  <c r="J39" i="46"/>
  <c r="K39" i="46"/>
  <c r="L39" i="46"/>
  <c r="M39" i="46"/>
  <c r="N39" i="46"/>
  <c r="O39" i="46"/>
  <c r="P39" i="46"/>
  <c r="Q39" i="46"/>
  <c r="R39" i="46"/>
  <c r="S39" i="46"/>
  <c r="T39" i="46"/>
  <c r="U39" i="46"/>
  <c r="V39" i="46"/>
  <c r="W39" i="46"/>
  <c r="Z39" i="46"/>
  <c r="AA39" i="46"/>
  <c r="AB39" i="46"/>
  <c r="AC39" i="46"/>
  <c r="AF39" i="46"/>
  <c r="AI39" i="46"/>
  <c r="AH39" i="46"/>
  <c r="AG39" i="46"/>
  <c r="AJ38" i="46"/>
  <c r="H38" i="46"/>
  <c r="I38" i="46"/>
  <c r="J38" i="46"/>
  <c r="K38" i="46"/>
  <c r="L38" i="46"/>
  <c r="M38" i="46"/>
  <c r="N38" i="46"/>
  <c r="O38" i="46"/>
  <c r="P38" i="46"/>
  <c r="Q38" i="46"/>
  <c r="R38" i="46"/>
  <c r="S38" i="46"/>
  <c r="T38" i="46"/>
  <c r="U38" i="46"/>
  <c r="V38" i="46"/>
  <c r="W38" i="46"/>
  <c r="Z38" i="46"/>
  <c r="AA38" i="46"/>
  <c r="AB38" i="46"/>
  <c r="AC38" i="46"/>
  <c r="AF38" i="46"/>
  <c r="AI38" i="46"/>
  <c r="AH38" i="46"/>
  <c r="AG38" i="46"/>
  <c r="AJ37" i="46"/>
  <c r="H37" i="46"/>
  <c r="I37" i="46"/>
  <c r="J37" i="46"/>
  <c r="K37" i="46"/>
  <c r="L37" i="46"/>
  <c r="M37" i="46"/>
  <c r="N37" i="46"/>
  <c r="O37" i="46"/>
  <c r="P37" i="46"/>
  <c r="Q37" i="46"/>
  <c r="R37" i="46"/>
  <c r="S37" i="46"/>
  <c r="T37" i="46"/>
  <c r="U37" i="46"/>
  <c r="V37" i="46"/>
  <c r="W37" i="46"/>
  <c r="Z37" i="46"/>
  <c r="AA37" i="46"/>
  <c r="AB37" i="46"/>
  <c r="AC37" i="46"/>
  <c r="AF37" i="46"/>
  <c r="AI37" i="46"/>
  <c r="AH37" i="46"/>
  <c r="AG37" i="46"/>
  <c r="AJ36" i="46"/>
  <c r="H36" i="46"/>
  <c r="I36" i="46"/>
  <c r="J36" i="46"/>
  <c r="K36" i="46"/>
  <c r="L36" i="46"/>
  <c r="M36" i="46"/>
  <c r="N36" i="46"/>
  <c r="O36" i="46"/>
  <c r="P36" i="46"/>
  <c r="Q36" i="46"/>
  <c r="R36" i="46"/>
  <c r="S36" i="46"/>
  <c r="T36" i="46"/>
  <c r="U36" i="46"/>
  <c r="V36" i="46"/>
  <c r="W36" i="46"/>
  <c r="Z36" i="46"/>
  <c r="AA36" i="46"/>
  <c r="AB36" i="46"/>
  <c r="AC36" i="46"/>
  <c r="AF36" i="46"/>
  <c r="AI36" i="46"/>
  <c r="AH36" i="46"/>
  <c r="AG36" i="46"/>
  <c r="AJ35" i="46"/>
  <c r="H35" i="46"/>
  <c r="I35" i="46"/>
  <c r="J35" i="46"/>
  <c r="K35" i="46"/>
  <c r="L35" i="46"/>
  <c r="M35" i="46"/>
  <c r="N35" i="46"/>
  <c r="O35" i="46"/>
  <c r="P35" i="46"/>
  <c r="Q35" i="46"/>
  <c r="R35" i="46"/>
  <c r="S35" i="46"/>
  <c r="T35" i="46"/>
  <c r="U35" i="46"/>
  <c r="V35" i="46"/>
  <c r="W35" i="46"/>
  <c r="Z35" i="46"/>
  <c r="AA35" i="46"/>
  <c r="AB35" i="46"/>
  <c r="AC35" i="46"/>
  <c r="AF35" i="46"/>
  <c r="AI35" i="46"/>
  <c r="AH35" i="46"/>
  <c r="AG35" i="46"/>
  <c r="AJ34" i="46"/>
  <c r="H34" i="46"/>
  <c r="I34" i="46"/>
  <c r="J34" i="46"/>
  <c r="K34" i="46"/>
  <c r="L34" i="46"/>
  <c r="M34" i="46"/>
  <c r="N34" i="46"/>
  <c r="O34" i="46"/>
  <c r="P34" i="46"/>
  <c r="Q34" i="46"/>
  <c r="R34" i="46"/>
  <c r="S34" i="46"/>
  <c r="T34" i="46"/>
  <c r="U34" i="46"/>
  <c r="V34" i="46"/>
  <c r="W34" i="46"/>
  <c r="Z34" i="46"/>
  <c r="AA34" i="46"/>
  <c r="AB34" i="46"/>
  <c r="AC34" i="46"/>
  <c r="AF34" i="46"/>
  <c r="AI34" i="46"/>
  <c r="AH34" i="46"/>
  <c r="AG34" i="46"/>
  <c r="AJ33" i="46"/>
  <c r="H33" i="46"/>
  <c r="I33" i="46"/>
  <c r="J33" i="46"/>
  <c r="K33" i="46"/>
  <c r="L33" i="46"/>
  <c r="M33" i="46"/>
  <c r="N33" i="46"/>
  <c r="O33" i="46"/>
  <c r="P33" i="46"/>
  <c r="Q33" i="46"/>
  <c r="R33" i="46"/>
  <c r="S33" i="46"/>
  <c r="T33" i="46"/>
  <c r="U33" i="46"/>
  <c r="V33" i="46"/>
  <c r="W33" i="46"/>
  <c r="Z33" i="46"/>
  <c r="AA33" i="46"/>
  <c r="AB33" i="46"/>
  <c r="AC33" i="46"/>
  <c r="AF33" i="46"/>
  <c r="AI33" i="46"/>
  <c r="AH33" i="46"/>
  <c r="AG33" i="46"/>
  <c r="AJ32" i="46"/>
  <c r="H32" i="46"/>
  <c r="I32" i="46"/>
  <c r="J32" i="46"/>
  <c r="K32" i="46"/>
  <c r="L32" i="46"/>
  <c r="M32" i="46"/>
  <c r="N32" i="46"/>
  <c r="O32" i="46"/>
  <c r="P32" i="46"/>
  <c r="Q32" i="46"/>
  <c r="R32" i="46"/>
  <c r="S32" i="46"/>
  <c r="T32" i="46"/>
  <c r="U32" i="46"/>
  <c r="V32" i="46"/>
  <c r="W32" i="46"/>
  <c r="Z32" i="46"/>
  <c r="AA32" i="46"/>
  <c r="AB32" i="46"/>
  <c r="AC32" i="46"/>
  <c r="AF32" i="46"/>
  <c r="AI32" i="46"/>
  <c r="AH32" i="46"/>
  <c r="AG32" i="46"/>
  <c r="AJ31" i="46"/>
  <c r="H31" i="46"/>
  <c r="I31" i="46"/>
  <c r="J31" i="46"/>
  <c r="K31" i="46"/>
  <c r="L31" i="46"/>
  <c r="M31" i="46"/>
  <c r="N31" i="46"/>
  <c r="O31" i="46"/>
  <c r="P31" i="46"/>
  <c r="Q31" i="46"/>
  <c r="R31" i="46"/>
  <c r="S31" i="46"/>
  <c r="T31" i="46"/>
  <c r="U31" i="46"/>
  <c r="V31" i="46"/>
  <c r="W31" i="46"/>
  <c r="Z31" i="46"/>
  <c r="AA31" i="46"/>
  <c r="AB31" i="46"/>
  <c r="AC31" i="46"/>
  <c r="AF31" i="46"/>
  <c r="AI31" i="46"/>
  <c r="AH31" i="46"/>
  <c r="AG31" i="46"/>
  <c r="AJ30" i="46"/>
  <c r="H30" i="46"/>
  <c r="I30" i="46"/>
  <c r="J30" i="46"/>
  <c r="K30" i="46"/>
  <c r="L30" i="46"/>
  <c r="M30" i="46"/>
  <c r="N30" i="46"/>
  <c r="O30" i="46"/>
  <c r="P30" i="46"/>
  <c r="Q30" i="46"/>
  <c r="R30" i="46"/>
  <c r="S30" i="46"/>
  <c r="T30" i="46"/>
  <c r="U30" i="46"/>
  <c r="V30" i="46"/>
  <c r="W30" i="46"/>
  <c r="Z30" i="46"/>
  <c r="AA30" i="46"/>
  <c r="AB30" i="46"/>
  <c r="AC30" i="46"/>
  <c r="AF30" i="46"/>
  <c r="AI30" i="46"/>
  <c r="AH30" i="46"/>
  <c r="AG30" i="46"/>
  <c r="AJ29" i="46"/>
  <c r="H29" i="46"/>
  <c r="I29" i="46"/>
  <c r="J29" i="46"/>
  <c r="K29" i="46"/>
  <c r="L29" i="46"/>
  <c r="M29" i="46"/>
  <c r="N29" i="46"/>
  <c r="O29" i="46"/>
  <c r="P29" i="46"/>
  <c r="Q29" i="46"/>
  <c r="R29" i="46"/>
  <c r="S29" i="46"/>
  <c r="T29" i="46"/>
  <c r="U29" i="46"/>
  <c r="V29" i="46"/>
  <c r="W29" i="46"/>
  <c r="Z29" i="46"/>
  <c r="AA29" i="46"/>
  <c r="AB29" i="46"/>
  <c r="AC29" i="46"/>
  <c r="AF29" i="46"/>
  <c r="AI29" i="46"/>
  <c r="AH29" i="46"/>
  <c r="AG29" i="46"/>
  <c r="AJ28" i="46"/>
  <c r="H28" i="46"/>
  <c r="I28" i="46"/>
  <c r="J28" i="46"/>
  <c r="K28" i="46"/>
  <c r="L28" i="46"/>
  <c r="M28" i="46"/>
  <c r="N28" i="46"/>
  <c r="O28" i="46"/>
  <c r="P28" i="46"/>
  <c r="Q28" i="46"/>
  <c r="R28" i="46"/>
  <c r="S28" i="46"/>
  <c r="T28" i="46"/>
  <c r="U28" i="46"/>
  <c r="V28" i="46"/>
  <c r="W28" i="46"/>
  <c r="Z28" i="46"/>
  <c r="AA28" i="46"/>
  <c r="AB28" i="46"/>
  <c r="AC28" i="46"/>
  <c r="AF28" i="46"/>
  <c r="AI28" i="46"/>
  <c r="AH28" i="46"/>
  <c r="AG28" i="46"/>
  <c r="AJ27" i="46"/>
  <c r="H27" i="46"/>
  <c r="I27" i="46"/>
  <c r="J27" i="46"/>
  <c r="K27" i="46"/>
  <c r="L27" i="46"/>
  <c r="M27" i="46"/>
  <c r="N27" i="46"/>
  <c r="O27" i="46"/>
  <c r="P27" i="46"/>
  <c r="Q27" i="46"/>
  <c r="R27" i="46"/>
  <c r="S27" i="46"/>
  <c r="T27" i="46"/>
  <c r="U27" i="46"/>
  <c r="V27" i="46"/>
  <c r="W27" i="46"/>
  <c r="Z27" i="46"/>
  <c r="AA27" i="46"/>
  <c r="AB27" i="46"/>
  <c r="AC27" i="46"/>
  <c r="AF27" i="46"/>
  <c r="AI27" i="46"/>
  <c r="AH27" i="46"/>
  <c r="AG27" i="46"/>
  <c r="AJ26" i="46"/>
  <c r="Z26" i="46"/>
  <c r="AA26" i="46"/>
  <c r="AB26" i="46"/>
  <c r="AC26" i="46"/>
  <c r="AF26" i="46"/>
  <c r="AI26" i="46"/>
  <c r="AH26" i="46"/>
  <c r="AG26" i="46"/>
  <c r="E26" i="46"/>
  <c r="D26" i="46"/>
  <c r="C26" i="46"/>
  <c r="B26" i="46"/>
  <c r="AJ25" i="46"/>
  <c r="Z25" i="46"/>
  <c r="AA25" i="46"/>
  <c r="AB25" i="46"/>
  <c r="AC25" i="46"/>
  <c r="AF25" i="46"/>
  <c r="AI25" i="46"/>
  <c r="AH25" i="46"/>
  <c r="AG25" i="46"/>
  <c r="E25" i="46"/>
  <c r="D25" i="46"/>
  <c r="C25" i="46"/>
  <c r="B25" i="46"/>
  <c r="AJ24" i="46"/>
  <c r="Z24" i="46"/>
  <c r="AA24" i="46"/>
  <c r="AB24" i="46"/>
  <c r="AC24" i="46"/>
  <c r="AI24" i="46"/>
  <c r="AG24" i="46"/>
  <c r="E24" i="46"/>
  <c r="D24" i="46"/>
  <c r="C24" i="46"/>
  <c r="B24" i="46"/>
  <c r="AJ23" i="46"/>
  <c r="Z23" i="46"/>
  <c r="AA23" i="46"/>
  <c r="AB23" i="46"/>
  <c r="AC23" i="46"/>
  <c r="AF23" i="46"/>
  <c r="AI23" i="46"/>
  <c r="AH23" i="46"/>
  <c r="AG23" i="46"/>
  <c r="E23" i="46"/>
  <c r="D23" i="46"/>
  <c r="C23" i="46"/>
  <c r="B23" i="46"/>
  <c r="AJ22" i="46"/>
  <c r="Z22" i="46"/>
  <c r="AA22" i="46"/>
  <c r="AB22" i="46"/>
  <c r="AC22" i="46"/>
  <c r="AF22" i="46"/>
  <c r="AI22" i="46"/>
  <c r="AH22" i="46"/>
  <c r="AG22" i="46"/>
  <c r="E22" i="46"/>
  <c r="D22" i="46"/>
  <c r="C22" i="46"/>
  <c r="B22" i="46"/>
  <c r="AJ21" i="46"/>
  <c r="Z21" i="46"/>
  <c r="AA21" i="46"/>
  <c r="AB21" i="46"/>
  <c r="AC21" i="46"/>
  <c r="AF21" i="46"/>
  <c r="AI21" i="46"/>
  <c r="AH21" i="46"/>
  <c r="AG21" i="46"/>
  <c r="E21" i="46"/>
  <c r="D21" i="46"/>
  <c r="C21" i="46"/>
  <c r="B21" i="46"/>
  <c r="AJ20" i="46"/>
  <c r="Z20" i="46"/>
  <c r="AA20" i="46"/>
  <c r="AB20" i="46"/>
  <c r="AC20" i="46"/>
  <c r="AF20" i="46"/>
  <c r="AI20" i="46"/>
  <c r="AH20" i="46"/>
  <c r="AG20" i="46"/>
  <c r="E20" i="46"/>
  <c r="D20" i="46"/>
  <c r="C20" i="46"/>
  <c r="B20" i="46"/>
  <c r="AJ19" i="46"/>
  <c r="Z19" i="46"/>
  <c r="AA19" i="46"/>
  <c r="AB19" i="46"/>
  <c r="AC19" i="46"/>
  <c r="AF19" i="46"/>
  <c r="AI19" i="46"/>
  <c r="AH19" i="46"/>
  <c r="AG19" i="46"/>
  <c r="E19" i="46"/>
  <c r="D19" i="46"/>
  <c r="C19" i="46"/>
  <c r="B19" i="46"/>
  <c r="AJ18" i="46"/>
  <c r="Z18" i="46"/>
  <c r="AA18" i="46"/>
  <c r="AB18" i="46"/>
  <c r="AC18" i="46"/>
  <c r="AF18" i="46"/>
  <c r="AI18" i="46"/>
  <c r="AH18" i="46"/>
  <c r="AG18" i="46"/>
  <c r="E18" i="46"/>
  <c r="D18" i="46"/>
  <c r="C18" i="46"/>
  <c r="B18" i="46"/>
  <c r="AJ17" i="46"/>
  <c r="Z17" i="46"/>
  <c r="AA17" i="46"/>
  <c r="AB17" i="46"/>
  <c r="AC17" i="46"/>
  <c r="AF17" i="46"/>
  <c r="AI17" i="46"/>
  <c r="AH17" i="46"/>
  <c r="AG17" i="46"/>
  <c r="E17" i="46"/>
  <c r="D17" i="46"/>
  <c r="C17" i="46"/>
  <c r="B17" i="46"/>
  <c r="AJ16" i="46"/>
  <c r="Z16" i="46"/>
  <c r="AA16" i="46"/>
  <c r="AB16" i="46"/>
  <c r="AC16" i="46"/>
  <c r="AF16" i="46"/>
  <c r="AI16" i="46"/>
  <c r="AH16" i="46"/>
  <c r="AG16" i="46"/>
  <c r="E16" i="46"/>
  <c r="D16" i="46"/>
  <c r="C16" i="46"/>
  <c r="B16" i="46"/>
  <c r="AJ15" i="46"/>
  <c r="Z15" i="46"/>
  <c r="AA15" i="46"/>
  <c r="AB15" i="46"/>
  <c r="AC15" i="46"/>
  <c r="AF15" i="46"/>
  <c r="AI15" i="46"/>
  <c r="AH15" i="46"/>
  <c r="AG15" i="46"/>
  <c r="E15" i="46"/>
  <c r="D15" i="46"/>
  <c r="C15" i="46"/>
  <c r="B15" i="46"/>
  <c r="AJ14" i="46"/>
  <c r="Z14" i="46"/>
  <c r="AA14" i="46"/>
  <c r="AB14" i="46"/>
  <c r="AC14" i="46"/>
  <c r="AF14" i="46"/>
  <c r="AI14" i="46"/>
  <c r="AH14" i="46"/>
  <c r="AG14" i="46"/>
  <c r="E14" i="46"/>
  <c r="D14" i="46"/>
  <c r="C14" i="46"/>
  <c r="B14" i="46"/>
  <c r="AJ13" i="46"/>
  <c r="Z13" i="46"/>
  <c r="AA13" i="46"/>
  <c r="AB13" i="46"/>
  <c r="AC13" i="46"/>
  <c r="AF13" i="46"/>
  <c r="AI13" i="46"/>
  <c r="AH13" i="46"/>
  <c r="AG13" i="46"/>
  <c r="E13" i="46"/>
  <c r="D13" i="46"/>
  <c r="C13" i="46"/>
  <c r="B13" i="46"/>
  <c r="AJ12" i="46"/>
  <c r="Z12" i="46"/>
  <c r="AA12" i="46"/>
  <c r="AB12" i="46"/>
  <c r="AC12" i="46"/>
  <c r="AF12" i="46"/>
  <c r="AI12" i="46"/>
  <c r="AH12" i="46"/>
  <c r="AG12" i="46"/>
  <c r="E12" i="46"/>
  <c r="D12" i="46"/>
  <c r="C12" i="46"/>
  <c r="B12" i="46"/>
  <c r="AJ11" i="46"/>
  <c r="Z11" i="46"/>
  <c r="AA11" i="46"/>
  <c r="AB11" i="46"/>
  <c r="AC11" i="46"/>
  <c r="AI11" i="46"/>
  <c r="AH11" i="46"/>
  <c r="AG11" i="46"/>
  <c r="E11" i="46"/>
  <c r="D11" i="46"/>
  <c r="C11" i="46"/>
  <c r="B11" i="46"/>
  <c r="AJ10" i="46"/>
  <c r="Z10" i="46"/>
  <c r="AA10" i="46"/>
  <c r="AB10" i="46"/>
  <c r="AC10" i="46"/>
  <c r="AI10" i="46"/>
  <c r="AH10" i="46"/>
  <c r="AG10" i="46"/>
  <c r="E10" i="46"/>
  <c r="D10" i="46"/>
  <c r="C10" i="46"/>
  <c r="B10" i="46"/>
  <c r="W8" i="46"/>
  <c r="AJ41" i="45"/>
  <c r="H41" i="45"/>
  <c r="I41" i="45"/>
  <c r="J41" i="45"/>
  <c r="K41" i="45"/>
  <c r="L41" i="45"/>
  <c r="M41" i="45"/>
  <c r="N41" i="45"/>
  <c r="O41" i="45"/>
  <c r="P41" i="45"/>
  <c r="Q41" i="45"/>
  <c r="R41" i="45"/>
  <c r="S41" i="45"/>
  <c r="T41" i="45"/>
  <c r="U41" i="45"/>
  <c r="V41" i="45"/>
  <c r="W41" i="45"/>
  <c r="Z41" i="45"/>
  <c r="AA41" i="45"/>
  <c r="AB41" i="45"/>
  <c r="AC41" i="45"/>
  <c r="AF41" i="45"/>
  <c r="AI41" i="45"/>
  <c r="AH41" i="45"/>
  <c r="AG41" i="45"/>
  <c r="AJ40" i="45"/>
  <c r="H40" i="45"/>
  <c r="I40" i="45"/>
  <c r="J40" i="45"/>
  <c r="K40" i="45"/>
  <c r="L40" i="45"/>
  <c r="M40" i="45"/>
  <c r="N40" i="45"/>
  <c r="O40" i="45"/>
  <c r="P40" i="45"/>
  <c r="Q40" i="45"/>
  <c r="R40" i="45"/>
  <c r="S40" i="45"/>
  <c r="T40" i="45"/>
  <c r="U40" i="45"/>
  <c r="V40" i="45"/>
  <c r="W40" i="45"/>
  <c r="Z40" i="45"/>
  <c r="AA40" i="45"/>
  <c r="AB40" i="45"/>
  <c r="AC40" i="45"/>
  <c r="AF40" i="45"/>
  <c r="AI40" i="45"/>
  <c r="AH40" i="45"/>
  <c r="AG40" i="45"/>
  <c r="AJ39" i="45"/>
  <c r="H39" i="45"/>
  <c r="I39" i="45"/>
  <c r="J39" i="45"/>
  <c r="K39" i="45"/>
  <c r="L39" i="45"/>
  <c r="M39" i="45"/>
  <c r="N39" i="45"/>
  <c r="O39" i="45"/>
  <c r="P39" i="45"/>
  <c r="Q39" i="45"/>
  <c r="R39" i="45"/>
  <c r="S39" i="45"/>
  <c r="T39" i="45"/>
  <c r="U39" i="45"/>
  <c r="V39" i="45"/>
  <c r="W39" i="45"/>
  <c r="Z39" i="45"/>
  <c r="AA39" i="45"/>
  <c r="AB39" i="45"/>
  <c r="AC39" i="45"/>
  <c r="AF39" i="45"/>
  <c r="AI39" i="45"/>
  <c r="AH39" i="45"/>
  <c r="AG39" i="45"/>
  <c r="AJ38" i="45"/>
  <c r="H38" i="45"/>
  <c r="I38" i="45"/>
  <c r="J38" i="45"/>
  <c r="K38" i="45"/>
  <c r="L38" i="45"/>
  <c r="M38" i="45"/>
  <c r="N38" i="45"/>
  <c r="O38" i="45"/>
  <c r="P38" i="45"/>
  <c r="Q38" i="45"/>
  <c r="R38" i="45"/>
  <c r="S38" i="45"/>
  <c r="T38" i="45"/>
  <c r="U38" i="45"/>
  <c r="V38" i="45"/>
  <c r="W38" i="45"/>
  <c r="Z38" i="45"/>
  <c r="AA38" i="45"/>
  <c r="AB38" i="45"/>
  <c r="AC38" i="45"/>
  <c r="AF38" i="45"/>
  <c r="AI38" i="45"/>
  <c r="AH38" i="45"/>
  <c r="AG38" i="45"/>
  <c r="AJ37" i="45"/>
  <c r="H37" i="45"/>
  <c r="I37" i="45"/>
  <c r="J37" i="45"/>
  <c r="K37" i="45"/>
  <c r="L37" i="45"/>
  <c r="M37" i="45"/>
  <c r="N37" i="45"/>
  <c r="O37" i="45"/>
  <c r="P37" i="45"/>
  <c r="Q37" i="45"/>
  <c r="R37" i="45"/>
  <c r="S37" i="45"/>
  <c r="T37" i="45"/>
  <c r="U37" i="45"/>
  <c r="V37" i="45"/>
  <c r="W37" i="45"/>
  <c r="Z37" i="45"/>
  <c r="AA37" i="45"/>
  <c r="AB37" i="45"/>
  <c r="AC37" i="45"/>
  <c r="AF37" i="45"/>
  <c r="AI37" i="45"/>
  <c r="AH37" i="45"/>
  <c r="AG37" i="45"/>
  <c r="AJ36" i="45"/>
  <c r="H36" i="45"/>
  <c r="I36" i="45"/>
  <c r="J36" i="45"/>
  <c r="K36" i="45"/>
  <c r="L36" i="45"/>
  <c r="M36" i="45"/>
  <c r="N36" i="45"/>
  <c r="O36" i="45"/>
  <c r="P36" i="45"/>
  <c r="Q36" i="45"/>
  <c r="R36" i="45"/>
  <c r="S36" i="45"/>
  <c r="T36" i="45"/>
  <c r="U36" i="45"/>
  <c r="V36" i="45"/>
  <c r="W36" i="45"/>
  <c r="Z36" i="45"/>
  <c r="AA36" i="45"/>
  <c r="AB36" i="45"/>
  <c r="AC36" i="45"/>
  <c r="AF36" i="45"/>
  <c r="AI36" i="45"/>
  <c r="AH36" i="45"/>
  <c r="AG36" i="45"/>
  <c r="AJ35" i="45"/>
  <c r="H35" i="45"/>
  <c r="I35" i="45"/>
  <c r="J35" i="45"/>
  <c r="K35" i="45"/>
  <c r="L35" i="45"/>
  <c r="M35" i="45"/>
  <c r="N35" i="45"/>
  <c r="O35" i="45"/>
  <c r="P35" i="45"/>
  <c r="Q35" i="45"/>
  <c r="R35" i="45"/>
  <c r="S35" i="45"/>
  <c r="T35" i="45"/>
  <c r="U35" i="45"/>
  <c r="V35" i="45"/>
  <c r="W35" i="45"/>
  <c r="Z35" i="45"/>
  <c r="AA35" i="45"/>
  <c r="AB35" i="45"/>
  <c r="AC35" i="45"/>
  <c r="AF35" i="45"/>
  <c r="AI35" i="45"/>
  <c r="AH35" i="45"/>
  <c r="AG35" i="45"/>
  <c r="AJ34" i="45"/>
  <c r="H34" i="45"/>
  <c r="I34" i="45"/>
  <c r="J34" i="45"/>
  <c r="K34" i="45"/>
  <c r="L34" i="45"/>
  <c r="M34" i="45"/>
  <c r="N34" i="45"/>
  <c r="O34" i="45"/>
  <c r="P34" i="45"/>
  <c r="Q34" i="45"/>
  <c r="R34" i="45"/>
  <c r="S34" i="45"/>
  <c r="T34" i="45"/>
  <c r="U34" i="45"/>
  <c r="V34" i="45"/>
  <c r="W34" i="45"/>
  <c r="Z34" i="45"/>
  <c r="AA34" i="45"/>
  <c r="AB34" i="45"/>
  <c r="AC34" i="45"/>
  <c r="AF34" i="45"/>
  <c r="AI34" i="45"/>
  <c r="AH34" i="45"/>
  <c r="AG34" i="45"/>
  <c r="AJ33" i="45"/>
  <c r="H33" i="45"/>
  <c r="I33" i="45"/>
  <c r="J33" i="45"/>
  <c r="K33" i="45"/>
  <c r="L33" i="45"/>
  <c r="M33" i="45"/>
  <c r="N33" i="45"/>
  <c r="O33" i="45"/>
  <c r="P33" i="45"/>
  <c r="Q33" i="45"/>
  <c r="R33" i="45"/>
  <c r="S33" i="45"/>
  <c r="T33" i="45"/>
  <c r="U33" i="45"/>
  <c r="V33" i="45"/>
  <c r="W33" i="45"/>
  <c r="Z33" i="45"/>
  <c r="AA33" i="45"/>
  <c r="AB33" i="45"/>
  <c r="AC33" i="45"/>
  <c r="AF33" i="45"/>
  <c r="AI33" i="45"/>
  <c r="AH33" i="45"/>
  <c r="AG33" i="45"/>
  <c r="AJ32" i="45"/>
  <c r="H32" i="45"/>
  <c r="I32" i="45"/>
  <c r="J32" i="45"/>
  <c r="K32" i="45"/>
  <c r="L32" i="45"/>
  <c r="M32" i="45"/>
  <c r="N32" i="45"/>
  <c r="O32" i="45"/>
  <c r="P32" i="45"/>
  <c r="Q32" i="45"/>
  <c r="R32" i="45"/>
  <c r="S32" i="45"/>
  <c r="T32" i="45"/>
  <c r="U32" i="45"/>
  <c r="V32" i="45"/>
  <c r="W32" i="45"/>
  <c r="Z32" i="45"/>
  <c r="AA32" i="45"/>
  <c r="AB32" i="45"/>
  <c r="AC32" i="45"/>
  <c r="AF32" i="45"/>
  <c r="AI32" i="45"/>
  <c r="AH32" i="45"/>
  <c r="AG32" i="45"/>
  <c r="AJ31" i="45"/>
  <c r="H31" i="45"/>
  <c r="I31" i="45"/>
  <c r="J31" i="45"/>
  <c r="K31" i="45"/>
  <c r="L31" i="45"/>
  <c r="M31" i="45"/>
  <c r="N31" i="45"/>
  <c r="O31" i="45"/>
  <c r="P31" i="45"/>
  <c r="Q31" i="45"/>
  <c r="R31" i="45"/>
  <c r="S31" i="45"/>
  <c r="T31" i="45"/>
  <c r="U31" i="45"/>
  <c r="V31" i="45"/>
  <c r="W31" i="45"/>
  <c r="Z31" i="45"/>
  <c r="AA31" i="45"/>
  <c r="AB31" i="45"/>
  <c r="AC31" i="45"/>
  <c r="AF31" i="45"/>
  <c r="AI31" i="45"/>
  <c r="AH31" i="45"/>
  <c r="AG31" i="45"/>
  <c r="AJ30" i="45"/>
  <c r="H30" i="45"/>
  <c r="I30" i="45"/>
  <c r="J30" i="45"/>
  <c r="K30" i="45"/>
  <c r="L30" i="45"/>
  <c r="M30" i="45"/>
  <c r="N30" i="45"/>
  <c r="O30" i="45"/>
  <c r="P30" i="45"/>
  <c r="Q30" i="45"/>
  <c r="R30" i="45"/>
  <c r="S30" i="45"/>
  <c r="T30" i="45"/>
  <c r="U30" i="45"/>
  <c r="V30" i="45"/>
  <c r="W30" i="45"/>
  <c r="Z30" i="45"/>
  <c r="AA30" i="45"/>
  <c r="AB30" i="45"/>
  <c r="AC30" i="45"/>
  <c r="AF30" i="45"/>
  <c r="AI30" i="45"/>
  <c r="AH30" i="45"/>
  <c r="AG30" i="45"/>
  <c r="AJ29" i="45"/>
  <c r="H29" i="45"/>
  <c r="I29" i="45"/>
  <c r="J29" i="45"/>
  <c r="K29" i="45"/>
  <c r="L29" i="45"/>
  <c r="M29" i="45"/>
  <c r="N29" i="45"/>
  <c r="O29" i="45"/>
  <c r="P29" i="45"/>
  <c r="Q29" i="45"/>
  <c r="R29" i="45"/>
  <c r="S29" i="45"/>
  <c r="T29" i="45"/>
  <c r="U29" i="45"/>
  <c r="V29" i="45"/>
  <c r="W29" i="45"/>
  <c r="Z29" i="45"/>
  <c r="AA29" i="45"/>
  <c r="AB29" i="45"/>
  <c r="AC29" i="45"/>
  <c r="AF29" i="45"/>
  <c r="AI29" i="45"/>
  <c r="AH29" i="45"/>
  <c r="AG29" i="45"/>
  <c r="AJ28" i="45"/>
  <c r="H28" i="45"/>
  <c r="I28" i="45"/>
  <c r="J28" i="45"/>
  <c r="K28" i="45"/>
  <c r="L28" i="45"/>
  <c r="M28" i="45"/>
  <c r="N28" i="45"/>
  <c r="O28" i="45"/>
  <c r="P28" i="45"/>
  <c r="Q28" i="45"/>
  <c r="R28" i="45"/>
  <c r="S28" i="45"/>
  <c r="T28" i="45"/>
  <c r="U28" i="45"/>
  <c r="V28" i="45"/>
  <c r="W28" i="45"/>
  <c r="Z28" i="45"/>
  <c r="AA28" i="45"/>
  <c r="AB28" i="45"/>
  <c r="AC28" i="45"/>
  <c r="AF28" i="45"/>
  <c r="AI28" i="45"/>
  <c r="AH28" i="45"/>
  <c r="AG28" i="45"/>
  <c r="AJ27" i="45"/>
  <c r="H27" i="45"/>
  <c r="I27" i="45"/>
  <c r="J27" i="45"/>
  <c r="K27" i="45"/>
  <c r="L27" i="45"/>
  <c r="M27" i="45"/>
  <c r="N27" i="45"/>
  <c r="O27" i="45"/>
  <c r="P27" i="45"/>
  <c r="Q27" i="45"/>
  <c r="R27" i="45"/>
  <c r="S27" i="45"/>
  <c r="T27" i="45"/>
  <c r="U27" i="45"/>
  <c r="V27" i="45"/>
  <c r="W27" i="45"/>
  <c r="Z27" i="45"/>
  <c r="AA27" i="45"/>
  <c r="AB27" i="45"/>
  <c r="AC27" i="45"/>
  <c r="AF27" i="45"/>
  <c r="AI27" i="45"/>
  <c r="AH27" i="45"/>
  <c r="AG27" i="45"/>
  <c r="AJ26" i="45"/>
  <c r="H26" i="45"/>
  <c r="J26" i="45"/>
  <c r="I26" i="45"/>
  <c r="K26" i="45"/>
  <c r="M26" i="45"/>
  <c r="L26" i="45"/>
  <c r="N26" i="45"/>
  <c r="O26" i="45"/>
  <c r="P26" i="45"/>
  <c r="Q26" i="45"/>
  <c r="S26" i="45"/>
  <c r="R26" i="45"/>
  <c r="T26" i="45"/>
  <c r="V26" i="45"/>
  <c r="U26" i="45"/>
  <c r="W26" i="45"/>
  <c r="Z26" i="45"/>
  <c r="AA26" i="45"/>
  <c r="AB26" i="45"/>
  <c r="AC26" i="45"/>
  <c r="AF26" i="45"/>
  <c r="AI26" i="45"/>
  <c r="AH26" i="45"/>
  <c r="AG26" i="45"/>
  <c r="E26" i="45"/>
  <c r="D26" i="45"/>
  <c r="C26" i="45"/>
  <c r="B26" i="45"/>
  <c r="AJ25" i="45"/>
  <c r="H25" i="45"/>
  <c r="J25" i="45"/>
  <c r="I25" i="45"/>
  <c r="K25" i="45"/>
  <c r="M25" i="45"/>
  <c r="L25" i="45"/>
  <c r="N25" i="45"/>
  <c r="O25" i="45"/>
  <c r="P25" i="45"/>
  <c r="Q25" i="45"/>
  <c r="S25" i="45"/>
  <c r="R25" i="45"/>
  <c r="T25" i="45"/>
  <c r="V25" i="45"/>
  <c r="U25" i="45"/>
  <c r="W25" i="45"/>
  <c r="Z25" i="45"/>
  <c r="AA25" i="45"/>
  <c r="AB25" i="45"/>
  <c r="AC25" i="45"/>
  <c r="AF25" i="45"/>
  <c r="AI25" i="45"/>
  <c r="AH25" i="45"/>
  <c r="AG25" i="45"/>
  <c r="E25" i="45"/>
  <c r="D25" i="45"/>
  <c r="C25" i="45"/>
  <c r="B25" i="45"/>
  <c r="AJ24" i="45"/>
  <c r="H24" i="45"/>
  <c r="J24" i="45"/>
  <c r="I24" i="45"/>
  <c r="K24" i="45"/>
  <c r="M24" i="45"/>
  <c r="L24" i="45"/>
  <c r="N24" i="45"/>
  <c r="O24" i="45"/>
  <c r="P24" i="45"/>
  <c r="Q24" i="45"/>
  <c r="S24" i="45"/>
  <c r="R24" i="45"/>
  <c r="T24" i="45"/>
  <c r="V24" i="45"/>
  <c r="U24" i="45"/>
  <c r="W24" i="45"/>
  <c r="Z24" i="45"/>
  <c r="AA24" i="45"/>
  <c r="AB24" i="45"/>
  <c r="AC24" i="45"/>
  <c r="AF24" i="45"/>
  <c r="AI24" i="45"/>
  <c r="AH24" i="45"/>
  <c r="AG24" i="45"/>
  <c r="E24" i="45"/>
  <c r="D24" i="45"/>
  <c r="C24" i="45"/>
  <c r="B24" i="45"/>
  <c r="AJ23" i="45"/>
  <c r="H23" i="45"/>
  <c r="J23" i="45"/>
  <c r="I23" i="45"/>
  <c r="K23" i="45"/>
  <c r="M23" i="45"/>
  <c r="L23" i="45"/>
  <c r="N23" i="45"/>
  <c r="O23" i="45"/>
  <c r="P23" i="45"/>
  <c r="Q23" i="45"/>
  <c r="S23" i="45"/>
  <c r="R23" i="45"/>
  <c r="T23" i="45"/>
  <c r="U23" i="45"/>
  <c r="V23" i="45"/>
  <c r="W23" i="45"/>
  <c r="Z23" i="45"/>
  <c r="AA23" i="45"/>
  <c r="AB23" i="45"/>
  <c r="AC23" i="45"/>
  <c r="AF23" i="45"/>
  <c r="AI23" i="45"/>
  <c r="AH23" i="45"/>
  <c r="AG23" i="45"/>
  <c r="E23" i="45"/>
  <c r="D23" i="45"/>
  <c r="C23" i="45"/>
  <c r="B23" i="45"/>
  <c r="AJ22" i="45"/>
  <c r="H22" i="45"/>
  <c r="J22" i="45"/>
  <c r="I22" i="45"/>
  <c r="K22" i="45"/>
  <c r="M22" i="45"/>
  <c r="L22" i="45"/>
  <c r="N22" i="45"/>
  <c r="O22" i="45"/>
  <c r="P22" i="45"/>
  <c r="Q22" i="45"/>
  <c r="S22" i="45"/>
  <c r="R22" i="45"/>
  <c r="T22" i="45"/>
  <c r="V22" i="45"/>
  <c r="U22" i="45"/>
  <c r="W22" i="45"/>
  <c r="Z22" i="45"/>
  <c r="AA22" i="45"/>
  <c r="AB22" i="45"/>
  <c r="AC22" i="45"/>
  <c r="AF22" i="45"/>
  <c r="AI22" i="45"/>
  <c r="AH22" i="45"/>
  <c r="AG22" i="45"/>
  <c r="E22" i="45"/>
  <c r="D22" i="45"/>
  <c r="C22" i="45"/>
  <c r="B22" i="45"/>
  <c r="AJ21" i="45"/>
  <c r="H21" i="45"/>
  <c r="J21" i="45"/>
  <c r="I21" i="45"/>
  <c r="K21" i="45"/>
  <c r="M21" i="45"/>
  <c r="L21" i="45"/>
  <c r="N21" i="45"/>
  <c r="O21" i="45"/>
  <c r="P21" i="45"/>
  <c r="Q21" i="45"/>
  <c r="S21" i="45"/>
  <c r="R21" i="45"/>
  <c r="T21" i="45"/>
  <c r="V21" i="45"/>
  <c r="U21" i="45"/>
  <c r="W21" i="45"/>
  <c r="Z21" i="45"/>
  <c r="AA21" i="45"/>
  <c r="AB21" i="45"/>
  <c r="AC21" i="45"/>
  <c r="AF21" i="45"/>
  <c r="AI21" i="45"/>
  <c r="AH21" i="45"/>
  <c r="AG21" i="45"/>
  <c r="E21" i="45"/>
  <c r="D21" i="45"/>
  <c r="C21" i="45"/>
  <c r="B21" i="45"/>
  <c r="AJ20" i="45"/>
  <c r="H20" i="45"/>
  <c r="J20" i="45"/>
  <c r="I20" i="45"/>
  <c r="K20" i="45"/>
  <c r="M20" i="45"/>
  <c r="L20" i="45"/>
  <c r="N20" i="45"/>
  <c r="O20" i="45"/>
  <c r="P20" i="45"/>
  <c r="Q20" i="45"/>
  <c r="S20" i="45"/>
  <c r="R20" i="45"/>
  <c r="T20" i="45"/>
  <c r="V20" i="45"/>
  <c r="U20" i="45"/>
  <c r="W20" i="45"/>
  <c r="Z20" i="45"/>
  <c r="AA20" i="45"/>
  <c r="AB20" i="45"/>
  <c r="AC20" i="45"/>
  <c r="AF20" i="45"/>
  <c r="AI20" i="45"/>
  <c r="AH20" i="45"/>
  <c r="AG20" i="45"/>
  <c r="E20" i="45"/>
  <c r="D20" i="45"/>
  <c r="C20" i="45"/>
  <c r="B20" i="45"/>
  <c r="AJ19" i="45"/>
  <c r="H19" i="45"/>
  <c r="J19" i="45"/>
  <c r="I19" i="45"/>
  <c r="K19" i="45"/>
  <c r="M19" i="45"/>
  <c r="L19" i="45"/>
  <c r="N19" i="45"/>
  <c r="O19" i="45"/>
  <c r="P19" i="45"/>
  <c r="Q19" i="45"/>
  <c r="S19" i="45"/>
  <c r="R19" i="45"/>
  <c r="T19" i="45"/>
  <c r="V19" i="45"/>
  <c r="U19" i="45"/>
  <c r="W19" i="45"/>
  <c r="Z19" i="45"/>
  <c r="AA19" i="45"/>
  <c r="AB19" i="45"/>
  <c r="AC19" i="45"/>
  <c r="AF19" i="45"/>
  <c r="AI19" i="45"/>
  <c r="AH19" i="45"/>
  <c r="AG19" i="45"/>
  <c r="E19" i="45"/>
  <c r="D19" i="45"/>
  <c r="C19" i="45"/>
  <c r="B19" i="45"/>
  <c r="AJ18" i="45"/>
  <c r="H18" i="45"/>
  <c r="I18" i="45"/>
  <c r="J18" i="45"/>
  <c r="K18" i="45"/>
  <c r="L18" i="45"/>
  <c r="M18" i="45"/>
  <c r="N18" i="45"/>
  <c r="O18" i="45"/>
  <c r="P18" i="45"/>
  <c r="Q18" i="45"/>
  <c r="S18" i="45"/>
  <c r="R18" i="45"/>
  <c r="T18" i="45"/>
  <c r="V18" i="45"/>
  <c r="U18" i="45"/>
  <c r="W18" i="45"/>
  <c r="Z18" i="45"/>
  <c r="AA18" i="45"/>
  <c r="AB18" i="45"/>
  <c r="AC18" i="45"/>
  <c r="AF18" i="45"/>
  <c r="AI18" i="45"/>
  <c r="AH18" i="45"/>
  <c r="AG18" i="45"/>
  <c r="E18" i="45"/>
  <c r="D18" i="45"/>
  <c r="C18" i="45"/>
  <c r="B18" i="45"/>
  <c r="AJ17" i="45"/>
  <c r="H17" i="45"/>
  <c r="J17" i="45"/>
  <c r="I17" i="45"/>
  <c r="K17" i="45"/>
  <c r="M17" i="45"/>
  <c r="L17" i="45"/>
  <c r="N17" i="45"/>
  <c r="O17" i="45"/>
  <c r="P17" i="45"/>
  <c r="Q17" i="45"/>
  <c r="S17" i="45"/>
  <c r="R17" i="45"/>
  <c r="T17" i="45"/>
  <c r="V17" i="45"/>
  <c r="U17" i="45"/>
  <c r="W17" i="45"/>
  <c r="Z17" i="45"/>
  <c r="AA17" i="45"/>
  <c r="AB17" i="45"/>
  <c r="AC17" i="45"/>
  <c r="AF17" i="45"/>
  <c r="AI17" i="45"/>
  <c r="AH17" i="45"/>
  <c r="AG17" i="45"/>
  <c r="E17" i="45"/>
  <c r="D17" i="45"/>
  <c r="C17" i="45"/>
  <c r="B17" i="45"/>
  <c r="AJ16" i="45"/>
  <c r="H16" i="45"/>
  <c r="J16" i="45"/>
  <c r="I16" i="45"/>
  <c r="K16" i="45"/>
  <c r="M16" i="45"/>
  <c r="L16" i="45"/>
  <c r="N16" i="45"/>
  <c r="O16" i="45"/>
  <c r="P16" i="45"/>
  <c r="Q16" i="45"/>
  <c r="S16" i="45"/>
  <c r="R16" i="45"/>
  <c r="T16" i="45"/>
  <c r="V16" i="45"/>
  <c r="U16" i="45"/>
  <c r="W16" i="45"/>
  <c r="Z16" i="45"/>
  <c r="AA16" i="45"/>
  <c r="AB16" i="45"/>
  <c r="AC16" i="45"/>
  <c r="AF16" i="45"/>
  <c r="AI16" i="45"/>
  <c r="AH16" i="45"/>
  <c r="AG16" i="45"/>
  <c r="E16" i="45"/>
  <c r="D16" i="45"/>
  <c r="C16" i="45"/>
  <c r="B16" i="45"/>
  <c r="AJ15" i="45"/>
  <c r="H15" i="45"/>
  <c r="J15" i="45"/>
  <c r="I15" i="45"/>
  <c r="K15" i="45"/>
  <c r="M15" i="45"/>
  <c r="L15" i="45"/>
  <c r="N15" i="45"/>
  <c r="O15" i="45"/>
  <c r="P15" i="45"/>
  <c r="Q15" i="45"/>
  <c r="S15" i="45"/>
  <c r="R15" i="45"/>
  <c r="T15" i="45"/>
  <c r="V15" i="45"/>
  <c r="U15" i="45"/>
  <c r="W15" i="45"/>
  <c r="Z15" i="45"/>
  <c r="AA15" i="45"/>
  <c r="AB15" i="45"/>
  <c r="AC15" i="45"/>
  <c r="AF15" i="45"/>
  <c r="AI15" i="45"/>
  <c r="AH15" i="45"/>
  <c r="AG15" i="45"/>
  <c r="E15" i="45"/>
  <c r="D15" i="45"/>
  <c r="C15" i="45"/>
  <c r="B15" i="45"/>
  <c r="AJ14" i="45"/>
  <c r="H14" i="45"/>
  <c r="J14" i="45"/>
  <c r="I14" i="45"/>
  <c r="K14" i="45"/>
  <c r="M14" i="45"/>
  <c r="L14" i="45"/>
  <c r="N14" i="45"/>
  <c r="O14" i="45"/>
  <c r="P14" i="45"/>
  <c r="Q14" i="45"/>
  <c r="S14" i="45"/>
  <c r="T14" i="45"/>
  <c r="V14" i="45"/>
  <c r="U14" i="45"/>
  <c r="W14" i="45"/>
  <c r="Z14" i="45"/>
  <c r="AA14" i="45"/>
  <c r="AB14" i="45"/>
  <c r="AC14" i="45"/>
  <c r="AF14" i="45"/>
  <c r="AI14" i="45"/>
  <c r="AH14" i="45"/>
  <c r="AG14" i="45"/>
  <c r="E14" i="45"/>
  <c r="D14" i="45"/>
  <c r="C14" i="45"/>
  <c r="B14" i="45"/>
  <c r="AJ13" i="45"/>
  <c r="H13" i="45"/>
  <c r="I13" i="45"/>
  <c r="J13" i="45"/>
  <c r="K13" i="45"/>
  <c r="L13" i="45"/>
  <c r="M13" i="45"/>
  <c r="O13" i="45"/>
  <c r="P13" i="45"/>
  <c r="S13" i="45"/>
  <c r="V13" i="45"/>
  <c r="U13" i="45"/>
  <c r="W13" i="45"/>
  <c r="Z13" i="45"/>
  <c r="AA13" i="45"/>
  <c r="AB13" i="45"/>
  <c r="AC13" i="45"/>
  <c r="AF13" i="45"/>
  <c r="AI13" i="45"/>
  <c r="AH13" i="45"/>
  <c r="AG13" i="45"/>
  <c r="E13" i="45"/>
  <c r="D13" i="45"/>
  <c r="C13" i="45"/>
  <c r="B13" i="45"/>
  <c r="AJ12" i="45"/>
  <c r="H12" i="45"/>
  <c r="J12" i="45"/>
  <c r="I12" i="45"/>
  <c r="K12" i="45"/>
  <c r="L12" i="45"/>
  <c r="M12" i="45"/>
  <c r="N12" i="45"/>
  <c r="O12" i="45"/>
  <c r="P12" i="45"/>
  <c r="Q12" i="45"/>
  <c r="S12" i="45"/>
  <c r="T12" i="45"/>
  <c r="V12" i="45"/>
  <c r="U12" i="45"/>
  <c r="W12" i="45"/>
  <c r="Z12" i="45"/>
  <c r="AA12" i="45"/>
  <c r="AB12" i="45"/>
  <c r="AC12" i="45"/>
  <c r="AF12" i="45"/>
  <c r="AI12" i="45"/>
  <c r="AH12" i="45"/>
  <c r="AG12" i="45"/>
  <c r="E12" i="45"/>
  <c r="D12" i="45"/>
  <c r="C12" i="45"/>
  <c r="B12" i="45"/>
  <c r="AJ11" i="45"/>
  <c r="H11" i="45"/>
  <c r="I11" i="45"/>
  <c r="J11" i="45"/>
  <c r="K11" i="45"/>
  <c r="L11" i="45"/>
  <c r="M11" i="45"/>
  <c r="O11" i="45"/>
  <c r="P11" i="45"/>
  <c r="S11" i="45"/>
  <c r="V11" i="45"/>
  <c r="U11" i="45"/>
  <c r="W11" i="45"/>
  <c r="Z11" i="45"/>
  <c r="AA11" i="45"/>
  <c r="AB11" i="45"/>
  <c r="AC11" i="45"/>
  <c r="AF11" i="45"/>
  <c r="AI11" i="45"/>
  <c r="AH11" i="45"/>
  <c r="AG11" i="45"/>
  <c r="E11" i="45"/>
  <c r="D11" i="45"/>
  <c r="C11" i="45"/>
  <c r="B11" i="45"/>
  <c r="AJ10" i="45"/>
  <c r="H10" i="45"/>
  <c r="I10" i="45"/>
  <c r="J10" i="45"/>
  <c r="K10" i="45"/>
  <c r="L10" i="45"/>
  <c r="M10" i="45"/>
  <c r="N10" i="45"/>
  <c r="O10" i="45"/>
  <c r="P10" i="45"/>
  <c r="Q10" i="45"/>
  <c r="S10" i="45"/>
  <c r="T10" i="45"/>
  <c r="V10" i="45"/>
  <c r="U10" i="45"/>
  <c r="W10" i="45"/>
  <c r="Z10" i="45"/>
  <c r="AA10" i="45"/>
  <c r="AB10" i="45"/>
  <c r="AC10" i="45"/>
  <c r="AF10" i="45"/>
  <c r="AI10" i="45"/>
  <c r="AH10" i="45"/>
  <c r="AG10" i="45"/>
  <c r="E10" i="45"/>
  <c r="D10" i="45"/>
  <c r="C10" i="45"/>
  <c r="B10" i="45"/>
  <c r="W8" i="45"/>
  <c r="L142" i="29"/>
  <c r="H142" i="29"/>
  <c r="N140" i="29"/>
  <c r="L140" i="29"/>
  <c r="H140" i="29"/>
  <c r="L132" i="29"/>
  <c r="H132" i="29"/>
  <c r="H130" i="29"/>
  <c r="L102" i="29"/>
  <c r="H102" i="29"/>
  <c r="L84" i="29"/>
  <c r="H84" i="29"/>
  <c r="G81" i="29"/>
  <c r="H75" i="29"/>
  <c r="K52" i="29"/>
  <c r="J52" i="29"/>
  <c r="I52" i="29"/>
  <c r="K51" i="29"/>
  <c r="J51" i="29"/>
  <c r="I51" i="29"/>
  <c r="K50" i="29"/>
  <c r="J50" i="29"/>
  <c r="I50" i="29"/>
  <c r="K49" i="29"/>
  <c r="J49" i="29"/>
  <c r="I49" i="29"/>
  <c r="K48" i="29"/>
  <c r="J48" i="29"/>
  <c r="I48" i="29"/>
  <c r="N41" i="29"/>
  <c r="M41" i="29"/>
  <c r="L41" i="29"/>
  <c r="H41" i="29"/>
  <c r="N46" i="29"/>
  <c r="M46" i="29"/>
  <c r="L46" i="29"/>
  <c r="H46" i="29"/>
  <c r="D42" i="29"/>
  <c r="C42" i="29"/>
  <c r="B42" i="29"/>
  <c r="O71" i="29"/>
  <c r="O55" i="29"/>
  <c r="O56" i="29"/>
  <c r="O57" i="29"/>
  <c r="O58" i="29"/>
  <c r="O59" i="29"/>
  <c r="O60" i="29"/>
  <c r="O61" i="29"/>
  <c r="O62" i="29"/>
  <c r="O63" i="29"/>
  <c r="O64" i="29"/>
  <c r="O65" i="29"/>
  <c r="O66" i="29"/>
  <c r="O67" i="29"/>
  <c r="O68" i="29"/>
  <c r="O69" i="29"/>
  <c r="O70" i="29"/>
  <c r="O54" i="29"/>
  <c r="O53" i="29"/>
  <c r="O52" i="29"/>
  <c r="O51" i="29"/>
  <c r="O50" i="29"/>
  <c r="O49" i="29"/>
  <c r="O48" i="29"/>
  <c r="O40" i="29"/>
  <c r="O41" i="29"/>
  <c r="O42" i="29"/>
  <c r="O43" i="29"/>
  <c r="O44" i="29"/>
  <c r="O45" i="29"/>
  <c r="O46" i="29"/>
  <c r="O39" i="29"/>
  <c r="O34" i="29"/>
  <c r="O35" i="29"/>
  <c r="O36" i="29"/>
  <c r="O37" i="29"/>
  <c r="O38" i="29"/>
  <c r="O26" i="29"/>
  <c r="O27" i="29"/>
  <c r="O28" i="29"/>
  <c r="O29" i="29"/>
  <c r="O30" i="29"/>
  <c r="O31" i="29"/>
  <c r="O32" i="29"/>
  <c r="O33" i="29"/>
  <c r="O25" i="29"/>
  <c r="AJ74" i="29"/>
  <c r="AA74" i="29"/>
  <c r="AG74" i="29"/>
  <c r="AF74" i="29"/>
  <c r="AE74" i="29"/>
  <c r="AD74" i="29"/>
  <c r="AC74" i="29"/>
  <c r="AB74" i="29"/>
  <c r="Z74" i="29"/>
  <c r="Y74" i="29"/>
  <c r="X74" i="29"/>
  <c r="W74" i="29"/>
  <c r="V74" i="29"/>
  <c r="T74" i="29"/>
  <c r="U74" i="29"/>
  <c r="AH74" i="29"/>
  <c r="AI74" i="29"/>
  <c r="AK74" i="29"/>
  <c r="Q74" i="29"/>
  <c r="O72" i="29"/>
  <c r="O73" i="29"/>
  <c r="O74" i="29"/>
  <c r="O76" i="29"/>
  <c r="O77" i="29"/>
  <c r="O78" i="29"/>
  <c r="O79" i="29"/>
  <c r="O80" i="29"/>
  <c r="O81" i="29"/>
  <c r="O82" i="29"/>
  <c r="O83" i="29"/>
  <c r="O84" i="29"/>
  <c r="O85" i="29"/>
  <c r="O86" i="29"/>
  <c r="O87" i="29"/>
  <c r="O88" i="29"/>
  <c r="O89" i="29"/>
  <c r="O90" i="29"/>
  <c r="O91" i="29"/>
  <c r="O92" i="29"/>
  <c r="O93" i="29"/>
  <c r="O94" i="29"/>
  <c r="O95" i="29"/>
  <c r="O96" i="29"/>
  <c r="O97" i="29"/>
  <c r="O98" i="29"/>
  <c r="O99" i="29"/>
  <c r="O100" i="29"/>
  <c r="O101" i="29"/>
  <c r="O102" i="29"/>
  <c r="O103" i="29"/>
  <c r="O104" i="29"/>
  <c r="O105" i="29"/>
  <c r="O106" i="29"/>
  <c r="O107" i="29"/>
  <c r="O108" i="29"/>
  <c r="O109" i="29"/>
  <c r="O110" i="29"/>
  <c r="O111" i="29"/>
  <c r="O112" i="29"/>
  <c r="O113" i="29"/>
  <c r="O114" i="29"/>
  <c r="O115" i="29"/>
  <c r="O116" i="29"/>
  <c r="O117" i="29"/>
  <c r="O118" i="29"/>
  <c r="O119" i="29"/>
  <c r="O120" i="29"/>
  <c r="O121" i="29"/>
  <c r="O122" i="29"/>
  <c r="O123" i="29"/>
  <c r="O124" i="29"/>
  <c r="O125" i="29"/>
  <c r="O126" i="29"/>
  <c r="O127" i="29"/>
  <c r="O128" i="29"/>
  <c r="O129" i="29"/>
  <c r="O130" i="29"/>
  <c r="O131" i="29"/>
  <c r="O132" i="29"/>
  <c r="O133" i="29"/>
  <c r="O134" i="29"/>
  <c r="O135" i="29"/>
  <c r="O136" i="29"/>
  <c r="O137" i="29"/>
  <c r="O138" i="29"/>
  <c r="O139" i="29"/>
  <c r="O140" i="29"/>
  <c r="O141" i="29"/>
  <c r="O142" i="29"/>
  <c r="O143" i="29"/>
  <c r="O144" i="29"/>
  <c r="O145" i="29"/>
  <c r="O146" i="29"/>
  <c r="O147" i="29"/>
  <c r="O148" i="29"/>
  <c r="O75" i="29"/>
  <c r="P74" i="29"/>
  <c r="T52" i="29"/>
  <c r="U52" i="29"/>
  <c r="V52" i="29"/>
  <c r="W52" i="29"/>
  <c r="X52" i="29"/>
  <c r="Y52" i="29"/>
  <c r="Z52" i="29"/>
  <c r="AA52" i="29"/>
  <c r="AB52" i="29"/>
  <c r="AC52" i="29"/>
  <c r="AD52" i="29"/>
  <c r="AE52" i="29"/>
  <c r="AF52" i="29"/>
  <c r="AG52" i="29"/>
  <c r="AH52" i="29"/>
  <c r="T53" i="29"/>
  <c r="U53" i="29"/>
  <c r="V53" i="29"/>
  <c r="W53" i="29"/>
  <c r="X53" i="29"/>
  <c r="Y53" i="29"/>
  <c r="Z53" i="29"/>
  <c r="AA53" i="29"/>
  <c r="AB53" i="29"/>
  <c r="AC53" i="29"/>
  <c r="AD53" i="29"/>
  <c r="AE53" i="29"/>
  <c r="AF53" i="29"/>
  <c r="AG53" i="29"/>
  <c r="AH53" i="29"/>
  <c r="T54" i="29"/>
  <c r="U54" i="29"/>
  <c r="V54" i="29"/>
  <c r="W54" i="29"/>
  <c r="X54" i="29"/>
  <c r="Y54" i="29"/>
  <c r="Z54" i="29"/>
  <c r="AA54" i="29"/>
  <c r="AB54" i="29"/>
  <c r="AC54" i="29"/>
  <c r="AD54" i="29"/>
  <c r="AE54" i="29"/>
  <c r="AF54" i="29"/>
  <c r="AG54" i="29"/>
  <c r="AH54" i="29"/>
  <c r="T46" i="29"/>
  <c r="U46" i="29"/>
  <c r="V46" i="29"/>
  <c r="W46" i="29"/>
  <c r="X46" i="29"/>
  <c r="Y46" i="29"/>
  <c r="Z46" i="29"/>
  <c r="AA46" i="29"/>
  <c r="AB46" i="29"/>
  <c r="AC46" i="29"/>
  <c r="AD46" i="29"/>
  <c r="AE46" i="29"/>
  <c r="AF46" i="29"/>
  <c r="AG46" i="29"/>
  <c r="AH46" i="29"/>
  <c r="T50" i="29"/>
  <c r="U50" i="29"/>
  <c r="V50" i="29"/>
  <c r="W50" i="29"/>
  <c r="X50" i="29"/>
  <c r="Y50" i="29"/>
  <c r="Z50" i="29"/>
  <c r="AA50" i="29"/>
  <c r="AB50" i="29"/>
  <c r="AC50" i="29"/>
  <c r="AD50" i="29"/>
  <c r="AE50" i="29"/>
  <c r="AF50" i="29"/>
  <c r="AG50" i="29"/>
  <c r="AH50" i="29"/>
  <c r="T51" i="29"/>
  <c r="U51" i="29"/>
  <c r="V51" i="29"/>
  <c r="W51" i="29"/>
  <c r="X51" i="29"/>
  <c r="Y51" i="29"/>
  <c r="Z51" i="29"/>
  <c r="AA51" i="29"/>
  <c r="AB51" i="29"/>
  <c r="AC51" i="29"/>
  <c r="AD51" i="29"/>
  <c r="AE51" i="29"/>
  <c r="AF51" i="29"/>
  <c r="AG51" i="29"/>
  <c r="AH51" i="29"/>
  <c r="T100" i="29"/>
  <c r="U100" i="29"/>
  <c r="V100" i="29"/>
  <c r="W100" i="29"/>
  <c r="X100" i="29"/>
  <c r="Y100" i="29"/>
  <c r="Z100" i="29"/>
  <c r="AA100" i="29"/>
  <c r="AB100" i="29"/>
  <c r="AC100" i="29"/>
  <c r="AD100" i="29"/>
  <c r="AE100" i="29"/>
  <c r="AF100" i="29"/>
  <c r="AG100" i="29"/>
  <c r="AH100" i="29"/>
  <c r="T15" i="29"/>
  <c r="U15" i="29"/>
  <c r="V15" i="29"/>
  <c r="W15" i="29"/>
  <c r="X15" i="29"/>
  <c r="Y15" i="29"/>
  <c r="Z15" i="29"/>
  <c r="AA15" i="29"/>
  <c r="AB15" i="29"/>
  <c r="AC15" i="29"/>
  <c r="AD15" i="29"/>
  <c r="AE15" i="29"/>
  <c r="AF15" i="29"/>
  <c r="AG15" i="29"/>
  <c r="AH15" i="29"/>
  <c r="T41" i="29"/>
  <c r="U41" i="29"/>
  <c r="V41" i="29"/>
  <c r="W41" i="29"/>
  <c r="X41" i="29"/>
  <c r="Y41" i="29"/>
  <c r="Z41" i="29"/>
  <c r="AA41" i="29"/>
  <c r="AB41" i="29"/>
  <c r="AC41" i="29"/>
  <c r="AD41" i="29"/>
  <c r="AE41" i="29"/>
  <c r="AF41" i="29"/>
  <c r="AG41" i="29"/>
  <c r="AH41" i="29"/>
  <c r="K11" i="29"/>
  <c r="L11" i="29"/>
  <c r="N37" i="29"/>
  <c r="T37" i="29"/>
  <c r="U37" i="29"/>
  <c r="V37" i="29"/>
  <c r="W37" i="29"/>
  <c r="X37" i="29"/>
  <c r="Y37" i="29"/>
  <c r="Z37" i="29"/>
  <c r="AA37" i="29"/>
  <c r="AB37" i="29"/>
  <c r="AC37" i="29"/>
  <c r="AD37" i="29"/>
  <c r="AE37" i="29"/>
  <c r="AF37" i="29"/>
  <c r="AG37" i="29"/>
  <c r="AH37" i="29"/>
  <c r="T38" i="29"/>
  <c r="U38" i="29"/>
  <c r="V38" i="29"/>
  <c r="W38" i="29"/>
  <c r="X38" i="29"/>
  <c r="Y38" i="29"/>
  <c r="Z38" i="29"/>
  <c r="AA38" i="29"/>
  <c r="AB38" i="29"/>
  <c r="AC38" i="29"/>
  <c r="AD38" i="29"/>
  <c r="AE38" i="29"/>
  <c r="AF38" i="29"/>
  <c r="AG38" i="29"/>
  <c r="AH38" i="29"/>
  <c r="T33" i="29"/>
  <c r="U33" i="29"/>
  <c r="V33" i="29"/>
  <c r="W33" i="29"/>
  <c r="X33" i="29"/>
  <c r="Y33" i="29"/>
  <c r="Z33" i="29"/>
  <c r="AA33" i="29"/>
  <c r="AB33" i="29"/>
  <c r="AC33" i="29"/>
  <c r="AD33" i="29"/>
  <c r="AE33" i="29"/>
  <c r="AF33" i="29"/>
  <c r="AG33" i="29"/>
  <c r="AH33" i="29"/>
  <c r="T34" i="29"/>
  <c r="U34" i="29"/>
  <c r="V34" i="29"/>
  <c r="W34" i="29"/>
  <c r="X34" i="29"/>
  <c r="Y34" i="29"/>
  <c r="Z34" i="29"/>
  <c r="AA34" i="29"/>
  <c r="AB34" i="29"/>
  <c r="AC34" i="29"/>
  <c r="AD34" i="29"/>
  <c r="AE34" i="29"/>
  <c r="AF34" i="29"/>
  <c r="AG34" i="29"/>
  <c r="AH34" i="29"/>
  <c r="T35" i="29"/>
  <c r="U35" i="29"/>
  <c r="V35" i="29"/>
  <c r="W35" i="29"/>
  <c r="X35" i="29"/>
  <c r="Y35" i="29"/>
  <c r="Z35" i="29"/>
  <c r="AA35" i="29"/>
  <c r="AB35" i="29"/>
  <c r="AC35" i="29"/>
  <c r="AD35" i="29"/>
  <c r="AE35" i="29"/>
  <c r="AF35" i="29"/>
  <c r="AG35" i="29"/>
  <c r="AH35" i="29"/>
  <c r="T36" i="29"/>
  <c r="U36" i="29"/>
  <c r="V36" i="29"/>
  <c r="W36" i="29"/>
  <c r="X36" i="29"/>
  <c r="Y36" i="29"/>
  <c r="Z36" i="29"/>
  <c r="AA36" i="29"/>
  <c r="AB36" i="29"/>
  <c r="AC36" i="29"/>
  <c r="AD36" i="29"/>
  <c r="AE36" i="29"/>
  <c r="AF36" i="29"/>
  <c r="AG36" i="29"/>
  <c r="AH36" i="29"/>
  <c r="T89" i="29"/>
  <c r="U89" i="29"/>
  <c r="V89" i="29"/>
  <c r="W89" i="29"/>
  <c r="X89" i="29"/>
  <c r="Y89" i="29"/>
  <c r="Z89" i="29"/>
  <c r="AA89" i="29"/>
  <c r="AB89" i="29"/>
  <c r="AC89" i="29"/>
  <c r="AD89" i="29"/>
  <c r="AE89" i="29"/>
  <c r="AF89" i="29"/>
  <c r="AG89" i="29"/>
  <c r="AH89" i="29"/>
  <c r="T151" i="29"/>
  <c r="U151" i="29"/>
  <c r="V151" i="29"/>
  <c r="W151" i="29"/>
  <c r="X151" i="29"/>
  <c r="Y151" i="29"/>
  <c r="Z151" i="29"/>
  <c r="AA151" i="29"/>
  <c r="AB151" i="29"/>
  <c r="AC151" i="29"/>
  <c r="AD151" i="29"/>
  <c r="AE151" i="29"/>
  <c r="AF151" i="29"/>
  <c r="AG151" i="29"/>
  <c r="AH151" i="29"/>
  <c r="T90" i="29"/>
  <c r="U90" i="29"/>
  <c r="V90" i="29"/>
  <c r="W90" i="29"/>
  <c r="X90" i="29"/>
  <c r="Y90" i="29"/>
  <c r="Z90" i="29"/>
  <c r="AA90" i="29"/>
  <c r="AB90" i="29"/>
  <c r="AC90" i="29"/>
  <c r="AD90" i="29"/>
  <c r="AE90" i="29"/>
  <c r="AF90" i="29"/>
  <c r="AG90" i="29"/>
  <c r="AH90" i="29"/>
  <c r="T91" i="29"/>
  <c r="U91" i="29"/>
  <c r="V91" i="29"/>
  <c r="W91" i="29"/>
  <c r="X91" i="29"/>
  <c r="Y91" i="29"/>
  <c r="Z91" i="29"/>
  <c r="AA91" i="29"/>
  <c r="AB91" i="29"/>
  <c r="AC91" i="29"/>
  <c r="AD91" i="29"/>
  <c r="AE91" i="29"/>
  <c r="AF91" i="29"/>
  <c r="AG91" i="29"/>
  <c r="AH91" i="29"/>
  <c r="T92" i="29"/>
  <c r="U92" i="29"/>
  <c r="V92" i="29"/>
  <c r="W92" i="29"/>
  <c r="X92" i="29"/>
  <c r="Y92" i="29"/>
  <c r="Z92" i="29"/>
  <c r="AA92" i="29"/>
  <c r="AB92" i="29"/>
  <c r="AC92" i="29"/>
  <c r="AD92" i="29"/>
  <c r="AE92" i="29"/>
  <c r="AF92" i="29"/>
  <c r="AG92" i="29"/>
  <c r="AH92" i="29"/>
  <c r="T93" i="29"/>
  <c r="U93" i="29"/>
  <c r="V93" i="29"/>
  <c r="W93" i="29"/>
  <c r="X93" i="29"/>
  <c r="Y93" i="29"/>
  <c r="Z93" i="29"/>
  <c r="AA93" i="29"/>
  <c r="AB93" i="29"/>
  <c r="AC93" i="29"/>
  <c r="AD93" i="29"/>
  <c r="AE93" i="29"/>
  <c r="AF93" i="29"/>
  <c r="AG93" i="29"/>
  <c r="AH93" i="29"/>
  <c r="M37" i="29"/>
  <c r="K37" i="29"/>
  <c r="L37" i="29"/>
  <c r="H37" i="29"/>
  <c r="F37" i="29"/>
  <c r="N36" i="29"/>
  <c r="M36" i="29"/>
  <c r="K36" i="29"/>
  <c r="L36" i="29"/>
  <c r="H36" i="29"/>
  <c r="N35" i="29"/>
  <c r="M35" i="29"/>
  <c r="K35" i="29"/>
  <c r="L35" i="29"/>
  <c r="H35" i="29"/>
  <c r="N31" i="29"/>
  <c r="T31" i="29"/>
  <c r="U31" i="29"/>
  <c r="V31" i="29"/>
  <c r="W31" i="29"/>
  <c r="X31" i="29"/>
  <c r="Y31" i="29"/>
  <c r="Z31" i="29"/>
  <c r="AA31" i="29"/>
  <c r="AB31" i="29"/>
  <c r="AC31" i="29"/>
  <c r="AD31" i="29"/>
  <c r="AE31" i="29"/>
  <c r="AF31" i="29"/>
  <c r="AG31" i="29"/>
  <c r="AH31" i="29"/>
  <c r="M31" i="29"/>
  <c r="K31" i="29"/>
  <c r="L31" i="29"/>
  <c r="H31" i="29"/>
  <c r="N38" i="29"/>
  <c r="T25" i="29"/>
  <c r="U25" i="29"/>
  <c r="V25" i="29"/>
  <c r="W25" i="29"/>
  <c r="X25" i="29"/>
  <c r="Y25" i="29"/>
  <c r="Z25" i="29"/>
  <c r="AA25" i="29"/>
  <c r="AB25" i="29"/>
  <c r="AC25" i="29"/>
  <c r="AD25" i="29"/>
  <c r="AE25" i="29"/>
  <c r="AF25" i="29"/>
  <c r="AG25" i="29"/>
  <c r="AH25" i="29"/>
  <c r="T26" i="29"/>
  <c r="U26" i="29"/>
  <c r="V26" i="29"/>
  <c r="W26" i="29"/>
  <c r="X26" i="29"/>
  <c r="Y26" i="29"/>
  <c r="Z26" i="29"/>
  <c r="AA26" i="29"/>
  <c r="AB26" i="29"/>
  <c r="AC26" i="29"/>
  <c r="AD26" i="29"/>
  <c r="AE26" i="29"/>
  <c r="AF26" i="29"/>
  <c r="AG26" i="29"/>
  <c r="AH26" i="29"/>
  <c r="T27" i="29"/>
  <c r="U27" i="29"/>
  <c r="V27" i="29"/>
  <c r="W27" i="29"/>
  <c r="X27" i="29"/>
  <c r="Y27" i="29"/>
  <c r="Z27" i="29"/>
  <c r="AA27" i="29"/>
  <c r="AB27" i="29"/>
  <c r="AC27" i="29"/>
  <c r="AD27" i="29"/>
  <c r="AE27" i="29"/>
  <c r="AF27" i="29"/>
  <c r="AG27" i="29"/>
  <c r="AH27" i="29"/>
  <c r="T28" i="29"/>
  <c r="U28" i="29"/>
  <c r="V28" i="29"/>
  <c r="W28" i="29"/>
  <c r="X28" i="29"/>
  <c r="Y28" i="29"/>
  <c r="Z28" i="29"/>
  <c r="AA28" i="29"/>
  <c r="AB28" i="29"/>
  <c r="AC28" i="29"/>
  <c r="AD28" i="29"/>
  <c r="AE28" i="29"/>
  <c r="AF28" i="29"/>
  <c r="AG28" i="29"/>
  <c r="AH28" i="29"/>
  <c r="T29" i="29"/>
  <c r="U29" i="29"/>
  <c r="V29" i="29"/>
  <c r="W29" i="29"/>
  <c r="X29" i="29"/>
  <c r="Y29" i="29"/>
  <c r="Z29" i="29"/>
  <c r="AA29" i="29"/>
  <c r="AB29" i="29"/>
  <c r="AC29" i="29"/>
  <c r="AD29" i="29"/>
  <c r="AE29" i="29"/>
  <c r="AF29" i="29"/>
  <c r="AG29" i="29"/>
  <c r="AH29" i="29"/>
  <c r="T30" i="29"/>
  <c r="U30" i="29"/>
  <c r="V30" i="29"/>
  <c r="W30" i="29"/>
  <c r="X30" i="29"/>
  <c r="Y30" i="29"/>
  <c r="Z30" i="29"/>
  <c r="AA30" i="29"/>
  <c r="AB30" i="29"/>
  <c r="AC30" i="29"/>
  <c r="AD30" i="29"/>
  <c r="AE30" i="29"/>
  <c r="AF30" i="29"/>
  <c r="AG30" i="29"/>
  <c r="AH30" i="29"/>
  <c r="T32" i="29"/>
  <c r="U32" i="29"/>
  <c r="V32" i="29"/>
  <c r="W32" i="29"/>
  <c r="X32" i="29"/>
  <c r="Y32" i="29"/>
  <c r="Z32" i="29"/>
  <c r="AA32" i="29"/>
  <c r="AB32" i="29"/>
  <c r="AC32" i="29"/>
  <c r="AD32" i="29"/>
  <c r="AE32" i="29"/>
  <c r="AF32" i="29"/>
  <c r="AG32" i="29"/>
  <c r="AH32" i="29"/>
  <c r="T84" i="29"/>
  <c r="U84" i="29"/>
  <c r="V84" i="29"/>
  <c r="W84" i="29"/>
  <c r="X84" i="29"/>
  <c r="Y84" i="29"/>
  <c r="Z84" i="29"/>
  <c r="AA84" i="29"/>
  <c r="AB84" i="29"/>
  <c r="AC84" i="29"/>
  <c r="AD84" i="29"/>
  <c r="AE84" i="29"/>
  <c r="AF84" i="29"/>
  <c r="AG84" i="29"/>
  <c r="AH84" i="29"/>
  <c r="T85" i="29"/>
  <c r="U85" i="29"/>
  <c r="V85" i="29"/>
  <c r="W85" i="29"/>
  <c r="X85" i="29"/>
  <c r="Y85" i="29"/>
  <c r="Z85" i="29"/>
  <c r="AA85" i="29"/>
  <c r="AB85" i="29"/>
  <c r="AC85" i="29"/>
  <c r="AD85" i="29"/>
  <c r="AE85" i="29"/>
  <c r="AF85" i="29"/>
  <c r="AG85" i="29"/>
  <c r="AH85" i="29"/>
  <c r="T48" i="29"/>
  <c r="U48" i="29"/>
  <c r="V48" i="29"/>
  <c r="W48" i="29"/>
  <c r="X48" i="29"/>
  <c r="Y48" i="29"/>
  <c r="Z48" i="29"/>
  <c r="AA48" i="29"/>
  <c r="AB48" i="29"/>
  <c r="AC48" i="29"/>
  <c r="AD48" i="29"/>
  <c r="AE48" i="29"/>
  <c r="AF48" i="29"/>
  <c r="AG48" i="29"/>
  <c r="AH48" i="29"/>
  <c r="T86" i="29"/>
  <c r="U86" i="29"/>
  <c r="V86" i="29"/>
  <c r="W86" i="29"/>
  <c r="X86" i="29"/>
  <c r="Y86" i="29"/>
  <c r="Z86" i="29"/>
  <c r="AA86" i="29"/>
  <c r="AB86" i="29"/>
  <c r="AC86" i="29"/>
  <c r="AD86" i="29"/>
  <c r="AE86" i="29"/>
  <c r="AF86" i="29"/>
  <c r="AG86" i="29"/>
  <c r="AH86" i="29"/>
  <c r="T87" i="29"/>
  <c r="U87" i="29"/>
  <c r="V87" i="29"/>
  <c r="W87" i="29"/>
  <c r="X87" i="29"/>
  <c r="Y87" i="29"/>
  <c r="Z87" i="29"/>
  <c r="AA87" i="29"/>
  <c r="AB87" i="29"/>
  <c r="AC87" i="29"/>
  <c r="AD87" i="29"/>
  <c r="AE87" i="29"/>
  <c r="AF87" i="29"/>
  <c r="AG87" i="29"/>
  <c r="AH87" i="29"/>
  <c r="T88" i="29"/>
  <c r="U88" i="29"/>
  <c r="V88" i="29"/>
  <c r="W88" i="29"/>
  <c r="X88" i="29"/>
  <c r="Y88" i="29"/>
  <c r="Z88" i="29"/>
  <c r="AA88" i="29"/>
  <c r="AB88" i="29"/>
  <c r="AC88" i="29"/>
  <c r="AD88" i="29"/>
  <c r="AE88" i="29"/>
  <c r="AF88" i="29"/>
  <c r="AG88" i="29"/>
  <c r="AH88" i="29"/>
  <c r="T40" i="29"/>
  <c r="U40" i="29"/>
  <c r="V40" i="29"/>
  <c r="W40" i="29"/>
  <c r="X40" i="29"/>
  <c r="Y40" i="29"/>
  <c r="Z40" i="29"/>
  <c r="AA40" i="29"/>
  <c r="AB40" i="29"/>
  <c r="AC40" i="29"/>
  <c r="AD40" i="29"/>
  <c r="AE40" i="29"/>
  <c r="AF40" i="29"/>
  <c r="AG40" i="29"/>
  <c r="AH40" i="29"/>
  <c r="M38" i="29"/>
  <c r="K38" i="29"/>
  <c r="L38" i="29"/>
  <c r="H38" i="29"/>
  <c r="F38" i="29"/>
  <c r="N34" i="29"/>
  <c r="M34" i="29"/>
  <c r="K34" i="29"/>
  <c r="L34" i="29"/>
  <c r="H34" i="29"/>
  <c r="N33" i="29"/>
  <c r="M33" i="29"/>
  <c r="K33" i="29"/>
  <c r="L33" i="29"/>
  <c r="H33" i="29"/>
  <c r="F33" i="29"/>
  <c r="E33" i="29"/>
  <c r="N32" i="29"/>
  <c r="M32" i="29"/>
  <c r="K32" i="29"/>
  <c r="L32" i="29"/>
  <c r="H32" i="29"/>
  <c r="N30" i="29"/>
  <c r="M30" i="29"/>
  <c r="K30" i="29"/>
  <c r="L30" i="29"/>
  <c r="H30" i="29"/>
  <c r="M29" i="29"/>
  <c r="H29" i="29"/>
  <c r="N28" i="29"/>
  <c r="M28" i="29"/>
  <c r="K28" i="29"/>
  <c r="L28" i="29"/>
  <c r="H28" i="29"/>
  <c r="N27" i="29"/>
  <c r="M27" i="29"/>
  <c r="K27" i="29"/>
  <c r="L27" i="29"/>
  <c r="H27" i="29"/>
  <c r="N25" i="29"/>
  <c r="M25" i="29"/>
  <c r="K25" i="29"/>
  <c r="L25" i="29"/>
  <c r="H25" i="29"/>
  <c r="F25" i="29"/>
  <c r="E25" i="29"/>
  <c r="M26" i="29"/>
  <c r="L26" i="29"/>
  <c r="H26" i="29"/>
  <c r="N23" i="29"/>
  <c r="T23" i="29"/>
  <c r="U23" i="29"/>
  <c r="V23" i="29"/>
  <c r="W23" i="29"/>
  <c r="X23" i="29"/>
  <c r="Y23" i="29"/>
  <c r="Z23" i="29"/>
  <c r="AA23" i="29"/>
  <c r="AB23" i="29"/>
  <c r="AC23" i="29"/>
  <c r="AD23" i="29"/>
  <c r="AE23" i="29"/>
  <c r="AF23" i="29"/>
  <c r="AG23" i="29"/>
  <c r="AH23" i="29"/>
  <c r="T13" i="29"/>
  <c r="U13" i="29"/>
  <c r="V13" i="29"/>
  <c r="W13" i="29"/>
  <c r="X13" i="29"/>
  <c r="Y13" i="29"/>
  <c r="Z13" i="29"/>
  <c r="AA13" i="29"/>
  <c r="AB13" i="29"/>
  <c r="AC13" i="29"/>
  <c r="AD13" i="29"/>
  <c r="AE13" i="29"/>
  <c r="AF13" i="29"/>
  <c r="AG13" i="29"/>
  <c r="AH13" i="29"/>
  <c r="T14" i="29"/>
  <c r="U14" i="29"/>
  <c r="V14" i="29"/>
  <c r="W14" i="29"/>
  <c r="X14" i="29"/>
  <c r="Y14" i="29"/>
  <c r="Z14" i="29"/>
  <c r="AA14" i="29"/>
  <c r="AB14" i="29"/>
  <c r="AC14" i="29"/>
  <c r="AD14" i="29"/>
  <c r="AE14" i="29"/>
  <c r="AF14" i="29"/>
  <c r="AG14" i="29"/>
  <c r="AH14" i="29"/>
  <c r="T16" i="29"/>
  <c r="U16" i="29"/>
  <c r="V16" i="29"/>
  <c r="W16" i="29"/>
  <c r="X16" i="29"/>
  <c r="Y16" i="29"/>
  <c r="Z16" i="29"/>
  <c r="AA16" i="29"/>
  <c r="AB16" i="29"/>
  <c r="AC16" i="29"/>
  <c r="AD16" i="29"/>
  <c r="AE16" i="29"/>
  <c r="AF16" i="29"/>
  <c r="AG16" i="29"/>
  <c r="AH16" i="29"/>
  <c r="T17" i="29"/>
  <c r="U17" i="29"/>
  <c r="V17" i="29"/>
  <c r="W17" i="29"/>
  <c r="X17" i="29"/>
  <c r="Y17" i="29"/>
  <c r="Z17" i="29"/>
  <c r="AA17" i="29"/>
  <c r="AB17" i="29"/>
  <c r="AC17" i="29"/>
  <c r="AD17" i="29"/>
  <c r="AE17" i="29"/>
  <c r="AF17" i="29"/>
  <c r="AG17" i="29"/>
  <c r="AH17" i="29"/>
  <c r="T18" i="29"/>
  <c r="U18" i="29"/>
  <c r="V18" i="29"/>
  <c r="W18" i="29"/>
  <c r="X18" i="29"/>
  <c r="Y18" i="29"/>
  <c r="Z18" i="29"/>
  <c r="AA18" i="29"/>
  <c r="AB18" i="29"/>
  <c r="AC18" i="29"/>
  <c r="AD18" i="29"/>
  <c r="AE18" i="29"/>
  <c r="AF18" i="29"/>
  <c r="AG18" i="29"/>
  <c r="AH18" i="29"/>
  <c r="T19" i="29"/>
  <c r="U19" i="29"/>
  <c r="V19" i="29"/>
  <c r="W19" i="29"/>
  <c r="X19" i="29"/>
  <c r="Y19" i="29"/>
  <c r="Z19" i="29"/>
  <c r="AA19" i="29"/>
  <c r="AB19" i="29"/>
  <c r="AC19" i="29"/>
  <c r="AD19" i="29"/>
  <c r="AE19" i="29"/>
  <c r="AF19" i="29"/>
  <c r="AG19" i="29"/>
  <c r="AH19" i="29"/>
  <c r="T21" i="29"/>
  <c r="U21" i="29"/>
  <c r="V21" i="29"/>
  <c r="W21" i="29"/>
  <c r="X21" i="29"/>
  <c r="Y21" i="29"/>
  <c r="Z21" i="29"/>
  <c r="AA21" i="29"/>
  <c r="AB21" i="29"/>
  <c r="AC21" i="29"/>
  <c r="AD21" i="29"/>
  <c r="AE21" i="29"/>
  <c r="AF21" i="29"/>
  <c r="AG21" i="29"/>
  <c r="AH21" i="29"/>
  <c r="T24" i="29"/>
  <c r="U24" i="29"/>
  <c r="V24" i="29"/>
  <c r="W24" i="29"/>
  <c r="X24" i="29"/>
  <c r="Y24" i="29"/>
  <c r="Z24" i="29"/>
  <c r="AA24" i="29"/>
  <c r="AB24" i="29"/>
  <c r="AC24" i="29"/>
  <c r="AD24" i="29"/>
  <c r="AE24" i="29"/>
  <c r="AF24" i="29"/>
  <c r="AG24" i="29"/>
  <c r="AH24" i="29"/>
  <c r="T20" i="29"/>
  <c r="U20" i="29"/>
  <c r="V20" i="29"/>
  <c r="W20" i="29"/>
  <c r="X20" i="29"/>
  <c r="Y20" i="29"/>
  <c r="Z20" i="29"/>
  <c r="AA20" i="29"/>
  <c r="AB20" i="29"/>
  <c r="AC20" i="29"/>
  <c r="AD20" i="29"/>
  <c r="AE20" i="29"/>
  <c r="AF20" i="29"/>
  <c r="AG20" i="29"/>
  <c r="AH20" i="29"/>
  <c r="T22" i="29"/>
  <c r="U22" i="29"/>
  <c r="V22" i="29"/>
  <c r="W22" i="29"/>
  <c r="X22" i="29"/>
  <c r="Y22" i="29"/>
  <c r="Z22" i="29"/>
  <c r="AA22" i="29"/>
  <c r="AB22" i="29"/>
  <c r="AC22" i="29"/>
  <c r="AD22" i="29"/>
  <c r="AE22" i="29"/>
  <c r="AF22" i="29"/>
  <c r="AG22" i="29"/>
  <c r="AH22" i="29"/>
  <c r="T77" i="29"/>
  <c r="U77" i="29"/>
  <c r="V77" i="29"/>
  <c r="W77" i="29"/>
  <c r="X77" i="29"/>
  <c r="Y77" i="29"/>
  <c r="Z77" i="29"/>
  <c r="AA77" i="29"/>
  <c r="AB77" i="29"/>
  <c r="AC77" i="29"/>
  <c r="AD77" i="29"/>
  <c r="AE77" i="29"/>
  <c r="AF77" i="29"/>
  <c r="AG77" i="29"/>
  <c r="AH77" i="29"/>
  <c r="T78" i="29"/>
  <c r="U78" i="29"/>
  <c r="V78" i="29"/>
  <c r="W78" i="29"/>
  <c r="X78" i="29"/>
  <c r="Y78" i="29"/>
  <c r="Z78" i="29"/>
  <c r="AA78" i="29"/>
  <c r="AB78" i="29"/>
  <c r="AC78" i="29"/>
  <c r="AD78" i="29"/>
  <c r="AE78" i="29"/>
  <c r="AF78" i="29"/>
  <c r="AG78" i="29"/>
  <c r="AH78" i="29"/>
  <c r="T150" i="29"/>
  <c r="U150" i="29"/>
  <c r="V150" i="29"/>
  <c r="W150" i="29"/>
  <c r="X150" i="29"/>
  <c r="Y150" i="29"/>
  <c r="Z150" i="29"/>
  <c r="AA150" i="29"/>
  <c r="AB150" i="29"/>
  <c r="AC150" i="29"/>
  <c r="AD150" i="29"/>
  <c r="AE150" i="29"/>
  <c r="AF150" i="29"/>
  <c r="AG150" i="29"/>
  <c r="AH150" i="29"/>
  <c r="T39" i="29"/>
  <c r="U39" i="29"/>
  <c r="V39" i="29"/>
  <c r="W39" i="29"/>
  <c r="X39" i="29"/>
  <c r="Y39" i="29"/>
  <c r="Z39" i="29"/>
  <c r="AA39" i="29"/>
  <c r="AB39" i="29"/>
  <c r="AC39" i="29"/>
  <c r="AD39" i="29"/>
  <c r="AE39" i="29"/>
  <c r="AF39" i="29"/>
  <c r="AG39" i="29"/>
  <c r="AH39" i="29"/>
  <c r="T11" i="29"/>
  <c r="U11" i="29"/>
  <c r="V11" i="29"/>
  <c r="W11" i="29"/>
  <c r="X11" i="29"/>
  <c r="Y11" i="29"/>
  <c r="Z11" i="29"/>
  <c r="AA11" i="29"/>
  <c r="AB11" i="29"/>
  <c r="AC11" i="29"/>
  <c r="AD11" i="29"/>
  <c r="AE11" i="29"/>
  <c r="AF11" i="29"/>
  <c r="AG11" i="29"/>
  <c r="AH11" i="29"/>
  <c r="T79" i="29"/>
  <c r="U79" i="29"/>
  <c r="V79" i="29"/>
  <c r="W79" i="29"/>
  <c r="X79" i="29"/>
  <c r="Y79" i="29"/>
  <c r="Z79" i="29"/>
  <c r="AA79" i="29"/>
  <c r="AB79" i="29"/>
  <c r="AC79" i="29"/>
  <c r="AD79" i="29"/>
  <c r="AE79" i="29"/>
  <c r="AF79" i="29"/>
  <c r="AG79" i="29"/>
  <c r="AH79" i="29"/>
  <c r="T55" i="29"/>
  <c r="U55" i="29"/>
  <c r="V55" i="29"/>
  <c r="W55" i="29"/>
  <c r="X55" i="29"/>
  <c r="Y55" i="29"/>
  <c r="Z55" i="29"/>
  <c r="AA55" i="29"/>
  <c r="AB55" i="29"/>
  <c r="AC55" i="29"/>
  <c r="AD55" i="29"/>
  <c r="AE55" i="29"/>
  <c r="AF55" i="29"/>
  <c r="AG55" i="29"/>
  <c r="AH55" i="29"/>
  <c r="T80" i="29"/>
  <c r="U80" i="29"/>
  <c r="V80" i="29"/>
  <c r="W80" i="29"/>
  <c r="X80" i="29"/>
  <c r="Y80" i="29"/>
  <c r="Z80" i="29"/>
  <c r="AA80" i="29"/>
  <c r="AB80" i="29"/>
  <c r="AC80" i="29"/>
  <c r="AD80" i="29"/>
  <c r="AE80" i="29"/>
  <c r="AF80" i="29"/>
  <c r="AG80" i="29"/>
  <c r="AH80" i="29"/>
  <c r="T81" i="29"/>
  <c r="U81" i="29"/>
  <c r="V81" i="29"/>
  <c r="W81" i="29"/>
  <c r="X81" i="29"/>
  <c r="Y81" i="29"/>
  <c r="Z81" i="29"/>
  <c r="AA81" i="29"/>
  <c r="AB81" i="29"/>
  <c r="AC81" i="29"/>
  <c r="AD81" i="29"/>
  <c r="AE81" i="29"/>
  <c r="AF81" i="29"/>
  <c r="AG81" i="29"/>
  <c r="AH81" i="29"/>
  <c r="T82" i="29"/>
  <c r="U82" i="29"/>
  <c r="V82" i="29"/>
  <c r="W82" i="29"/>
  <c r="X82" i="29"/>
  <c r="Y82" i="29"/>
  <c r="Z82" i="29"/>
  <c r="AA82" i="29"/>
  <c r="AB82" i="29"/>
  <c r="AC82" i="29"/>
  <c r="AD82" i="29"/>
  <c r="AE82" i="29"/>
  <c r="AF82" i="29"/>
  <c r="AG82" i="29"/>
  <c r="AH82" i="29"/>
  <c r="T83" i="29"/>
  <c r="U83" i="29"/>
  <c r="V83" i="29"/>
  <c r="W83" i="29"/>
  <c r="X83" i="29"/>
  <c r="Y83" i="29"/>
  <c r="Z83" i="29"/>
  <c r="AA83" i="29"/>
  <c r="AB83" i="29"/>
  <c r="AC83" i="29"/>
  <c r="AD83" i="29"/>
  <c r="AE83" i="29"/>
  <c r="AF83" i="29"/>
  <c r="AG83" i="29"/>
  <c r="AH83" i="29"/>
  <c r="O23" i="29"/>
  <c r="M23" i="29"/>
  <c r="L23" i="29"/>
  <c r="H23" i="29"/>
  <c r="E23" i="29"/>
  <c r="N22" i="29"/>
  <c r="O22" i="29"/>
  <c r="M22" i="29"/>
  <c r="K22" i="29"/>
  <c r="L22" i="29"/>
  <c r="H22" i="29"/>
  <c r="O19" i="29"/>
  <c r="M19" i="29"/>
  <c r="L19" i="29"/>
  <c r="H19" i="29"/>
  <c r="F19" i="29"/>
  <c r="E19" i="29"/>
  <c r="N20" i="29"/>
  <c r="O20" i="29"/>
  <c r="M20" i="29"/>
  <c r="L20" i="29"/>
  <c r="H20" i="29"/>
  <c r="F20" i="29"/>
  <c r="E20" i="29"/>
  <c r="N16" i="29"/>
  <c r="O16" i="29"/>
  <c r="M16" i="29"/>
  <c r="L16" i="29"/>
  <c r="H16" i="29"/>
  <c r="E16" i="29"/>
  <c r="N15" i="29"/>
  <c r="O15" i="29"/>
  <c r="M15" i="29"/>
  <c r="H15" i="29"/>
  <c r="F15" i="29"/>
  <c r="E15" i="29"/>
  <c r="N14" i="29"/>
  <c r="O14" i="29"/>
  <c r="M14" i="29"/>
  <c r="H14" i="29"/>
  <c r="N24" i="29"/>
  <c r="O24" i="29"/>
  <c r="M24" i="29"/>
  <c r="L24" i="29"/>
  <c r="H24" i="29"/>
  <c r="N18" i="29"/>
  <c r="O18" i="29"/>
  <c r="M18" i="29"/>
  <c r="L18" i="29"/>
  <c r="H18" i="29"/>
  <c r="N17" i="29"/>
  <c r="O17" i="29"/>
  <c r="M17" i="29"/>
  <c r="H17" i="29"/>
  <c r="N21" i="29"/>
  <c r="O21" i="29"/>
  <c r="M21" i="29"/>
  <c r="K21" i="29"/>
  <c r="L21" i="29"/>
  <c r="H21" i="29"/>
  <c r="O13" i="29"/>
  <c r="N13" i="29"/>
  <c r="M13" i="29"/>
  <c r="K13" i="29"/>
  <c r="L13" i="29"/>
  <c r="H13" i="29"/>
  <c r="T12" i="29"/>
  <c r="U12" i="29"/>
  <c r="V12" i="29"/>
  <c r="W12" i="29"/>
  <c r="X12" i="29"/>
  <c r="Y12" i="29"/>
  <c r="Z12" i="29"/>
  <c r="AA12" i="29"/>
  <c r="AB12" i="29"/>
  <c r="AC12" i="29"/>
  <c r="AD12" i="29"/>
  <c r="AE12" i="29"/>
  <c r="AF12" i="29"/>
  <c r="AG12" i="29"/>
  <c r="AH12" i="29"/>
  <c r="O12" i="29"/>
  <c r="N12" i="29"/>
  <c r="M12" i="29"/>
  <c r="L12" i="29"/>
  <c r="K12" i="29"/>
  <c r="H12" i="29"/>
  <c r="O11" i="29"/>
  <c r="N11" i="29"/>
  <c r="M11" i="29"/>
  <c r="H11" i="29"/>
  <c r="T10" i="29"/>
  <c r="U10" i="29"/>
  <c r="V10" i="29"/>
  <c r="W10" i="29"/>
  <c r="X10" i="29"/>
  <c r="Y10" i="29"/>
  <c r="Z10" i="29"/>
  <c r="AA10" i="29"/>
  <c r="AB10" i="29"/>
  <c r="AC10" i="29"/>
  <c r="AD10" i="29"/>
  <c r="AE10" i="29"/>
  <c r="AF10" i="29"/>
  <c r="AG10" i="29"/>
  <c r="AH10" i="29"/>
  <c r="O10" i="29"/>
  <c r="N10" i="29"/>
  <c r="M10" i="29"/>
  <c r="K10" i="29"/>
  <c r="L10" i="29"/>
  <c r="H10" i="29"/>
  <c r="T9" i="29"/>
  <c r="U9" i="29"/>
  <c r="V9" i="29"/>
  <c r="W9" i="29"/>
  <c r="X9" i="29"/>
  <c r="Y9" i="29"/>
  <c r="Z9" i="29"/>
  <c r="AA9" i="29"/>
  <c r="AB9" i="29"/>
  <c r="AC9" i="29"/>
  <c r="AD9" i="29"/>
  <c r="AE9" i="29"/>
  <c r="AF9" i="29"/>
  <c r="AG9" i="29"/>
  <c r="AH9" i="29"/>
  <c r="O9" i="29"/>
  <c r="N9" i="29"/>
  <c r="M9" i="29"/>
  <c r="K9" i="29"/>
  <c r="L9" i="29"/>
  <c r="H9" i="29"/>
  <c r="U26" i="22"/>
  <c r="T26" i="22"/>
  <c r="U25" i="22"/>
  <c r="T25" i="22"/>
  <c r="U24" i="22"/>
  <c r="T24" i="22"/>
  <c r="U23" i="22"/>
  <c r="T23" i="22"/>
  <c r="U22" i="22"/>
  <c r="U20" i="22"/>
  <c r="U21" i="22"/>
  <c r="U19" i="22"/>
  <c r="T22" i="22"/>
  <c r="T20" i="22"/>
  <c r="T21" i="22"/>
  <c r="T19" i="22"/>
  <c r="U18" i="22"/>
  <c r="F18" i="22"/>
  <c r="G18" i="22"/>
  <c r="H18" i="22"/>
  <c r="I18" i="22"/>
  <c r="J18" i="22"/>
  <c r="K18" i="22"/>
  <c r="L18" i="22"/>
  <c r="M18" i="22"/>
  <c r="N18" i="22"/>
  <c r="O18" i="22"/>
  <c r="P18" i="22"/>
  <c r="Q18" i="22"/>
  <c r="R18" i="22"/>
  <c r="E18" i="22"/>
  <c r="U17" i="22"/>
  <c r="T17" i="22"/>
  <c r="U16" i="22"/>
  <c r="T16" i="22"/>
  <c r="U15" i="22"/>
  <c r="J14" i="21"/>
  <c r="K14" i="21"/>
  <c r="L14" i="21"/>
  <c r="M14" i="21"/>
  <c r="N14" i="21"/>
  <c r="O14" i="21"/>
  <c r="P14" i="21"/>
  <c r="Q14" i="21"/>
  <c r="R14" i="21"/>
  <c r="S14" i="21"/>
  <c r="T14" i="21"/>
  <c r="U14" i="21"/>
  <c r="M11" i="16"/>
  <c r="D25" i="21"/>
  <c r="F25" i="21"/>
  <c r="F26" i="21"/>
  <c r="F27" i="21"/>
  <c r="F28" i="21"/>
  <c r="F29" i="21"/>
  <c r="F30" i="21"/>
  <c r="F32" i="21"/>
  <c r="F31" i="21"/>
  <c r="E15" i="22"/>
  <c r="G25" i="21"/>
  <c r="G26" i="21"/>
  <c r="G27" i="21"/>
  <c r="G28" i="21"/>
  <c r="G29" i="21"/>
  <c r="G30" i="21"/>
  <c r="G32" i="21"/>
  <c r="G31" i="21"/>
  <c r="F15" i="22"/>
  <c r="H25" i="21"/>
  <c r="H26" i="21"/>
  <c r="H27" i="21"/>
  <c r="H28" i="21"/>
  <c r="H29" i="21"/>
  <c r="H30" i="21"/>
  <c r="H32" i="21"/>
  <c r="H31" i="21"/>
  <c r="G15" i="22"/>
  <c r="I25" i="21"/>
  <c r="I26" i="21"/>
  <c r="I27" i="21"/>
  <c r="I28" i="21"/>
  <c r="I29" i="21"/>
  <c r="I30" i="21"/>
  <c r="I32" i="21"/>
  <c r="I31" i="21"/>
  <c r="H15" i="22"/>
  <c r="J25" i="21"/>
  <c r="J26" i="21"/>
  <c r="J27" i="21"/>
  <c r="J28" i="21"/>
  <c r="J29" i="21"/>
  <c r="J30" i="21"/>
  <c r="J31" i="21"/>
  <c r="J32" i="21"/>
  <c r="I15" i="22"/>
  <c r="K25" i="21"/>
  <c r="K26" i="21"/>
  <c r="K27" i="21"/>
  <c r="K28" i="21"/>
  <c r="K29" i="21"/>
  <c r="K30" i="21"/>
  <c r="K31" i="21"/>
  <c r="K32" i="21"/>
  <c r="J15" i="22"/>
  <c r="L25" i="21"/>
  <c r="L26" i="21"/>
  <c r="L27" i="21"/>
  <c r="L28" i="21"/>
  <c r="L29" i="21"/>
  <c r="L30" i="21"/>
  <c r="L31" i="21"/>
  <c r="L32" i="21"/>
  <c r="K15" i="22"/>
  <c r="M25" i="21"/>
  <c r="M26" i="21"/>
  <c r="M27" i="21"/>
  <c r="M28" i="21"/>
  <c r="M29" i="21"/>
  <c r="M30" i="21"/>
  <c r="M31" i="21"/>
  <c r="M32" i="21"/>
  <c r="L15" i="22"/>
  <c r="N25" i="21"/>
  <c r="N26" i="21"/>
  <c r="N27" i="21"/>
  <c r="N28" i="21"/>
  <c r="N29" i="21"/>
  <c r="N30" i="21"/>
  <c r="N31" i="21"/>
  <c r="N32" i="21"/>
  <c r="M15" i="22"/>
  <c r="O25" i="21"/>
  <c r="O26" i="21"/>
  <c r="O27" i="21"/>
  <c r="O28" i="21"/>
  <c r="O29" i="21"/>
  <c r="O30" i="21"/>
  <c r="O31" i="21"/>
  <c r="O32" i="21"/>
  <c r="N15" i="22"/>
  <c r="P25" i="21"/>
  <c r="P26" i="21"/>
  <c r="P27" i="21"/>
  <c r="P28" i="21"/>
  <c r="P29" i="21"/>
  <c r="P30" i="21"/>
  <c r="P31" i="21"/>
  <c r="P32" i="21"/>
  <c r="O15" i="22"/>
  <c r="Q25" i="21"/>
  <c r="Q26" i="21"/>
  <c r="Q27" i="21"/>
  <c r="Q28" i="21"/>
  <c r="Q29" i="21"/>
  <c r="Q30" i="21"/>
  <c r="Q31" i="21"/>
  <c r="Q32" i="21"/>
  <c r="P15" i="22"/>
  <c r="R25" i="21"/>
  <c r="R26" i="21"/>
  <c r="R27" i="21"/>
  <c r="R28" i="21"/>
  <c r="R29" i="21"/>
  <c r="R30" i="21"/>
  <c r="R31" i="21"/>
  <c r="R32" i="21"/>
  <c r="Q15" i="22"/>
  <c r="S25" i="21"/>
  <c r="S26" i="21"/>
  <c r="S27" i="21"/>
  <c r="S28" i="21"/>
  <c r="S29" i="21"/>
  <c r="S30" i="21"/>
  <c r="S31" i="21"/>
  <c r="S32" i="21"/>
  <c r="R15" i="22"/>
  <c r="S15" i="22"/>
  <c r="T15" i="22"/>
  <c r="G41" i="21"/>
  <c r="G39" i="21"/>
  <c r="G40" i="21"/>
  <c r="G42" i="21"/>
  <c r="G43" i="21"/>
  <c r="G44" i="21"/>
  <c r="G45" i="21"/>
  <c r="G46" i="21"/>
  <c r="F17" i="22"/>
  <c r="H41" i="21"/>
  <c r="H39" i="21"/>
  <c r="H40" i="21"/>
  <c r="H42" i="21"/>
  <c r="H43" i="21"/>
  <c r="H44" i="21"/>
  <c r="H45" i="21"/>
  <c r="H46" i="21"/>
  <c r="G17" i="22"/>
  <c r="I41" i="21"/>
  <c r="I39" i="21"/>
  <c r="I40" i="21"/>
  <c r="I42" i="21"/>
  <c r="I43" i="21"/>
  <c r="I44" i="21"/>
  <c r="I45" i="21"/>
  <c r="I46" i="21"/>
  <c r="H17" i="22"/>
  <c r="J39" i="21"/>
  <c r="J40" i="21"/>
  <c r="J41" i="21"/>
  <c r="J42" i="21"/>
  <c r="J43" i="21"/>
  <c r="J44" i="21"/>
  <c r="J45" i="21"/>
  <c r="J46" i="21"/>
  <c r="I17" i="22"/>
  <c r="K39" i="21"/>
  <c r="K40" i="21"/>
  <c r="K41" i="21"/>
  <c r="K42" i="21"/>
  <c r="K43" i="21"/>
  <c r="K44" i="21"/>
  <c r="K45" i="21"/>
  <c r="K46" i="21"/>
  <c r="J17" i="22"/>
  <c r="L39" i="21"/>
  <c r="L40" i="21"/>
  <c r="L41" i="21"/>
  <c r="L42" i="21"/>
  <c r="L43" i="21"/>
  <c r="L44" i="21"/>
  <c r="L45" i="21"/>
  <c r="L46" i="21"/>
  <c r="K17" i="22"/>
  <c r="M39" i="21"/>
  <c r="M40" i="21"/>
  <c r="M41" i="21"/>
  <c r="M42" i="21"/>
  <c r="M43" i="21"/>
  <c r="M44" i="21"/>
  <c r="M45" i="21"/>
  <c r="M46" i="21"/>
  <c r="L17" i="22"/>
  <c r="N39" i="21"/>
  <c r="N40" i="21"/>
  <c r="N41" i="21"/>
  <c r="N42" i="21"/>
  <c r="N43" i="21"/>
  <c r="N44" i="21"/>
  <c r="N45" i="21"/>
  <c r="N46" i="21"/>
  <c r="M17" i="22"/>
  <c r="O39" i="21"/>
  <c r="O40" i="21"/>
  <c r="O41" i="21"/>
  <c r="O42" i="21"/>
  <c r="O43" i="21"/>
  <c r="O44" i="21"/>
  <c r="O45" i="21"/>
  <c r="O46" i="21"/>
  <c r="N17" i="22"/>
  <c r="P39" i="21"/>
  <c r="P40" i="21"/>
  <c r="P41" i="21"/>
  <c r="P42" i="21"/>
  <c r="P43" i="21"/>
  <c r="P44" i="21"/>
  <c r="P45" i="21"/>
  <c r="P46" i="21"/>
  <c r="O17" i="22"/>
  <c r="Q39" i="21"/>
  <c r="Q40" i="21"/>
  <c r="Q41" i="21"/>
  <c r="Q42" i="21"/>
  <c r="Q43" i="21"/>
  <c r="Q44" i="21"/>
  <c r="Q45" i="21"/>
  <c r="Q46" i="21"/>
  <c r="P17" i="22"/>
  <c r="R39" i="21"/>
  <c r="R40" i="21"/>
  <c r="R41" i="21"/>
  <c r="R42" i="21"/>
  <c r="R43" i="21"/>
  <c r="R44" i="21"/>
  <c r="R45" i="21"/>
  <c r="R46" i="21"/>
  <c r="Q17" i="22"/>
  <c r="S39" i="21"/>
  <c r="S40" i="21"/>
  <c r="S41" i="21"/>
  <c r="S42" i="21"/>
  <c r="S43" i="21"/>
  <c r="S44" i="21"/>
  <c r="S45" i="21"/>
  <c r="S46" i="21"/>
  <c r="R17" i="22"/>
  <c r="F41" i="21"/>
  <c r="F39" i="21"/>
  <c r="F40" i="21"/>
  <c r="F42" i="21"/>
  <c r="F43" i="21"/>
  <c r="F44" i="21"/>
  <c r="F45" i="21"/>
  <c r="F46" i="21"/>
  <c r="E17" i="22"/>
  <c r="D33" i="21"/>
  <c r="G38" i="21"/>
  <c r="G33" i="21"/>
  <c r="G34" i="21"/>
  <c r="G35" i="21"/>
  <c r="G36" i="21"/>
  <c r="G37" i="21"/>
  <c r="D34" i="21"/>
  <c r="F16" i="22"/>
  <c r="H38" i="21"/>
  <c r="H33" i="21"/>
  <c r="H34" i="21"/>
  <c r="H35" i="21"/>
  <c r="H36" i="21"/>
  <c r="H37" i="21"/>
  <c r="G16" i="22"/>
  <c r="I38" i="21"/>
  <c r="I33" i="21"/>
  <c r="I34" i="21"/>
  <c r="I35" i="21"/>
  <c r="I36" i="21"/>
  <c r="I37" i="21"/>
  <c r="H16" i="22"/>
  <c r="J33" i="21"/>
  <c r="J34" i="21"/>
  <c r="J35" i="21"/>
  <c r="J36" i="21"/>
  <c r="J37" i="21"/>
  <c r="J38" i="21"/>
  <c r="I16" i="22"/>
  <c r="K33" i="21"/>
  <c r="K34" i="21"/>
  <c r="K35" i="21"/>
  <c r="K36" i="21"/>
  <c r="K37" i="21"/>
  <c r="K38" i="21"/>
  <c r="J16" i="22"/>
  <c r="L33" i="21"/>
  <c r="L34" i="21"/>
  <c r="L35" i="21"/>
  <c r="L36" i="21"/>
  <c r="L37" i="21"/>
  <c r="L38" i="21"/>
  <c r="K16" i="22"/>
  <c r="M33" i="21"/>
  <c r="M34" i="21"/>
  <c r="M35" i="21"/>
  <c r="M36" i="21"/>
  <c r="M37" i="21"/>
  <c r="M38" i="21"/>
  <c r="L16" i="22"/>
  <c r="N33" i="21"/>
  <c r="N34" i="21"/>
  <c r="N35" i="21"/>
  <c r="N36" i="21"/>
  <c r="N37" i="21"/>
  <c r="N38" i="21"/>
  <c r="M16" i="22"/>
  <c r="O33" i="21"/>
  <c r="O34" i="21"/>
  <c r="O35" i="21"/>
  <c r="O36" i="21"/>
  <c r="O37" i="21"/>
  <c r="O38" i="21"/>
  <c r="N16" i="22"/>
  <c r="P33" i="21"/>
  <c r="P34" i="21"/>
  <c r="P35" i="21"/>
  <c r="P36" i="21"/>
  <c r="P37" i="21"/>
  <c r="P38" i="21"/>
  <c r="O16" i="22"/>
  <c r="Q33" i="21"/>
  <c r="Q34" i="21"/>
  <c r="Q35" i="21"/>
  <c r="Q36" i="21"/>
  <c r="Q37" i="21"/>
  <c r="Q38" i="21"/>
  <c r="P16" i="22"/>
  <c r="R33" i="21"/>
  <c r="R34" i="21"/>
  <c r="R35" i="21"/>
  <c r="R36" i="21"/>
  <c r="R37" i="21"/>
  <c r="R38" i="21"/>
  <c r="Q16" i="22"/>
  <c r="S33" i="21"/>
  <c r="S34" i="21"/>
  <c r="S35" i="21"/>
  <c r="S36" i="21"/>
  <c r="S37" i="21"/>
  <c r="S38" i="21"/>
  <c r="R16" i="22"/>
  <c r="F38" i="21"/>
  <c r="F33" i="21"/>
  <c r="F34" i="21"/>
  <c r="F35" i="21"/>
  <c r="F36" i="21"/>
  <c r="F37" i="21"/>
  <c r="E16" i="22"/>
  <c r="D19" i="21"/>
  <c r="G13" i="21"/>
  <c r="G14" i="21"/>
  <c r="G15" i="21"/>
  <c r="G16" i="21"/>
  <c r="G17" i="21"/>
  <c r="G18" i="21"/>
  <c r="G19" i="21"/>
  <c r="G21" i="21"/>
  <c r="G24" i="21"/>
  <c r="G20" i="21"/>
  <c r="G22" i="21"/>
  <c r="G23" i="21"/>
  <c r="F14" i="22"/>
  <c r="H13" i="21"/>
  <c r="H14" i="21"/>
  <c r="H15" i="21"/>
  <c r="H16" i="21"/>
  <c r="H17" i="21"/>
  <c r="H18" i="21"/>
  <c r="H19" i="21"/>
  <c r="H21" i="21"/>
  <c r="H24" i="21"/>
  <c r="H20" i="21"/>
  <c r="H22" i="21"/>
  <c r="H23" i="21"/>
  <c r="G14" i="22"/>
  <c r="I13" i="21"/>
  <c r="I14" i="21"/>
  <c r="I15" i="21"/>
  <c r="I16" i="21"/>
  <c r="I17" i="21"/>
  <c r="I18" i="21"/>
  <c r="I19" i="21"/>
  <c r="I21" i="21"/>
  <c r="I24" i="21"/>
  <c r="I20" i="21"/>
  <c r="I22" i="21"/>
  <c r="I23" i="21"/>
  <c r="H14" i="22"/>
  <c r="J13" i="21"/>
  <c r="J15" i="21"/>
  <c r="J16" i="21"/>
  <c r="J17" i="21"/>
  <c r="J18" i="21"/>
  <c r="J19" i="21"/>
  <c r="J20" i="21"/>
  <c r="J21" i="21"/>
  <c r="J22" i="21"/>
  <c r="J23" i="21"/>
  <c r="J24" i="21"/>
  <c r="I14" i="22"/>
  <c r="K13" i="21"/>
  <c r="K15" i="21"/>
  <c r="K16" i="21"/>
  <c r="K17" i="21"/>
  <c r="K18" i="21"/>
  <c r="K19" i="21"/>
  <c r="K20" i="21"/>
  <c r="K21" i="21"/>
  <c r="K22" i="21"/>
  <c r="K23" i="21"/>
  <c r="K24" i="21"/>
  <c r="J14" i="22"/>
  <c r="L13" i="21"/>
  <c r="L15" i="21"/>
  <c r="L16" i="21"/>
  <c r="L17" i="21"/>
  <c r="L18" i="21"/>
  <c r="L19" i="21"/>
  <c r="L20" i="21"/>
  <c r="L21" i="21"/>
  <c r="L22" i="21"/>
  <c r="L23" i="21"/>
  <c r="L24" i="21"/>
  <c r="K14" i="22"/>
  <c r="M13" i="21"/>
  <c r="M15" i="21"/>
  <c r="M16" i="21"/>
  <c r="M17" i="21"/>
  <c r="M18" i="21"/>
  <c r="M19" i="21"/>
  <c r="M20" i="21"/>
  <c r="M21" i="21"/>
  <c r="M22" i="21"/>
  <c r="M23" i="21"/>
  <c r="M24" i="21"/>
  <c r="L14" i="22"/>
  <c r="N13" i="21"/>
  <c r="N15" i="21"/>
  <c r="N16" i="21"/>
  <c r="N17" i="21"/>
  <c r="N18" i="21"/>
  <c r="N19" i="21"/>
  <c r="N20" i="21"/>
  <c r="N21" i="21"/>
  <c r="N22" i="21"/>
  <c r="N23" i="21"/>
  <c r="N24" i="21"/>
  <c r="M14" i="22"/>
  <c r="O13" i="21"/>
  <c r="O15" i="21"/>
  <c r="O16" i="21"/>
  <c r="O17" i="21"/>
  <c r="O18" i="21"/>
  <c r="O19" i="21"/>
  <c r="O20" i="21"/>
  <c r="O21" i="21"/>
  <c r="O22" i="21"/>
  <c r="O23" i="21"/>
  <c r="O24" i="21"/>
  <c r="N14" i="22"/>
  <c r="P13" i="21"/>
  <c r="P15" i="21"/>
  <c r="P16" i="21"/>
  <c r="P17" i="21"/>
  <c r="P18" i="21"/>
  <c r="P19" i="21"/>
  <c r="P20" i="21"/>
  <c r="P21" i="21"/>
  <c r="P22" i="21"/>
  <c r="P23" i="21"/>
  <c r="P24" i="21"/>
  <c r="O14" i="22"/>
  <c r="Q13" i="21"/>
  <c r="Q15" i="21"/>
  <c r="Q16" i="21"/>
  <c r="Q17" i="21"/>
  <c r="Q18" i="21"/>
  <c r="Q19" i="21"/>
  <c r="Q20" i="21"/>
  <c r="Q21" i="21"/>
  <c r="Q22" i="21"/>
  <c r="Q23" i="21"/>
  <c r="Q24" i="21"/>
  <c r="P14" i="22"/>
  <c r="R13" i="21"/>
  <c r="R15" i="21"/>
  <c r="R16" i="21"/>
  <c r="R17" i="21"/>
  <c r="R18" i="21"/>
  <c r="R19" i="21"/>
  <c r="R20" i="21"/>
  <c r="R21" i="21"/>
  <c r="R22" i="21"/>
  <c r="R23" i="21"/>
  <c r="R24" i="21"/>
  <c r="Q14" i="22"/>
  <c r="S13" i="21"/>
  <c r="S15" i="21"/>
  <c r="S16" i="21"/>
  <c r="S17" i="21"/>
  <c r="S18" i="21"/>
  <c r="S19" i="21"/>
  <c r="S20" i="21"/>
  <c r="S21" i="21"/>
  <c r="S22" i="21"/>
  <c r="S23" i="21"/>
  <c r="S24" i="21"/>
  <c r="R14" i="22"/>
  <c r="D47" i="21"/>
  <c r="G48" i="21"/>
  <c r="F19" i="22"/>
  <c r="H48" i="21"/>
  <c r="G19" i="22"/>
  <c r="I48" i="21"/>
  <c r="H19" i="22"/>
  <c r="J48" i="21"/>
  <c r="I19" i="22"/>
  <c r="K48" i="21"/>
  <c r="J19" i="22"/>
  <c r="L48" i="21"/>
  <c r="K19" i="22"/>
  <c r="M48" i="21"/>
  <c r="L19" i="22"/>
  <c r="N48" i="21"/>
  <c r="M19" i="22"/>
  <c r="O48" i="21"/>
  <c r="N19" i="22"/>
  <c r="P48" i="21"/>
  <c r="O19" i="22"/>
  <c r="Q48" i="21"/>
  <c r="P19" i="22"/>
  <c r="R48" i="21"/>
  <c r="Q19" i="22"/>
  <c r="S48" i="21"/>
  <c r="R19" i="22"/>
  <c r="G49" i="21"/>
  <c r="F20" i="22"/>
  <c r="H49" i="21"/>
  <c r="G20" i="22"/>
  <c r="I49" i="21"/>
  <c r="H20" i="22"/>
  <c r="J49" i="21"/>
  <c r="I20" i="22"/>
  <c r="K49" i="21"/>
  <c r="J20" i="22"/>
  <c r="L49" i="21"/>
  <c r="K20" i="22"/>
  <c r="M49" i="21"/>
  <c r="L20" i="22"/>
  <c r="N49" i="21"/>
  <c r="M20" i="22"/>
  <c r="O49" i="21"/>
  <c r="N20" i="22"/>
  <c r="P49" i="21"/>
  <c r="O20" i="22"/>
  <c r="Q49" i="21"/>
  <c r="P20" i="22"/>
  <c r="R49" i="21"/>
  <c r="Q20" i="22"/>
  <c r="S49" i="21"/>
  <c r="R20" i="22"/>
  <c r="F13" i="21"/>
  <c r="F14" i="21"/>
  <c r="F15" i="21"/>
  <c r="F16" i="21"/>
  <c r="F17" i="21"/>
  <c r="F18" i="21"/>
  <c r="F19" i="21"/>
  <c r="F21" i="21"/>
  <c r="F24" i="21"/>
  <c r="F20" i="21"/>
  <c r="F22" i="21"/>
  <c r="F23" i="21"/>
  <c r="E14" i="22"/>
  <c r="S14" i="22"/>
  <c r="U14" i="22"/>
  <c r="T14" i="22"/>
  <c r="D9" i="21"/>
  <c r="G9" i="21"/>
  <c r="F10" i="22"/>
  <c r="H9" i="21"/>
  <c r="G10" i="22"/>
  <c r="I9" i="21"/>
  <c r="H10" i="22"/>
  <c r="J9" i="21"/>
  <c r="I10" i="22"/>
  <c r="K9" i="21"/>
  <c r="J10" i="22"/>
  <c r="L9" i="21"/>
  <c r="K10" i="22"/>
  <c r="M9" i="21"/>
  <c r="L10" i="22"/>
  <c r="N9" i="21"/>
  <c r="M10" i="22"/>
  <c r="O9" i="21"/>
  <c r="N10" i="22"/>
  <c r="P9" i="21"/>
  <c r="O10" i="22"/>
  <c r="Q9" i="21"/>
  <c r="P10" i="22"/>
  <c r="R9" i="21"/>
  <c r="Q10" i="22"/>
  <c r="S9" i="21"/>
  <c r="R10" i="22"/>
  <c r="D10" i="21"/>
  <c r="G10" i="21"/>
  <c r="F11" i="22"/>
  <c r="H10" i="21"/>
  <c r="G11" i="22"/>
  <c r="I10" i="21"/>
  <c r="H11" i="22"/>
  <c r="J10" i="21"/>
  <c r="I11" i="22"/>
  <c r="K10" i="21"/>
  <c r="J11" i="22"/>
  <c r="L10" i="21"/>
  <c r="K11" i="22"/>
  <c r="M10" i="21"/>
  <c r="L11" i="22"/>
  <c r="N10" i="21"/>
  <c r="M11" i="22"/>
  <c r="O10" i="21"/>
  <c r="N11" i="22"/>
  <c r="P10" i="21"/>
  <c r="O11" i="22"/>
  <c r="Q10" i="21"/>
  <c r="P11" i="22"/>
  <c r="R10" i="21"/>
  <c r="Q11" i="22"/>
  <c r="S10" i="21"/>
  <c r="R11" i="22"/>
  <c r="D11" i="21"/>
  <c r="G11" i="21"/>
  <c r="F12" i="22"/>
  <c r="H11" i="21"/>
  <c r="G12" i="22"/>
  <c r="I11" i="21"/>
  <c r="H12" i="22"/>
  <c r="J11" i="21"/>
  <c r="I12" i="22"/>
  <c r="K11" i="21"/>
  <c r="J12" i="22"/>
  <c r="L11" i="21"/>
  <c r="K12" i="22"/>
  <c r="M11" i="21"/>
  <c r="L12" i="22"/>
  <c r="N11" i="21"/>
  <c r="M12" i="22"/>
  <c r="O11" i="21"/>
  <c r="N12" i="22"/>
  <c r="P11" i="21"/>
  <c r="O12" i="22"/>
  <c r="Q11" i="21"/>
  <c r="P12" i="22"/>
  <c r="R11" i="21"/>
  <c r="Q12" i="22"/>
  <c r="S11" i="21"/>
  <c r="R12" i="22"/>
  <c r="D12" i="21"/>
  <c r="G12" i="21"/>
  <c r="F13" i="22"/>
  <c r="H12" i="21"/>
  <c r="G13" i="22"/>
  <c r="I12" i="21"/>
  <c r="H13" i="22"/>
  <c r="J12" i="21"/>
  <c r="I13" i="22"/>
  <c r="K12" i="21"/>
  <c r="J13" i="22"/>
  <c r="L12" i="21"/>
  <c r="K13" i="22"/>
  <c r="M12" i="21"/>
  <c r="L13" i="22"/>
  <c r="N12" i="21"/>
  <c r="M13" i="22"/>
  <c r="O12" i="21"/>
  <c r="N13" i="22"/>
  <c r="P12" i="21"/>
  <c r="O13" i="22"/>
  <c r="Q12" i="21"/>
  <c r="P13" i="22"/>
  <c r="R12" i="21"/>
  <c r="Q13" i="22"/>
  <c r="S12" i="21"/>
  <c r="R13" i="22"/>
  <c r="D31" i="21"/>
  <c r="G50" i="21"/>
  <c r="G51" i="21"/>
  <c r="G52" i="21"/>
  <c r="G54" i="21"/>
  <c r="G47" i="21"/>
  <c r="H50" i="21"/>
  <c r="H51" i="21"/>
  <c r="H52" i="21"/>
  <c r="H54" i="21"/>
  <c r="H47" i="21"/>
  <c r="I50" i="21"/>
  <c r="I51" i="21"/>
  <c r="I52" i="21"/>
  <c r="I54" i="21"/>
  <c r="I47" i="21"/>
  <c r="J50" i="21"/>
  <c r="J51" i="21"/>
  <c r="J52" i="21"/>
  <c r="J54" i="21"/>
  <c r="J47" i="21"/>
  <c r="K50" i="21"/>
  <c r="K51" i="21"/>
  <c r="K52" i="21"/>
  <c r="K54" i="21"/>
  <c r="K47" i="21"/>
  <c r="L50" i="21"/>
  <c r="L51" i="21"/>
  <c r="L52" i="21"/>
  <c r="L54" i="21"/>
  <c r="L47" i="21"/>
  <c r="M50" i="21"/>
  <c r="M51" i="21"/>
  <c r="M52" i="21"/>
  <c r="M54" i="21"/>
  <c r="M47" i="21"/>
  <c r="N50" i="21"/>
  <c r="N51" i="21"/>
  <c r="N52" i="21"/>
  <c r="N54" i="21"/>
  <c r="N47" i="21"/>
  <c r="O50" i="21"/>
  <c r="O51" i="21"/>
  <c r="O52" i="21"/>
  <c r="O54" i="21"/>
  <c r="O47" i="21"/>
  <c r="P50" i="21"/>
  <c r="P51" i="21"/>
  <c r="P52" i="21"/>
  <c r="P54" i="21"/>
  <c r="P47" i="21"/>
  <c r="Q50" i="21"/>
  <c r="Q51" i="21"/>
  <c r="Q52" i="21"/>
  <c r="Q54" i="21"/>
  <c r="Q47" i="21"/>
  <c r="R50" i="21"/>
  <c r="R51" i="21"/>
  <c r="R52" i="21"/>
  <c r="R54" i="21"/>
  <c r="R47" i="21"/>
  <c r="S50" i="21"/>
  <c r="S51" i="21"/>
  <c r="S52" i="21"/>
  <c r="S54" i="21"/>
  <c r="S47" i="21"/>
  <c r="D41" i="21"/>
  <c r="D42" i="21"/>
  <c r="D43" i="21"/>
  <c r="D44" i="21"/>
  <c r="F21" i="22"/>
  <c r="G21" i="22"/>
  <c r="H21" i="22"/>
  <c r="I21" i="22"/>
  <c r="J21" i="22"/>
  <c r="K21" i="22"/>
  <c r="L21" i="22"/>
  <c r="M21" i="22"/>
  <c r="N21" i="22"/>
  <c r="O21" i="22"/>
  <c r="P21" i="22"/>
  <c r="Q21" i="22"/>
  <c r="R21" i="22"/>
  <c r="D45" i="21"/>
  <c r="F22" i="22"/>
  <c r="G22" i="22"/>
  <c r="H22" i="22"/>
  <c r="I22" i="22"/>
  <c r="J22" i="22"/>
  <c r="K22" i="22"/>
  <c r="L22" i="22"/>
  <c r="M22" i="22"/>
  <c r="N22" i="22"/>
  <c r="O22" i="22"/>
  <c r="P22" i="22"/>
  <c r="Q22" i="22"/>
  <c r="R22" i="22"/>
  <c r="D46" i="21"/>
  <c r="G53" i="21"/>
  <c r="F23" i="22"/>
  <c r="H53" i="21"/>
  <c r="G23" i="22"/>
  <c r="I53" i="21"/>
  <c r="H23" i="22"/>
  <c r="J53" i="21"/>
  <c r="I23" i="22"/>
  <c r="K53" i="21"/>
  <c r="J23" i="22"/>
  <c r="L53" i="21"/>
  <c r="K23" i="22"/>
  <c r="M53" i="21"/>
  <c r="L23" i="22"/>
  <c r="N53" i="21"/>
  <c r="M23" i="22"/>
  <c r="O53" i="21"/>
  <c r="N23" i="22"/>
  <c r="P53" i="21"/>
  <c r="O23" i="22"/>
  <c r="Q53" i="21"/>
  <c r="P23" i="22"/>
  <c r="R53" i="21"/>
  <c r="Q23" i="22"/>
  <c r="S53" i="21"/>
  <c r="R23" i="22"/>
  <c r="G55" i="21"/>
  <c r="G56" i="21"/>
  <c r="G57" i="21"/>
  <c r="G58" i="21"/>
  <c r="G59" i="21"/>
  <c r="G60" i="21"/>
  <c r="G61" i="21"/>
  <c r="G62" i="21"/>
  <c r="G63" i="21"/>
  <c r="G64" i="21"/>
  <c r="G65" i="21"/>
  <c r="G66" i="21"/>
  <c r="G67" i="21"/>
  <c r="G68" i="21"/>
  <c r="G69" i="21"/>
  <c r="G70" i="21"/>
  <c r="G71" i="21"/>
  <c r="F24" i="22"/>
  <c r="H55" i="21"/>
  <c r="H56" i="21"/>
  <c r="H57" i="21"/>
  <c r="H58" i="21"/>
  <c r="H59" i="21"/>
  <c r="H60" i="21"/>
  <c r="H61" i="21"/>
  <c r="H62" i="21"/>
  <c r="H63" i="21"/>
  <c r="H64" i="21"/>
  <c r="H65" i="21"/>
  <c r="H66" i="21"/>
  <c r="H67" i="21"/>
  <c r="H68" i="21"/>
  <c r="H69" i="21"/>
  <c r="H70" i="21"/>
  <c r="H71" i="21"/>
  <c r="G24" i="22"/>
  <c r="I55" i="21"/>
  <c r="I56" i="21"/>
  <c r="I57" i="21"/>
  <c r="I58" i="21"/>
  <c r="I59" i="21"/>
  <c r="I60" i="21"/>
  <c r="I61" i="21"/>
  <c r="I62" i="21"/>
  <c r="I63" i="21"/>
  <c r="I64" i="21"/>
  <c r="I65" i="21"/>
  <c r="I66" i="21"/>
  <c r="I67" i="21"/>
  <c r="I68" i="21"/>
  <c r="I69" i="21"/>
  <c r="I70" i="21"/>
  <c r="I71" i="21"/>
  <c r="H24" i="22"/>
  <c r="J55" i="21"/>
  <c r="J56" i="21"/>
  <c r="J57" i="21"/>
  <c r="J58" i="21"/>
  <c r="J59" i="21"/>
  <c r="J60" i="21"/>
  <c r="J61" i="21"/>
  <c r="J62" i="21"/>
  <c r="J63" i="21"/>
  <c r="J64" i="21"/>
  <c r="J65" i="21"/>
  <c r="J66" i="21"/>
  <c r="J67" i="21"/>
  <c r="J68" i="21"/>
  <c r="J69" i="21"/>
  <c r="J70" i="21"/>
  <c r="I24" i="22"/>
  <c r="K55" i="21"/>
  <c r="K56" i="21"/>
  <c r="K57" i="21"/>
  <c r="K58" i="21"/>
  <c r="K59" i="21"/>
  <c r="K60" i="21"/>
  <c r="K61" i="21"/>
  <c r="K62" i="21"/>
  <c r="K63" i="21"/>
  <c r="K64" i="21"/>
  <c r="K65" i="21"/>
  <c r="K66" i="21"/>
  <c r="K67" i="21"/>
  <c r="K68" i="21"/>
  <c r="K69" i="21"/>
  <c r="K70" i="21"/>
  <c r="J24" i="22"/>
  <c r="L55" i="21"/>
  <c r="L56" i="21"/>
  <c r="L57" i="21"/>
  <c r="L58" i="21"/>
  <c r="L59" i="21"/>
  <c r="L60" i="21"/>
  <c r="L61" i="21"/>
  <c r="L62" i="21"/>
  <c r="L63" i="21"/>
  <c r="L64" i="21"/>
  <c r="L65" i="21"/>
  <c r="L66" i="21"/>
  <c r="L67" i="21"/>
  <c r="L68" i="21"/>
  <c r="L69" i="21"/>
  <c r="L70" i="21"/>
  <c r="K24" i="22"/>
  <c r="M55" i="21"/>
  <c r="M56" i="21"/>
  <c r="M57" i="21"/>
  <c r="M58" i="21"/>
  <c r="M59" i="21"/>
  <c r="M60" i="21"/>
  <c r="M61" i="21"/>
  <c r="M62" i="21"/>
  <c r="M63" i="21"/>
  <c r="M64" i="21"/>
  <c r="M65" i="21"/>
  <c r="M66" i="21"/>
  <c r="M67" i="21"/>
  <c r="M68" i="21"/>
  <c r="M69" i="21"/>
  <c r="M70" i="21"/>
  <c r="L24" i="22"/>
  <c r="N55" i="21"/>
  <c r="N56" i="21"/>
  <c r="N57" i="21"/>
  <c r="N58" i="21"/>
  <c r="N59" i="21"/>
  <c r="N60" i="21"/>
  <c r="N61" i="21"/>
  <c r="N62" i="21"/>
  <c r="N63" i="21"/>
  <c r="N64" i="21"/>
  <c r="N65" i="21"/>
  <c r="N66" i="21"/>
  <c r="N67" i="21"/>
  <c r="N68" i="21"/>
  <c r="N69" i="21"/>
  <c r="N70" i="21"/>
  <c r="M24" i="22"/>
  <c r="O55" i="21"/>
  <c r="O56" i="21"/>
  <c r="O57" i="21"/>
  <c r="O58" i="21"/>
  <c r="O59" i="21"/>
  <c r="O60" i="21"/>
  <c r="O61" i="21"/>
  <c r="O62" i="21"/>
  <c r="O63" i="21"/>
  <c r="O64" i="21"/>
  <c r="O65" i="21"/>
  <c r="O66" i="21"/>
  <c r="O67" i="21"/>
  <c r="O68" i="21"/>
  <c r="O69" i="21"/>
  <c r="O70" i="21"/>
  <c r="N24" i="22"/>
  <c r="P55" i="21"/>
  <c r="P56" i="21"/>
  <c r="P57" i="21"/>
  <c r="P58" i="21"/>
  <c r="P59" i="21"/>
  <c r="P60" i="21"/>
  <c r="P61" i="21"/>
  <c r="P62" i="21"/>
  <c r="P63" i="21"/>
  <c r="P64" i="21"/>
  <c r="P65" i="21"/>
  <c r="P66" i="21"/>
  <c r="P67" i="21"/>
  <c r="P68" i="21"/>
  <c r="P69" i="21"/>
  <c r="P70" i="21"/>
  <c r="O24" i="22"/>
  <c r="Q55" i="21"/>
  <c r="Q56" i="21"/>
  <c r="Q57" i="21"/>
  <c r="Q58" i="21"/>
  <c r="Q59" i="21"/>
  <c r="Q60" i="21"/>
  <c r="Q61" i="21"/>
  <c r="Q62" i="21"/>
  <c r="Q63" i="21"/>
  <c r="Q64" i="21"/>
  <c r="Q65" i="21"/>
  <c r="Q66" i="21"/>
  <c r="Q67" i="21"/>
  <c r="Q68" i="21"/>
  <c r="Q69" i="21"/>
  <c r="Q70" i="21"/>
  <c r="P24" i="22"/>
  <c r="R55" i="21"/>
  <c r="R56" i="21"/>
  <c r="R57" i="21"/>
  <c r="R58" i="21"/>
  <c r="R59" i="21"/>
  <c r="R60" i="21"/>
  <c r="R61" i="21"/>
  <c r="R62" i="21"/>
  <c r="R63" i="21"/>
  <c r="R64" i="21"/>
  <c r="R65" i="21"/>
  <c r="R66" i="21"/>
  <c r="R67" i="21"/>
  <c r="R68" i="21"/>
  <c r="R69" i="21"/>
  <c r="R70" i="21"/>
  <c r="Q24" i="22"/>
  <c r="S55" i="21"/>
  <c r="S56" i="21"/>
  <c r="S57" i="21"/>
  <c r="S58" i="21"/>
  <c r="S59" i="21"/>
  <c r="S60" i="21"/>
  <c r="S61" i="21"/>
  <c r="S62" i="21"/>
  <c r="S63" i="21"/>
  <c r="S64" i="21"/>
  <c r="S65" i="21"/>
  <c r="S66" i="21"/>
  <c r="S67" i="21"/>
  <c r="S68" i="21"/>
  <c r="S69" i="21"/>
  <c r="S70" i="21"/>
  <c r="R24" i="22"/>
  <c r="G72" i="21"/>
  <c r="G73" i="21"/>
  <c r="G74" i="21"/>
  <c r="F25" i="22"/>
  <c r="H72" i="21"/>
  <c r="H73" i="21"/>
  <c r="H74" i="21"/>
  <c r="G25" i="22"/>
  <c r="I72" i="21"/>
  <c r="I73" i="21"/>
  <c r="I74" i="21"/>
  <c r="H25" i="22"/>
  <c r="J71" i="21"/>
  <c r="J72" i="21"/>
  <c r="J73" i="21"/>
  <c r="J74" i="21"/>
  <c r="I25" i="22"/>
  <c r="K71" i="21"/>
  <c r="K72" i="21"/>
  <c r="K73" i="21"/>
  <c r="K74" i="21"/>
  <c r="J25" i="22"/>
  <c r="L71" i="21"/>
  <c r="L72" i="21"/>
  <c r="L73" i="21"/>
  <c r="L74" i="21"/>
  <c r="K25" i="22"/>
  <c r="M71" i="21"/>
  <c r="M72" i="21"/>
  <c r="M73" i="21"/>
  <c r="M74" i="21"/>
  <c r="L25" i="22"/>
  <c r="N71" i="21"/>
  <c r="N72" i="21"/>
  <c r="N73" i="21"/>
  <c r="N74" i="21"/>
  <c r="M25" i="22"/>
  <c r="O71" i="21"/>
  <c r="O72" i="21"/>
  <c r="O73" i="21"/>
  <c r="O74" i="21"/>
  <c r="N25" i="22"/>
  <c r="P71" i="21"/>
  <c r="P72" i="21"/>
  <c r="P73" i="21"/>
  <c r="P74" i="21"/>
  <c r="O25" i="22"/>
  <c r="Q71" i="21"/>
  <c r="Q72" i="21"/>
  <c r="Q73" i="21"/>
  <c r="Q74" i="21"/>
  <c r="P25" i="22"/>
  <c r="R71" i="21"/>
  <c r="R72" i="21"/>
  <c r="R73" i="21"/>
  <c r="R74" i="21"/>
  <c r="Q25" i="22"/>
  <c r="S71" i="21"/>
  <c r="S72" i="21"/>
  <c r="S73" i="21"/>
  <c r="S74" i="21"/>
  <c r="R25" i="22"/>
  <c r="G75" i="21"/>
  <c r="G76" i="21"/>
  <c r="G77" i="21"/>
  <c r="G78" i="21"/>
  <c r="G79" i="21"/>
  <c r="G80" i="21"/>
  <c r="G81" i="21"/>
  <c r="G82" i="21"/>
  <c r="G83" i="21"/>
  <c r="G84" i="21"/>
  <c r="G85" i="21"/>
  <c r="G86" i="21"/>
  <c r="G87" i="21"/>
  <c r="G88" i="21"/>
  <c r="G89" i="21"/>
  <c r="G90" i="21"/>
  <c r="G91" i="21"/>
  <c r="G92" i="21"/>
  <c r="G93" i="21"/>
  <c r="G94" i="21"/>
  <c r="G95" i="21"/>
  <c r="G96" i="21"/>
  <c r="G97" i="21"/>
  <c r="G98" i="21"/>
  <c r="G99" i="21"/>
  <c r="G100" i="21"/>
  <c r="G101" i="21"/>
  <c r="G102" i="21"/>
  <c r="G103" i="21"/>
  <c r="G104" i="21"/>
  <c r="G105" i="21"/>
  <c r="G106" i="21"/>
  <c r="G107" i="21"/>
  <c r="G108" i="21"/>
  <c r="G109" i="21"/>
  <c r="G110" i="21"/>
  <c r="G111" i="21"/>
  <c r="G112" i="21"/>
  <c r="G113" i="21"/>
  <c r="G114" i="21"/>
  <c r="G115" i="21"/>
  <c r="G116" i="21"/>
  <c r="G117" i="21"/>
  <c r="G118" i="21"/>
  <c r="G119" i="21"/>
  <c r="G120" i="21"/>
  <c r="G121" i="21"/>
  <c r="G122" i="21"/>
  <c r="G123" i="21"/>
  <c r="G124" i="21"/>
  <c r="G125" i="21"/>
  <c r="G126" i="21"/>
  <c r="G127" i="21"/>
  <c r="G128" i="21"/>
  <c r="G129" i="21"/>
  <c r="G130" i="21"/>
  <c r="G131" i="21"/>
  <c r="G132" i="21"/>
  <c r="G133" i="21"/>
  <c r="G134" i="21"/>
  <c r="G135" i="21"/>
  <c r="G136" i="21"/>
  <c r="G137" i="21"/>
  <c r="G138" i="21"/>
  <c r="G139" i="21"/>
  <c r="G140" i="21"/>
  <c r="G141" i="21"/>
  <c r="G142" i="21"/>
  <c r="G143" i="21"/>
  <c r="G144" i="21"/>
  <c r="G145" i="21"/>
  <c r="G146" i="21"/>
  <c r="G147" i="21"/>
  <c r="G148" i="21"/>
  <c r="D36" i="21"/>
  <c r="F26" i="22"/>
  <c r="H75" i="21"/>
  <c r="H76" i="21"/>
  <c r="H77" i="21"/>
  <c r="H78" i="21"/>
  <c r="H79" i="21"/>
  <c r="H80" i="21"/>
  <c r="H81" i="21"/>
  <c r="H82" i="21"/>
  <c r="H83" i="21"/>
  <c r="H84" i="21"/>
  <c r="H85" i="21"/>
  <c r="H86" i="21"/>
  <c r="H87" i="21"/>
  <c r="H88" i="21"/>
  <c r="H89" i="21"/>
  <c r="H90" i="21"/>
  <c r="H91" i="21"/>
  <c r="H92" i="21"/>
  <c r="H93" i="21"/>
  <c r="H94" i="21"/>
  <c r="H95" i="21"/>
  <c r="H96" i="21"/>
  <c r="H97" i="21"/>
  <c r="H98" i="21"/>
  <c r="H99" i="21"/>
  <c r="H100" i="21"/>
  <c r="H101" i="21"/>
  <c r="H102" i="21"/>
  <c r="H103" i="21"/>
  <c r="H104" i="21"/>
  <c r="H105" i="21"/>
  <c r="H106" i="21"/>
  <c r="H107" i="21"/>
  <c r="H108" i="21"/>
  <c r="H109" i="21"/>
  <c r="H110" i="21"/>
  <c r="H111" i="21"/>
  <c r="H112" i="21"/>
  <c r="H113" i="21"/>
  <c r="H114" i="21"/>
  <c r="H115" i="21"/>
  <c r="H116" i="21"/>
  <c r="H117" i="21"/>
  <c r="H118" i="21"/>
  <c r="H119" i="21"/>
  <c r="H120" i="21"/>
  <c r="H121" i="21"/>
  <c r="H122" i="21"/>
  <c r="H123" i="21"/>
  <c r="H124" i="21"/>
  <c r="H125" i="21"/>
  <c r="H126" i="21"/>
  <c r="H127" i="21"/>
  <c r="H128" i="21"/>
  <c r="H129" i="21"/>
  <c r="H130" i="21"/>
  <c r="H131" i="21"/>
  <c r="H132" i="21"/>
  <c r="H133" i="21"/>
  <c r="H134" i="21"/>
  <c r="H135" i="21"/>
  <c r="H136" i="21"/>
  <c r="H137" i="21"/>
  <c r="H138" i="21"/>
  <c r="H139" i="21"/>
  <c r="H140" i="21"/>
  <c r="H141" i="21"/>
  <c r="H142" i="21"/>
  <c r="H143" i="21"/>
  <c r="H144" i="21"/>
  <c r="H145" i="21"/>
  <c r="H146" i="21"/>
  <c r="H147" i="21"/>
  <c r="H148" i="21"/>
  <c r="G26" i="22"/>
  <c r="I75" i="21"/>
  <c r="I76" i="21"/>
  <c r="I77" i="21"/>
  <c r="I78" i="21"/>
  <c r="I79" i="21"/>
  <c r="I80" i="21"/>
  <c r="I81" i="21"/>
  <c r="I82" i="21"/>
  <c r="I83" i="21"/>
  <c r="I84" i="21"/>
  <c r="I85" i="21"/>
  <c r="I86" i="21"/>
  <c r="I87" i="21"/>
  <c r="I88" i="21"/>
  <c r="I89" i="21"/>
  <c r="I90" i="21"/>
  <c r="I91" i="21"/>
  <c r="I92" i="21"/>
  <c r="I93" i="21"/>
  <c r="I94" i="21"/>
  <c r="I95" i="21"/>
  <c r="I96" i="21"/>
  <c r="I97" i="21"/>
  <c r="I98" i="21"/>
  <c r="I99" i="21"/>
  <c r="I100" i="21"/>
  <c r="I101" i="21"/>
  <c r="I102" i="21"/>
  <c r="I103" i="21"/>
  <c r="I104" i="21"/>
  <c r="I105" i="21"/>
  <c r="I106" i="21"/>
  <c r="I107" i="21"/>
  <c r="I108" i="21"/>
  <c r="I109" i="21"/>
  <c r="I110" i="21"/>
  <c r="I111" i="21"/>
  <c r="I112" i="21"/>
  <c r="I113" i="21"/>
  <c r="I114" i="21"/>
  <c r="I115" i="21"/>
  <c r="I116" i="21"/>
  <c r="I117" i="21"/>
  <c r="I118" i="21"/>
  <c r="I119" i="21"/>
  <c r="I120" i="21"/>
  <c r="I121" i="21"/>
  <c r="I122" i="21"/>
  <c r="I123" i="21"/>
  <c r="I124" i="21"/>
  <c r="I125" i="21"/>
  <c r="I126" i="21"/>
  <c r="I127" i="21"/>
  <c r="I128" i="21"/>
  <c r="I129" i="21"/>
  <c r="I130" i="21"/>
  <c r="I131" i="21"/>
  <c r="I132" i="21"/>
  <c r="I133" i="21"/>
  <c r="I134" i="21"/>
  <c r="I135" i="21"/>
  <c r="I136" i="21"/>
  <c r="I137" i="21"/>
  <c r="I138" i="21"/>
  <c r="I139" i="21"/>
  <c r="I140" i="21"/>
  <c r="I141" i="21"/>
  <c r="I142" i="21"/>
  <c r="I143" i="21"/>
  <c r="I144" i="21"/>
  <c r="I145" i="21"/>
  <c r="I146" i="21"/>
  <c r="I147" i="21"/>
  <c r="I148" i="21"/>
  <c r="H26" i="22"/>
  <c r="J75" i="21"/>
  <c r="J76" i="21"/>
  <c r="J77" i="21"/>
  <c r="J78" i="21"/>
  <c r="J79" i="21"/>
  <c r="J80" i="21"/>
  <c r="J81" i="21"/>
  <c r="J82" i="21"/>
  <c r="J83" i="21"/>
  <c r="J84" i="21"/>
  <c r="J85" i="21"/>
  <c r="J86" i="21"/>
  <c r="J87" i="21"/>
  <c r="J88" i="21"/>
  <c r="J89" i="21"/>
  <c r="J90" i="21"/>
  <c r="J91" i="21"/>
  <c r="J92" i="21"/>
  <c r="J93" i="21"/>
  <c r="J94" i="21"/>
  <c r="J95" i="21"/>
  <c r="J96" i="21"/>
  <c r="J97" i="21"/>
  <c r="J98" i="21"/>
  <c r="J99" i="21"/>
  <c r="J100" i="21"/>
  <c r="J101" i="21"/>
  <c r="J102" i="21"/>
  <c r="J103" i="21"/>
  <c r="J104" i="21"/>
  <c r="J105" i="21"/>
  <c r="J106" i="21"/>
  <c r="J107" i="21"/>
  <c r="J108" i="21"/>
  <c r="J109" i="21"/>
  <c r="J110" i="21"/>
  <c r="J111" i="21"/>
  <c r="J112" i="21"/>
  <c r="J113" i="21"/>
  <c r="J114" i="21"/>
  <c r="J115" i="21"/>
  <c r="J116" i="21"/>
  <c r="J117" i="21"/>
  <c r="J118" i="21"/>
  <c r="J119" i="21"/>
  <c r="J120" i="21"/>
  <c r="J121" i="21"/>
  <c r="J122" i="21"/>
  <c r="J123" i="21"/>
  <c r="J124" i="21"/>
  <c r="J125" i="21"/>
  <c r="J126" i="21"/>
  <c r="J127" i="21"/>
  <c r="J128" i="21"/>
  <c r="J129" i="21"/>
  <c r="J130" i="21"/>
  <c r="J131" i="21"/>
  <c r="J132" i="21"/>
  <c r="J133" i="21"/>
  <c r="J134" i="21"/>
  <c r="J135" i="21"/>
  <c r="J136" i="21"/>
  <c r="J137" i="21"/>
  <c r="J138" i="21"/>
  <c r="J139" i="21"/>
  <c r="J140" i="21"/>
  <c r="J141" i="21"/>
  <c r="J142" i="21"/>
  <c r="J143" i="21"/>
  <c r="J144" i="21"/>
  <c r="J145" i="21"/>
  <c r="J146" i="21"/>
  <c r="J147" i="21"/>
  <c r="J148" i="21"/>
  <c r="I26" i="22"/>
  <c r="K75" i="21"/>
  <c r="K76" i="21"/>
  <c r="K77" i="21"/>
  <c r="K78" i="21"/>
  <c r="K79" i="21"/>
  <c r="K80" i="21"/>
  <c r="K81" i="21"/>
  <c r="K82" i="21"/>
  <c r="K83" i="21"/>
  <c r="K84" i="21"/>
  <c r="K85" i="21"/>
  <c r="K86" i="21"/>
  <c r="K87" i="21"/>
  <c r="K88" i="21"/>
  <c r="K89" i="21"/>
  <c r="K90" i="21"/>
  <c r="K91" i="21"/>
  <c r="K92" i="21"/>
  <c r="K93" i="21"/>
  <c r="K94" i="21"/>
  <c r="K95" i="21"/>
  <c r="K96" i="21"/>
  <c r="K97" i="21"/>
  <c r="K98" i="21"/>
  <c r="K99" i="21"/>
  <c r="K100" i="21"/>
  <c r="K101" i="21"/>
  <c r="K102" i="21"/>
  <c r="K103" i="21"/>
  <c r="K104" i="21"/>
  <c r="K105" i="21"/>
  <c r="K106" i="21"/>
  <c r="K107" i="21"/>
  <c r="K108" i="21"/>
  <c r="K109" i="21"/>
  <c r="K110" i="21"/>
  <c r="K111" i="21"/>
  <c r="K112" i="21"/>
  <c r="K113" i="21"/>
  <c r="K114" i="21"/>
  <c r="K115" i="21"/>
  <c r="K116" i="21"/>
  <c r="K117" i="21"/>
  <c r="K118" i="21"/>
  <c r="K119" i="21"/>
  <c r="K120" i="21"/>
  <c r="K121" i="21"/>
  <c r="K122" i="21"/>
  <c r="K123" i="21"/>
  <c r="K124" i="21"/>
  <c r="K125" i="21"/>
  <c r="K126" i="21"/>
  <c r="K127" i="21"/>
  <c r="K128" i="21"/>
  <c r="K129" i="21"/>
  <c r="K130" i="21"/>
  <c r="K131" i="21"/>
  <c r="K132" i="21"/>
  <c r="K133" i="21"/>
  <c r="K134" i="21"/>
  <c r="K135" i="21"/>
  <c r="K136" i="21"/>
  <c r="K137" i="21"/>
  <c r="K138" i="21"/>
  <c r="K139" i="21"/>
  <c r="K140" i="21"/>
  <c r="K141" i="21"/>
  <c r="K142" i="21"/>
  <c r="K143" i="21"/>
  <c r="K144" i="21"/>
  <c r="K145" i="21"/>
  <c r="K146" i="21"/>
  <c r="K147" i="21"/>
  <c r="K148" i="21"/>
  <c r="J26" i="22"/>
  <c r="L75" i="21"/>
  <c r="L76" i="21"/>
  <c r="L77" i="21"/>
  <c r="L78" i="21"/>
  <c r="L79" i="21"/>
  <c r="L80" i="21"/>
  <c r="L81" i="21"/>
  <c r="L82" i="21"/>
  <c r="L83" i="21"/>
  <c r="L84" i="21"/>
  <c r="L85" i="21"/>
  <c r="L86" i="21"/>
  <c r="L87" i="21"/>
  <c r="L88" i="21"/>
  <c r="L89" i="21"/>
  <c r="L90" i="21"/>
  <c r="L91" i="21"/>
  <c r="L92" i="21"/>
  <c r="L93" i="21"/>
  <c r="L94" i="21"/>
  <c r="L95" i="21"/>
  <c r="L96" i="21"/>
  <c r="L97" i="21"/>
  <c r="L98" i="21"/>
  <c r="L99" i="21"/>
  <c r="L100" i="21"/>
  <c r="L101" i="21"/>
  <c r="L102" i="21"/>
  <c r="L103" i="21"/>
  <c r="L104" i="21"/>
  <c r="L105" i="21"/>
  <c r="L106" i="21"/>
  <c r="L107" i="21"/>
  <c r="L108" i="21"/>
  <c r="L109" i="21"/>
  <c r="L110" i="21"/>
  <c r="L111" i="21"/>
  <c r="L112" i="21"/>
  <c r="L113" i="21"/>
  <c r="L114" i="21"/>
  <c r="L115" i="21"/>
  <c r="L116" i="21"/>
  <c r="L117" i="21"/>
  <c r="L118" i="21"/>
  <c r="L119" i="21"/>
  <c r="L120" i="21"/>
  <c r="L121" i="21"/>
  <c r="L122" i="21"/>
  <c r="L123" i="21"/>
  <c r="L124" i="21"/>
  <c r="L125" i="21"/>
  <c r="L126" i="21"/>
  <c r="L127" i="21"/>
  <c r="L128" i="21"/>
  <c r="L129" i="21"/>
  <c r="L130" i="21"/>
  <c r="L131" i="21"/>
  <c r="L132" i="21"/>
  <c r="L133" i="21"/>
  <c r="L134" i="21"/>
  <c r="L135" i="21"/>
  <c r="L136" i="21"/>
  <c r="L137" i="21"/>
  <c r="L138" i="21"/>
  <c r="L139" i="21"/>
  <c r="L140" i="21"/>
  <c r="L141" i="21"/>
  <c r="L142" i="21"/>
  <c r="L143" i="21"/>
  <c r="L144" i="21"/>
  <c r="L145" i="21"/>
  <c r="L146" i="21"/>
  <c r="L147" i="21"/>
  <c r="L148" i="21"/>
  <c r="K26" i="22"/>
  <c r="M75" i="21"/>
  <c r="M76" i="21"/>
  <c r="M77" i="21"/>
  <c r="M78" i="21"/>
  <c r="M79" i="21"/>
  <c r="M80" i="21"/>
  <c r="M81" i="21"/>
  <c r="M82" i="21"/>
  <c r="M83" i="21"/>
  <c r="M84" i="21"/>
  <c r="M85" i="21"/>
  <c r="M86" i="21"/>
  <c r="M87" i="21"/>
  <c r="M88" i="21"/>
  <c r="M89" i="21"/>
  <c r="M90" i="21"/>
  <c r="M91" i="21"/>
  <c r="M92" i="21"/>
  <c r="M93" i="21"/>
  <c r="M94" i="21"/>
  <c r="M95" i="21"/>
  <c r="M96" i="21"/>
  <c r="M97" i="21"/>
  <c r="M98" i="21"/>
  <c r="M99" i="21"/>
  <c r="M100" i="21"/>
  <c r="M101" i="21"/>
  <c r="M102" i="21"/>
  <c r="M103" i="21"/>
  <c r="M104" i="21"/>
  <c r="M105" i="21"/>
  <c r="M106" i="21"/>
  <c r="M107" i="21"/>
  <c r="M108" i="21"/>
  <c r="M109" i="21"/>
  <c r="M110" i="21"/>
  <c r="M111" i="21"/>
  <c r="M112" i="21"/>
  <c r="M113" i="21"/>
  <c r="M114" i="21"/>
  <c r="M115" i="21"/>
  <c r="M116" i="21"/>
  <c r="M117" i="21"/>
  <c r="M118" i="21"/>
  <c r="M119" i="21"/>
  <c r="M120" i="21"/>
  <c r="M121" i="21"/>
  <c r="M122" i="21"/>
  <c r="M123" i="21"/>
  <c r="M124" i="21"/>
  <c r="M125" i="21"/>
  <c r="M126" i="21"/>
  <c r="M127" i="21"/>
  <c r="M128" i="21"/>
  <c r="M129" i="21"/>
  <c r="M130" i="21"/>
  <c r="M131" i="21"/>
  <c r="M132" i="21"/>
  <c r="M133" i="21"/>
  <c r="M134" i="21"/>
  <c r="M135" i="21"/>
  <c r="M136" i="21"/>
  <c r="M137" i="21"/>
  <c r="M138" i="21"/>
  <c r="M139" i="21"/>
  <c r="M140" i="21"/>
  <c r="M141" i="21"/>
  <c r="M142" i="21"/>
  <c r="M143" i="21"/>
  <c r="M144" i="21"/>
  <c r="M145" i="21"/>
  <c r="M146" i="21"/>
  <c r="M147" i="21"/>
  <c r="M148" i="21"/>
  <c r="L26" i="22"/>
  <c r="N75" i="21"/>
  <c r="N76" i="21"/>
  <c r="N77" i="21"/>
  <c r="N78" i="21"/>
  <c r="N79" i="21"/>
  <c r="N80" i="21"/>
  <c r="N81" i="21"/>
  <c r="N82" i="21"/>
  <c r="N83" i="21"/>
  <c r="N84" i="21"/>
  <c r="N85" i="21"/>
  <c r="N86" i="21"/>
  <c r="N87" i="21"/>
  <c r="N88" i="21"/>
  <c r="N89" i="21"/>
  <c r="N90" i="21"/>
  <c r="N91" i="21"/>
  <c r="N92" i="21"/>
  <c r="N93" i="21"/>
  <c r="N94" i="21"/>
  <c r="N95" i="21"/>
  <c r="N96" i="21"/>
  <c r="N97" i="21"/>
  <c r="N98" i="21"/>
  <c r="N99" i="21"/>
  <c r="N100" i="21"/>
  <c r="N101" i="21"/>
  <c r="N102" i="21"/>
  <c r="N103" i="21"/>
  <c r="N104" i="21"/>
  <c r="N105" i="21"/>
  <c r="N106" i="21"/>
  <c r="N107" i="21"/>
  <c r="N108" i="21"/>
  <c r="N109" i="21"/>
  <c r="N110" i="21"/>
  <c r="N111" i="21"/>
  <c r="N112" i="21"/>
  <c r="N113" i="21"/>
  <c r="N114" i="21"/>
  <c r="N115" i="21"/>
  <c r="N116" i="21"/>
  <c r="N117" i="21"/>
  <c r="N118" i="21"/>
  <c r="N119" i="21"/>
  <c r="N120" i="21"/>
  <c r="N121" i="21"/>
  <c r="N122" i="21"/>
  <c r="N123" i="21"/>
  <c r="N124" i="21"/>
  <c r="N125" i="21"/>
  <c r="N126" i="21"/>
  <c r="N127" i="21"/>
  <c r="N128" i="21"/>
  <c r="N129" i="21"/>
  <c r="N130" i="21"/>
  <c r="N131" i="21"/>
  <c r="N132" i="21"/>
  <c r="N133" i="21"/>
  <c r="N134" i="21"/>
  <c r="N135" i="21"/>
  <c r="N136" i="21"/>
  <c r="N137" i="21"/>
  <c r="N138" i="21"/>
  <c r="N139" i="21"/>
  <c r="N140" i="21"/>
  <c r="N141" i="21"/>
  <c r="N142" i="21"/>
  <c r="N143" i="21"/>
  <c r="N144" i="21"/>
  <c r="N145" i="21"/>
  <c r="N146" i="21"/>
  <c r="N147" i="21"/>
  <c r="N148" i="21"/>
  <c r="M26" i="22"/>
  <c r="O75" i="21"/>
  <c r="O76" i="21"/>
  <c r="O77" i="21"/>
  <c r="O78" i="21"/>
  <c r="O79" i="21"/>
  <c r="O80" i="21"/>
  <c r="O81" i="21"/>
  <c r="O82" i="21"/>
  <c r="O83" i="21"/>
  <c r="O84" i="21"/>
  <c r="O85" i="21"/>
  <c r="O86" i="21"/>
  <c r="O87" i="21"/>
  <c r="O88" i="21"/>
  <c r="O89" i="21"/>
  <c r="O90" i="21"/>
  <c r="O91" i="21"/>
  <c r="O92" i="21"/>
  <c r="O93" i="21"/>
  <c r="O94" i="21"/>
  <c r="O95" i="21"/>
  <c r="O96" i="21"/>
  <c r="O97" i="21"/>
  <c r="O98" i="21"/>
  <c r="O99" i="21"/>
  <c r="O100" i="21"/>
  <c r="O101" i="21"/>
  <c r="O102" i="21"/>
  <c r="O103" i="21"/>
  <c r="O104" i="21"/>
  <c r="O105" i="21"/>
  <c r="O106" i="21"/>
  <c r="O107" i="21"/>
  <c r="O108" i="21"/>
  <c r="O109" i="21"/>
  <c r="O110" i="21"/>
  <c r="O111" i="21"/>
  <c r="O112" i="21"/>
  <c r="O113" i="21"/>
  <c r="O114" i="21"/>
  <c r="O115" i="21"/>
  <c r="O116" i="21"/>
  <c r="O117" i="21"/>
  <c r="O118" i="21"/>
  <c r="O119" i="21"/>
  <c r="O120" i="21"/>
  <c r="O121" i="21"/>
  <c r="O122" i="21"/>
  <c r="O123" i="21"/>
  <c r="O124" i="21"/>
  <c r="O125" i="21"/>
  <c r="O126" i="21"/>
  <c r="O127" i="21"/>
  <c r="O128" i="21"/>
  <c r="O129" i="21"/>
  <c r="O130" i="21"/>
  <c r="O131" i="21"/>
  <c r="O132" i="21"/>
  <c r="O133" i="21"/>
  <c r="O134" i="21"/>
  <c r="O135" i="21"/>
  <c r="O136" i="21"/>
  <c r="O137" i="21"/>
  <c r="O138" i="21"/>
  <c r="O139" i="21"/>
  <c r="O140" i="21"/>
  <c r="O141" i="21"/>
  <c r="O142" i="21"/>
  <c r="O143" i="21"/>
  <c r="O144" i="21"/>
  <c r="O145" i="21"/>
  <c r="O146" i="21"/>
  <c r="O147" i="21"/>
  <c r="O148" i="21"/>
  <c r="N26" i="22"/>
  <c r="P75" i="21"/>
  <c r="P76" i="21"/>
  <c r="P77" i="21"/>
  <c r="P78" i="21"/>
  <c r="P79" i="21"/>
  <c r="P80" i="21"/>
  <c r="P81" i="21"/>
  <c r="P82" i="21"/>
  <c r="P83" i="21"/>
  <c r="P84" i="21"/>
  <c r="P85" i="21"/>
  <c r="P86" i="21"/>
  <c r="P87" i="21"/>
  <c r="P88" i="21"/>
  <c r="P89" i="21"/>
  <c r="P90" i="21"/>
  <c r="P91" i="21"/>
  <c r="P92" i="21"/>
  <c r="P93" i="21"/>
  <c r="P94" i="21"/>
  <c r="P95" i="21"/>
  <c r="P96" i="21"/>
  <c r="P97" i="21"/>
  <c r="P98" i="21"/>
  <c r="P99" i="21"/>
  <c r="P100" i="21"/>
  <c r="P101" i="21"/>
  <c r="P102" i="21"/>
  <c r="P103" i="21"/>
  <c r="P104" i="21"/>
  <c r="P105" i="21"/>
  <c r="P106" i="21"/>
  <c r="P107" i="21"/>
  <c r="P108" i="21"/>
  <c r="P109" i="21"/>
  <c r="P110" i="21"/>
  <c r="P111" i="21"/>
  <c r="P112" i="21"/>
  <c r="P113" i="21"/>
  <c r="P114" i="21"/>
  <c r="P115" i="21"/>
  <c r="P116" i="21"/>
  <c r="P117" i="21"/>
  <c r="P118" i="21"/>
  <c r="P119" i="21"/>
  <c r="P120" i="21"/>
  <c r="P121" i="21"/>
  <c r="P122" i="21"/>
  <c r="P123" i="21"/>
  <c r="P124" i="21"/>
  <c r="P125" i="21"/>
  <c r="P126" i="21"/>
  <c r="P127" i="21"/>
  <c r="P128" i="21"/>
  <c r="P129" i="21"/>
  <c r="P130" i="21"/>
  <c r="P131" i="21"/>
  <c r="P132" i="21"/>
  <c r="P133" i="21"/>
  <c r="P134" i="21"/>
  <c r="P135" i="21"/>
  <c r="P136" i="21"/>
  <c r="P137" i="21"/>
  <c r="P138" i="21"/>
  <c r="P139" i="21"/>
  <c r="P140" i="21"/>
  <c r="P141" i="21"/>
  <c r="P142" i="21"/>
  <c r="P143" i="21"/>
  <c r="P144" i="21"/>
  <c r="P145" i="21"/>
  <c r="P146" i="21"/>
  <c r="P147" i="21"/>
  <c r="P148" i="21"/>
  <c r="O26" i="22"/>
  <c r="Q75" i="21"/>
  <c r="Q76" i="21"/>
  <c r="Q77" i="21"/>
  <c r="Q78" i="21"/>
  <c r="Q79" i="21"/>
  <c r="Q80" i="21"/>
  <c r="Q81" i="21"/>
  <c r="Q82" i="21"/>
  <c r="Q83" i="21"/>
  <c r="Q84" i="21"/>
  <c r="Q85" i="21"/>
  <c r="Q86" i="21"/>
  <c r="Q87" i="21"/>
  <c r="Q88" i="21"/>
  <c r="Q89" i="21"/>
  <c r="Q90" i="21"/>
  <c r="Q91" i="21"/>
  <c r="Q92" i="21"/>
  <c r="Q93" i="21"/>
  <c r="Q94" i="21"/>
  <c r="Q95" i="21"/>
  <c r="Q96" i="21"/>
  <c r="Q97" i="21"/>
  <c r="Q98" i="21"/>
  <c r="Q99" i="21"/>
  <c r="Q100" i="21"/>
  <c r="Q101" i="21"/>
  <c r="Q102" i="21"/>
  <c r="Q103" i="21"/>
  <c r="Q104" i="21"/>
  <c r="Q105" i="21"/>
  <c r="Q106" i="21"/>
  <c r="Q107" i="21"/>
  <c r="Q108" i="21"/>
  <c r="Q109" i="21"/>
  <c r="Q110" i="21"/>
  <c r="Q111" i="21"/>
  <c r="Q112" i="21"/>
  <c r="Q113" i="21"/>
  <c r="Q114" i="21"/>
  <c r="Q115" i="21"/>
  <c r="Q116" i="21"/>
  <c r="Q117" i="21"/>
  <c r="Q118" i="21"/>
  <c r="Q119" i="21"/>
  <c r="Q120" i="21"/>
  <c r="Q121" i="21"/>
  <c r="Q122" i="21"/>
  <c r="Q123" i="21"/>
  <c r="Q124" i="21"/>
  <c r="Q125" i="21"/>
  <c r="Q126" i="21"/>
  <c r="Q127" i="21"/>
  <c r="Q128" i="21"/>
  <c r="Q129" i="21"/>
  <c r="Q130" i="21"/>
  <c r="Q131" i="21"/>
  <c r="Q132" i="21"/>
  <c r="Q133" i="21"/>
  <c r="Q134" i="21"/>
  <c r="Q135" i="21"/>
  <c r="Q136" i="21"/>
  <c r="Q137" i="21"/>
  <c r="Q138" i="21"/>
  <c r="Q139" i="21"/>
  <c r="Q140" i="21"/>
  <c r="Q141" i="21"/>
  <c r="Q142" i="21"/>
  <c r="Q143" i="21"/>
  <c r="Q144" i="21"/>
  <c r="Q145" i="21"/>
  <c r="Q146" i="21"/>
  <c r="Q147" i="21"/>
  <c r="Q148" i="21"/>
  <c r="P26" i="22"/>
  <c r="R75" i="21"/>
  <c r="R76" i="21"/>
  <c r="R77" i="21"/>
  <c r="R78" i="21"/>
  <c r="R79" i="21"/>
  <c r="R80" i="21"/>
  <c r="R81" i="21"/>
  <c r="R82" i="21"/>
  <c r="R83" i="21"/>
  <c r="R84" i="21"/>
  <c r="R85" i="21"/>
  <c r="R86" i="21"/>
  <c r="R87" i="21"/>
  <c r="R88" i="21"/>
  <c r="R89" i="21"/>
  <c r="R90" i="21"/>
  <c r="R91" i="21"/>
  <c r="R92" i="21"/>
  <c r="R93" i="21"/>
  <c r="R94" i="21"/>
  <c r="R95" i="21"/>
  <c r="R96" i="21"/>
  <c r="R97" i="21"/>
  <c r="R98" i="21"/>
  <c r="R99" i="21"/>
  <c r="R100" i="21"/>
  <c r="R101" i="21"/>
  <c r="R102" i="21"/>
  <c r="R103" i="21"/>
  <c r="R104" i="21"/>
  <c r="R105" i="21"/>
  <c r="R106" i="21"/>
  <c r="R107" i="21"/>
  <c r="R108" i="21"/>
  <c r="R109" i="21"/>
  <c r="R110" i="21"/>
  <c r="R111" i="21"/>
  <c r="R112" i="21"/>
  <c r="R113" i="21"/>
  <c r="R114" i="21"/>
  <c r="R115" i="21"/>
  <c r="R116" i="21"/>
  <c r="R117" i="21"/>
  <c r="R118" i="21"/>
  <c r="R119" i="21"/>
  <c r="R120" i="21"/>
  <c r="R121" i="21"/>
  <c r="R122" i="21"/>
  <c r="R123" i="21"/>
  <c r="R124" i="21"/>
  <c r="R125" i="21"/>
  <c r="R126" i="21"/>
  <c r="R127" i="21"/>
  <c r="R128" i="21"/>
  <c r="R129" i="21"/>
  <c r="R130" i="21"/>
  <c r="R131" i="21"/>
  <c r="R132" i="21"/>
  <c r="R133" i="21"/>
  <c r="R134" i="21"/>
  <c r="R135" i="21"/>
  <c r="R136" i="21"/>
  <c r="R137" i="21"/>
  <c r="R138" i="21"/>
  <c r="R139" i="21"/>
  <c r="R140" i="21"/>
  <c r="R141" i="21"/>
  <c r="R142" i="21"/>
  <c r="R143" i="21"/>
  <c r="R144" i="21"/>
  <c r="R145" i="21"/>
  <c r="R146" i="21"/>
  <c r="R147" i="21"/>
  <c r="R148" i="21"/>
  <c r="Q26" i="22"/>
  <c r="S75" i="21"/>
  <c r="S76" i="21"/>
  <c r="S77" i="21"/>
  <c r="S78" i="21"/>
  <c r="S79" i="21"/>
  <c r="S80" i="21"/>
  <c r="S81" i="21"/>
  <c r="S82" i="21"/>
  <c r="S83" i="21"/>
  <c r="S84" i="21"/>
  <c r="S85" i="21"/>
  <c r="S86" i="21"/>
  <c r="S87" i="21"/>
  <c r="S88" i="21"/>
  <c r="S89" i="21"/>
  <c r="S90" i="21"/>
  <c r="S91" i="21"/>
  <c r="S92" i="21"/>
  <c r="S93" i="21"/>
  <c r="S94" i="21"/>
  <c r="S95" i="21"/>
  <c r="S96" i="21"/>
  <c r="S97" i="21"/>
  <c r="S98" i="21"/>
  <c r="S99" i="21"/>
  <c r="S100" i="21"/>
  <c r="S101" i="21"/>
  <c r="S102" i="21"/>
  <c r="S103" i="21"/>
  <c r="S104" i="21"/>
  <c r="S105" i="21"/>
  <c r="S106" i="21"/>
  <c r="S107" i="21"/>
  <c r="S108" i="21"/>
  <c r="S109" i="21"/>
  <c r="S110" i="21"/>
  <c r="S111" i="21"/>
  <c r="S112" i="21"/>
  <c r="S113" i="21"/>
  <c r="S114" i="21"/>
  <c r="S115" i="21"/>
  <c r="S116" i="21"/>
  <c r="S117" i="21"/>
  <c r="S118" i="21"/>
  <c r="S119" i="21"/>
  <c r="S120" i="21"/>
  <c r="S121" i="21"/>
  <c r="S122" i="21"/>
  <c r="S123" i="21"/>
  <c r="S124" i="21"/>
  <c r="S125" i="21"/>
  <c r="S126" i="21"/>
  <c r="S127" i="21"/>
  <c r="S128" i="21"/>
  <c r="S129" i="21"/>
  <c r="S130" i="21"/>
  <c r="S131" i="21"/>
  <c r="S132" i="21"/>
  <c r="S133" i="21"/>
  <c r="S134" i="21"/>
  <c r="S135" i="21"/>
  <c r="S136" i="21"/>
  <c r="S137" i="21"/>
  <c r="S138" i="21"/>
  <c r="S139" i="21"/>
  <c r="S140" i="21"/>
  <c r="S141" i="21"/>
  <c r="S142" i="21"/>
  <c r="S143" i="21"/>
  <c r="S144" i="21"/>
  <c r="S145" i="21"/>
  <c r="S146" i="21"/>
  <c r="S147" i="21"/>
  <c r="S148" i="21"/>
  <c r="R26" i="22"/>
  <c r="F75" i="21"/>
  <c r="F76" i="21"/>
  <c r="F77" i="21"/>
  <c r="F78" i="21"/>
  <c r="F79" i="21"/>
  <c r="F80" i="21"/>
  <c r="F81" i="21"/>
  <c r="F82" i="21"/>
  <c r="F83" i="21"/>
  <c r="F84" i="21"/>
  <c r="F85" i="21"/>
  <c r="F86" i="21"/>
  <c r="F87" i="21"/>
  <c r="F88" i="21"/>
  <c r="F89" i="21"/>
  <c r="F90" i="21"/>
  <c r="F91" i="21"/>
  <c r="F92" i="21"/>
  <c r="F93" i="21"/>
  <c r="F94" i="21"/>
  <c r="F95" i="21"/>
  <c r="F96" i="21"/>
  <c r="F97" i="21"/>
  <c r="F98" i="21"/>
  <c r="F99" i="21"/>
  <c r="F100" i="21"/>
  <c r="F101" i="21"/>
  <c r="F102" i="21"/>
  <c r="F103" i="21"/>
  <c r="F104" i="21"/>
  <c r="F105" i="21"/>
  <c r="F106" i="21"/>
  <c r="F107" i="21"/>
  <c r="F108" i="21"/>
  <c r="F109" i="21"/>
  <c r="F110" i="21"/>
  <c r="F111" i="21"/>
  <c r="F112" i="21"/>
  <c r="F113" i="21"/>
  <c r="F114" i="21"/>
  <c r="F115" i="21"/>
  <c r="F116" i="21"/>
  <c r="F117" i="21"/>
  <c r="F118" i="21"/>
  <c r="F119" i="21"/>
  <c r="F120" i="21"/>
  <c r="F121" i="21"/>
  <c r="F122" i="21"/>
  <c r="F123" i="21"/>
  <c r="F124" i="21"/>
  <c r="F125" i="21"/>
  <c r="F126" i="21"/>
  <c r="F127" i="21"/>
  <c r="F128" i="21"/>
  <c r="F129" i="21"/>
  <c r="F130" i="21"/>
  <c r="F131" i="21"/>
  <c r="F132" i="21"/>
  <c r="F133" i="21"/>
  <c r="F134" i="21"/>
  <c r="F135" i="21"/>
  <c r="F136" i="21"/>
  <c r="F137" i="21"/>
  <c r="F138" i="21"/>
  <c r="F139" i="21"/>
  <c r="F140" i="21"/>
  <c r="F141" i="21"/>
  <c r="F142" i="21"/>
  <c r="F143" i="21"/>
  <c r="F144" i="21"/>
  <c r="F145" i="21"/>
  <c r="F146" i="21"/>
  <c r="F147" i="21"/>
  <c r="F148" i="21"/>
  <c r="E26" i="22"/>
  <c r="F53" i="21"/>
  <c r="F72" i="21"/>
  <c r="F73" i="21"/>
  <c r="F74" i="21"/>
  <c r="F71" i="21"/>
  <c r="E25" i="22"/>
  <c r="F55" i="21"/>
  <c r="F56" i="21"/>
  <c r="F57" i="21"/>
  <c r="F58" i="21"/>
  <c r="F59" i="21"/>
  <c r="F60" i="21"/>
  <c r="F61" i="21"/>
  <c r="F62" i="21"/>
  <c r="F63" i="21"/>
  <c r="F64" i="21"/>
  <c r="F65" i="21"/>
  <c r="F66" i="21"/>
  <c r="F67" i="21"/>
  <c r="F68" i="21"/>
  <c r="F69" i="21"/>
  <c r="F70" i="21"/>
  <c r="F54" i="21"/>
  <c r="E24" i="22"/>
  <c r="E23" i="22"/>
  <c r="F51" i="21"/>
  <c r="F52" i="21"/>
  <c r="E22" i="22"/>
  <c r="F50" i="21"/>
  <c r="E21" i="22"/>
  <c r="F49" i="21"/>
  <c r="E20" i="22"/>
  <c r="F48" i="21"/>
  <c r="E19" i="22"/>
  <c r="F47" i="21"/>
  <c r="S18" i="22"/>
  <c r="T18" i="22"/>
  <c r="S17" i="22"/>
  <c r="S16" i="22"/>
  <c r="F163" i="21"/>
  <c r="E41" i="22"/>
  <c r="G163" i="21"/>
  <c r="F41" i="22"/>
  <c r="H163" i="21"/>
  <c r="G41" i="22"/>
  <c r="I163" i="21"/>
  <c r="H41" i="22"/>
  <c r="J163" i="21"/>
  <c r="I41" i="22"/>
  <c r="K163" i="21"/>
  <c r="J41" i="22"/>
  <c r="N163" i="21"/>
  <c r="M41" i="22"/>
  <c r="O163" i="21"/>
  <c r="N41" i="22"/>
  <c r="P163" i="21"/>
  <c r="O41" i="22"/>
  <c r="S163" i="21"/>
  <c r="R41" i="22"/>
  <c r="L163" i="21"/>
  <c r="K41" i="22"/>
  <c r="M163" i="21"/>
  <c r="L41" i="22"/>
  <c r="Q163" i="21"/>
  <c r="P41" i="22"/>
  <c r="R163" i="21"/>
  <c r="Q41" i="22"/>
  <c r="F162" i="21"/>
  <c r="E40" i="22"/>
  <c r="G162" i="21"/>
  <c r="F40" i="22"/>
  <c r="H162" i="21"/>
  <c r="G40" i="22"/>
  <c r="I162" i="21"/>
  <c r="H40" i="22"/>
  <c r="J162" i="21"/>
  <c r="I40" i="22"/>
  <c r="K162" i="21"/>
  <c r="J40" i="22"/>
  <c r="N162" i="21"/>
  <c r="M40" i="22"/>
  <c r="O162" i="21"/>
  <c r="N40" i="22"/>
  <c r="P162" i="21"/>
  <c r="O40" i="22"/>
  <c r="S162" i="21"/>
  <c r="R40" i="22"/>
  <c r="L162" i="21"/>
  <c r="K40" i="22"/>
  <c r="M162" i="21"/>
  <c r="L40" i="22"/>
  <c r="Q162" i="21"/>
  <c r="P40" i="22"/>
  <c r="R162" i="21"/>
  <c r="Q40" i="22"/>
  <c r="F161" i="21"/>
  <c r="E39" i="22"/>
  <c r="G161" i="21"/>
  <c r="F39" i="22"/>
  <c r="H161" i="21"/>
  <c r="G39" i="22"/>
  <c r="I161" i="21"/>
  <c r="H39" i="22"/>
  <c r="J161" i="21"/>
  <c r="I39" i="22"/>
  <c r="K161" i="21"/>
  <c r="J39" i="22"/>
  <c r="N161" i="21"/>
  <c r="M39" i="22"/>
  <c r="O161" i="21"/>
  <c r="N39" i="22"/>
  <c r="P161" i="21"/>
  <c r="O39" i="22"/>
  <c r="S161" i="21"/>
  <c r="R39" i="22"/>
  <c r="L161" i="21"/>
  <c r="K39" i="22"/>
  <c r="M161" i="21"/>
  <c r="L39" i="22"/>
  <c r="Q161" i="21"/>
  <c r="P39" i="22"/>
  <c r="R161" i="21"/>
  <c r="Q39" i="22"/>
  <c r="F160" i="21"/>
  <c r="E38" i="22"/>
  <c r="G160" i="21"/>
  <c r="F38" i="22"/>
  <c r="H160" i="21"/>
  <c r="G38" i="22"/>
  <c r="I160" i="21"/>
  <c r="H38" i="22"/>
  <c r="J160" i="21"/>
  <c r="I38" i="22"/>
  <c r="K160" i="21"/>
  <c r="J38" i="22"/>
  <c r="N160" i="21"/>
  <c r="M38" i="22"/>
  <c r="O160" i="21"/>
  <c r="N38" i="22"/>
  <c r="P160" i="21"/>
  <c r="O38" i="22"/>
  <c r="S160" i="21"/>
  <c r="R38" i="22"/>
  <c r="L160" i="21"/>
  <c r="K38" i="22"/>
  <c r="M160" i="21"/>
  <c r="L38" i="22"/>
  <c r="Q160" i="21"/>
  <c r="P38" i="22"/>
  <c r="R160" i="21"/>
  <c r="Q38" i="22"/>
  <c r="F159" i="21"/>
  <c r="E37" i="22"/>
  <c r="G159" i="21"/>
  <c r="F37" i="22"/>
  <c r="H159" i="21"/>
  <c r="G37" i="22"/>
  <c r="I159" i="21"/>
  <c r="H37" i="22"/>
  <c r="J159" i="21"/>
  <c r="I37" i="22"/>
  <c r="K159" i="21"/>
  <c r="J37" i="22"/>
  <c r="N159" i="21"/>
  <c r="M37" i="22"/>
  <c r="O159" i="21"/>
  <c r="N37" i="22"/>
  <c r="P159" i="21"/>
  <c r="O37" i="22"/>
  <c r="S159" i="21"/>
  <c r="R37" i="22"/>
  <c r="L159" i="21"/>
  <c r="K37" i="22"/>
  <c r="M159" i="21"/>
  <c r="L37" i="22"/>
  <c r="Q159" i="21"/>
  <c r="P37" i="22"/>
  <c r="R159" i="21"/>
  <c r="Q37" i="22"/>
  <c r="F158" i="21"/>
  <c r="E36" i="22"/>
  <c r="G158" i="21"/>
  <c r="F36" i="22"/>
  <c r="H158" i="21"/>
  <c r="G36" i="22"/>
  <c r="I158" i="21"/>
  <c r="H36" i="22"/>
  <c r="J158" i="21"/>
  <c r="I36" i="22"/>
  <c r="K158" i="21"/>
  <c r="J36" i="22"/>
  <c r="N158" i="21"/>
  <c r="M36" i="22"/>
  <c r="O158" i="21"/>
  <c r="N36" i="22"/>
  <c r="P158" i="21"/>
  <c r="O36" i="22"/>
  <c r="S158" i="21"/>
  <c r="R36" i="22"/>
  <c r="L158" i="21"/>
  <c r="K36" i="22"/>
  <c r="M158" i="21"/>
  <c r="L36" i="22"/>
  <c r="Q158" i="21"/>
  <c r="P36" i="22"/>
  <c r="R158" i="21"/>
  <c r="Q36" i="22"/>
  <c r="F157" i="21"/>
  <c r="E35" i="22"/>
  <c r="G157" i="21"/>
  <c r="F35" i="22"/>
  <c r="H157" i="21"/>
  <c r="G35" i="22"/>
  <c r="I157" i="21"/>
  <c r="H35" i="22"/>
  <c r="J157" i="21"/>
  <c r="I35" i="22"/>
  <c r="K157" i="21"/>
  <c r="J35" i="22"/>
  <c r="N157" i="21"/>
  <c r="M35" i="22"/>
  <c r="O157" i="21"/>
  <c r="N35" i="22"/>
  <c r="P157" i="21"/>
  <c r="O35" i="22"/>
  <c r="S157" i="21"/>
  <c r="R35" i="22"/>
  <c r="L157" i="21"/>
  <c r="K35" i="22"/>
  <c r="M157" i="21"/>
  <c r="L35" i="22"/>
  <c r="Q157" i="21"/>
  <c r="P35" i="22"/>
  <c r="R157" i="21"/>
  <c r="Q35" i="22"/>
  <c r="F156" i="21"/>
  <c r="E34" i="22"/>
  <c r="G156" i="21"/>
  <c r="F34" i="22"/>
  <c r="H156" i="21"/>
  <c r="G34" i="22"/>
  <c r="I156" i="21"/>
  <c r="H34" i="22"/>
  <c r="J156" i="21"/>
  <c r="I34" i="22"/>
  <c r="K156" i="21"/>
  <c r="J34" i="22"/>
  <c r="N156" i="21"/>
  <c r="M34" i="22"/>
  <c r="O156" i="21"/>
  <c r="N34" i="22"/>
  <c r="P156" i="21"/>
  <c r="O34" i="22"/>
  <c r="S156" i="21"/>
  <c r="R34" i="22"/>
  <c r="L156" i="21"/>
  <c r="K34" i="22"/>
  <c r="M156" i="21"/>
  <c r="L34" i="22"/>
  <c r="Q156" i="21"/>
  <c r="P34" i="22"/>
  <c r="R156" i="21"/>
  <c r="Q34" i="22"/>
  <c r="F155" i="21"/>
  <c r="E33" i="22"/>
  <c r="G155" i="21"/>
  <c r="F33" i="22"/>
  <c r="H155" i="21"/>
  <c r="G33" i="22"/>
  <c r="I155" i="21"/>
  <c r="H33" i="22"/>
  <c r="J155" i="21"/>
  <c r="I33" i="22"/>
  <c r="K155" i="21"/>
  <c r="J33" i="22"/>
  <c r="N155" i="21"/>
  <c r="M33" i="22"/>
  <c r="O155" i="21"/>
  <c r="N33" i="22"/>
  <c r="P155" i="21"/>
  <c r="O33" i="22"/>
  <c r="S155" i="21"/>
  <c r="R33" i="22"/>
  <c r="L155" i="21"/>
  <c r="K33" i="22"/>
  <c r="M155" i="21"/>
  <c r="L33" i="22"/>
  <c r="Q155" i="21"/>
  <c r="P33" i="22"/>
  <c r="R155" i="21"/>
  <c r="Q33" i="22"/>
  <c r="F154" i="21"/>
  <c r="E32" i="22"/>
  <c r="G154" i="21"/>
  <c r="F32" i="22"/>
  <c r="H154" i="21"/>
  <c r="G32" i="22"/>
  <c r="I154" i="21"/>
  <c r="H32" i="22"/>
  <c r="J154" i="21"/>
  <c r="I32" i="22"/>
  <c r="K154" i="21"/>
  <c r="J32" i="22"/>
  <c r="N154" i="21"/>
  <c r="M32" i="22"/>
  <c r="O154" i="21"/>
  <c r="N32" i="22"/>
  <c r="P154" i="21"/>
  <c r="O32" i="22"/>
  <c r="S154" i="21"/>
  <c r="R32" i="22"/>
  <c r="L154" i="21"/>
  <c r="K32" i="22"/>
  <c r="M154" i="21"/>
  <c r="L32" i="22"/>
  <c r="Q154" i="21"/>
  <c r="P32" i="22"/>
  <c r="R154" i="21"/>
  <c r="Q32" i="22"/>
  <c r="F153" i="21"/>
  <c r="D24" i="21"/>
  <c r="E31" i="22"/>
  <c r="G153" i="21"/>
  <c r="F31" i="22"/>
  <c r="H153" i="21"/>
  <c r="G31" i="22"/>
  <c r="I153" i="21"/>
  <c r="H31" i="22"/>
  <c r="J153" i="21"/>
  <c r="I31" i="22"/>
  <c r="K153" i="21"/>
  <c r="J31" i="22"/>
  <c r="N153" i="21"/>
  <c r="M31" i="22"/>
  <c r="O153" i="21"/>
  <c r="N31" i="22"/>
  <c r="P153" i="21"/>
  <c r="O31" i="22"/>
  <c r="S153" i="21"/>
  <c r="R31" i="22"/>
  <c r="L153" i="21"/>
  <c r="K31" i="22"/>
  <c r="M153" i="21"/>
  <c r="L31" i="22"/>
  <c r="Q153" i="21"/>
  <c r="P31" i="22"/>
  <c r="R153" i="21"/>
  <c r="Q31" i="22"/>
  <c r="F152" i="21"/>
  <c r="E30" i="22"/>
  <c r="G152" i="21"/>
  <c r="F30" i="22"/>
  <c r="H152" i="21"/>
  <c r="G30" i="22"/>
  <c r="I152" i="21"/>
  <c r="H30" i="22"/>
  <c r="J152" i="21"/>
  <c r="I30" i="22"/>
  <c r="K152" i="21"/>
  <c r="J30" i="22"/>
  <c r="N152" i="21"/>
  <c r="M30" i="22"/>
  <c r="O152" i="21"/>
  <c r="N30" i="22"/>
  <c r="P152" i="21"/>
  <c r="O30" i="22"/>
  <c r="S152" i="21"/>
  <c r="R30" i="22"/>
  <c r="L152" i="21"/>
  <c r="K30" i="22"/>
  <c r="M152" i="21"/>
  <c r="L30" i="22"/>
  <c r="Q152" i="21"/>
  <c r="P30" i="22"/>
  <c r="R152" i="21"/>
  <c r="Q30" i="22"/>
  <c r="F151" i="21"/>
  <c r="E29" i="22"/>
  <c r="G151" i="21"/>
  <c r="F29" i="22"/>
  <c r="H151" i="21"/>
  <c r="G29" i="22"/>
  <c r="I151" i="21"/>
  <c r="H29" i="22"/>
  <c r="J151" i="21"/>
  <c r="I29" i="22"/>
  <c r="K151" i="21"/>
  <c r="J29" i="22"/>
  <c r="N151" i="21"/>
  <c r="M29" i="22"/>
  <c r="O151" i="21"/>
  <c r="N29" i="22"/>
  <c r="P151" i="21"/>
  <c r="O29" i="22"/>
  <c r="S151" i="21"/>
  <c r="R29" i="22"/>
  <c r="L151" i="21"/>
  <c r="K29" i="22"/>
  <c r="M151" i="21"/>
  <c r="L29" i="22"/>
  <c r="Q151" i="21"/>
  <c r="P29" i="22"/>
  <c r="R151" i="21"/>
  <c r="Q29" i="22"/>
  <c r="F150" i="21"/>
  <c r="E28" i="22"/>
  <c r="G150" i="21"/>
  <c r="F28" i="22"/>
  <c r="H150" i="21"/>
  <c r="G28" i="22"/>
  <c r="I150" i="21"/>
  <c r="H28" i="22"/>
  <c r="J150" i="21"/>
  <c r="I28" i="22"/>
  <c r="K150" i="21"/>
  <c r="J28" i="22"/>
  <c r="N150" i="21"/>
  <c r="M28" i="22"/>
  <c r="O150" i="21"/>
  <c r="N28" i="22"/>
  <c r="P150" i="21"/>
  <c r="O28" i="22"/>
  <c r="S150" i="21"/>
  <c r="R28" i="22"/>
  <c r="L150" i="21"/>
  <c r="K28" i="22"/>
  <c r="M150" i="21"/>
  <c r="L28" i="22"/>
  <c r="Q150" i="21"/>
  <c r="P28" i="22"/>
  <c r="R150" i="21"/>
  <c r="Q28" i="22"/>
  <c r="F149" i="21"/>
  <c r="E27" i="22"/>
  <c r="G149" i="21"/>
  <c r="F27" i="22"/>
  <c r="H149" i="21"/>
  <c r="G27" i="22"/>
  <c r="I149" i="21"/>
  <c r="H27" i="22"/>
  <c r="J149" i="21"/>
  <c r="I27" i="22"/>
  <c r="K149" i="21"/>
  <c r="J27" i="22"/>
  <c r="N149" i="21"/>
  <c r="M27" i="22"/>
  <c r="O149" i="21"/>
  <c r="N27" i="22"/>
  <c r="P149" i="21"/>
  <c r="O27" i="22"/>
  <c r="S149" i="21"/>
  <c r="R27" i="22"/>
  <c r="L149" i="21"/>
  <c r="K27" i="22"/>
  <c r="M149" i="21"/>
  <c r="L27" i="22"/>
  <c r="Q149" i="21"/>
  <c r="P27" i="22"/>
  <c r="R149" i="21"/>
  <c r="Q27" i="22"/>
  <c r="T125" i="29"/>
  <c r="T126" i="29"/>
  <c r="T127" i="29"/>
  <c r="T128" i="29"/>
  <c r="T129" i="29"/>
  <c r="T130" i="29"/>
  <c r="T131" i="29"/>
  <c r="T132" i="29"/>
  <c r="T133" i="29"/>
  <c r="T134" i="29"/>
  <c r="T135" i="29"/>
  <c r="T136" i="29"/>
  <c r="T137" i="29"/>
  <c r="T138" i="29"/>
  <c r="T139" i="29"/>
  <c r="T140" i="29"/>
  <c r="T141" i="29"/>
  <c r="T142" i="29"/>
  <c r="T143" i="29"/>
  <c r="T144" i="29"/>
  <c r="T145" i="29"/>
  <c r="T146" i="29"/>
  <c r="T147" i="29"/>
  <c r="T148" i="29"/>
  <c r="T149" i="29"/>
  <c r="U125" i="29"/>
  <c r="U126" i="29"/>
  <c r="U127" i="29"/>
  <c r="U128" i="29"/>
  <c r="U129" i="29"/>
  <c r="U130" i="29"/>
  <c r="U131" i="29"/>
  <c r="U132" i="29"/>
  <c r="U133" i="29"/>
  <c r="U134" i="29"/>
  <c r="U135" i="29"/>
  <c r="U136" i="29"/>
  <c r="U137" i="29"/>
  <c r="U138" i="29"/>
  <c r="U139" i="29"/>
  <c r="U140" i="29"/>
  <c r="U141" i="29"/>
  <c r="U142" i="29"/>
  <c r="U143" i="29"/>
  <c r="U144" i="29"/>
  <c r="U145" i="29"/>
  <c r="U146" i="29"/>
  <c r="U147" i="29"/>
  <c r="U148" i="29"/>
  <c r="U149" i="29"/>
  <c r="V125" i="29"/>
  <c r="V126" i="29"/>
  <c r="V127" i="29"/>
  <c r="V128" i="29"/>
  <c r="V129" i="29"/>
  <c r="V130" i="29"/>
  <c r="V131" i="29"/>
  <c r="V132" i="29"/>
  <c r="V133" i="29"/>
  <c r="V134" i="29"/>
  <c r="V135" i="29"/>
  <c r="V136" i="29"/>
  <c r="V137" i="29"/>
  <c r="V138" i="29"/>
  <c r="V139" i="29"/>
  <c r="V140" i="29"/>
  <c r="V141" i="29"/>
  <c r="V142" i="29"/>
  <c r="V143" i="29"/>
  <c r="V144" i="29"/>
  <c r="V145" i="29"/>
  <c r="V146" i="29"/>
  <c r="V147" i="29"/>
  <c r="V148" i="29"/>
  <c r="V149" i="29"/>
  <c r="W125" i="29"/>
  <c r="W126" i="29"/>
  <c r="W127" i="29"/>
  <c r="W128" i="29"/>
  <c r="W129" i="29"/>
  <c r="W130" i="29"/>
  <c r="W131" i="29"/>
  <c r="W132" i="29"/>
  <c r="W133" i="29"/>
  <c r="W134" i="29"/>
  <c r="W135" i="29"/>
  <c r="W136" i="29"/>
  <c r="W137" i="29"/>
  <c r="W138" i="29"/>
  <c r="W139" i="29"/>
  <c r="W140" i="29"/>
  <c r="W141" i="29"/>
  <c r="W142" i="29"/>
  <c r="W143" i="29"/>
  <c r="W144" i="29"/>
  <c r="W145" i="29"/>
  <c r="W146" i="29"/>
  <c r="W147" i="29"/>
  <c r="W148" i="29"/>
  <c r="W149" i="29"/>
  <c r="X125" i="29"/>
  <c r="X126" i="29"/>
  <c r="X127" i="29"/>
  <c r="X128" i="29"/>
  <c r="X129" i="29"/>
  <c r="X130" i="29"/>
  <c r="X131" i="29"/>
  <c r="X132" i="29"/>
  <c r="X133" i="29"/>
  <c r="X134" i="29"/>
  <c r="X135" i="29"/>
  <c r="X136" i="29"/>
  <c r="X137" i="29"/>
  <c r="X138" i="29"/>
  <c r="X139" i="29"/>
  <c r="X140" i="29"/>
  <c r="X141" i="29"/>
  <c r="X142" i="29"/>
  <c r="X143" i="29"/>
  <c r="X144" i="29"/>
  <c r="X145" i="29"/>
  <c r="X146" i="29"/>
  <c r="X147" i="29"/>
  <c r="X148" i="29"/>
  <c r="X149" i="29"/>
  <c r="Y125" i="29"/>
  <c r="Y126" i="29"/>
  <c r="Y127" i="29"/>
  <c r="Y128" i="29"/>
  <c r="Y129" i="29"/>
  <c r="Y130" i="29"/>
  <c r="Y131" i="29"/>
  <c r="Y132" i="29"/>
  <c r="Y133" i="29"/>
  <c r="Y134" i="29"/>
  <c r="Y135" i="29"/>
  <c r="Y136" i="29"/>
  <c r="Y137" i="29"/>
  <c r="Y138" i="29"/>
  <c r="Y139" i="29"/>
  <c r="Y140" i="29"/>
  <c r="Y141" i="29"/>
  <c r="Y142" i="29"/>
  <c r="Y143" i="29"/>
  <c r="Y144" i="29"/>
  <c r="Y145" i="29"/>
  <c r="Y146" i="29"/>
  <c r="Y147" i="29"/>
  <c r="Y148" i="29"/>
  <c r="Y149" i="29"/>
  <c r="AB125" i="29"/>
  <c r="AB126" i="29"/>
  <c r="AB127" i="29"/>
  <c r="AB128" i="29"/>
  <c r="AB129" i="29"/>
  <c r="AB130" i="29"/>
  <c r="AB131" i="29"/>
  <c r="AB132" i="29"/>
  <c r="AB133" i="29"/>
  <c r="AB134" i="29"/>
  <c r="AB135" i="29"/>
  <c r="AB136" i="29"/>
  <c r="AB137" i="29"/>
  <c r="AB138" i="29"/>
  <c r="AB139" i="29"/>
  <c r="AB140" i="29"/>
  <c r="AB141" i="29"/>
  <c r="AB142" i="29"/>
  <c r="AB143" i="29"/>
  <c r="AB144" i="29"/>
  <c r="AB145" i="29"/>
  <c r="AB146" i="29"/>
  <c r="AB147" i="29"/>
  <c r="AB148" i="29"/>
  <c r="AB149" i="29"/>
  <c r="AC125" i="29"/>
  <c r="AC126" i="29"/>
  <c r="AC127" i="29"/>
  <c r="AC128" i="29"/>
  <c r="AC129" i="29"/>
  <c r="AC130" i="29"/>
  <c r="AC131" i="29"/>
  <c r="AC132" i="29"/>
  <c r="AC133" i="29"/>
  <c r="AC134" i="29"/>
  <c r="AC135" i="29"/>
  <c r="AC136" i="29"/>
  <c r="AC137" i="29"/>
  <c r="AC138" i="29"/>
  <c r="AC139" i="29"/>
  <c r="AC140" i="29"/>
  <c r="AC141" i="29"/>
  <c r="AC142" i="29"/>
  <c r="AC143" i="29"/>
  <c r="AC144" i="29"/>
  <c r="AC145" i="29"/>
  <c r="AC146" i="29"/>
  <c r="AC147" i="29"/>
  <c r="AC148" i="29"/>
  <c r="AC149" i="29"/>
  <c r="AD125" i="29"/>
  <c r="AD126" i="29"/>
  <c r="AD127" i="29"/>
  <c r="AD128" i="29"/>
  <c r="AD129" i="29"/>
  <c r="AD130" i="29"/>
  <c r="AD131" i="29"/>
  <c r="AD132" i="29"/>
  <c r="AD133" i="29"/>
  <c r="AD134" i="29"/>
  <c r="AD135" i="29"/>
  <c r="AD136" i="29"/>
  <c r="AD137" i="29"/>
  <c r="AD138" i="29"/>
  <c r="AD139" i="29"/>
  <c r="AD140" i="29"/>
  <c r="AD141" i="29"/>
  <c r="AD142" i="29"/>
  <c r="AD143" i="29"/>
  <c r="AD144" i="29"/>
  <c r="AD145" i="29"/>
  <c r="AD146" i="29"/>
  <c r="AD147" i="29"/>
  <c r="AD148" i="29"/>
  <c r="AD149" i="29"/>
  <c r="AG125" i="29"/>
  <c r="AG126" i="29"/>
  <c r="AG127" i="29"/>
  <c r="AG128" i="29"/>
  <c r="AG129" i="29"/>
  <c r="AG130" i="29"/>
  <c r="AG131" i="29"/>
  <c r="AG132" i="29"/>
  <c r="AG133" i="29"/>
  <c r="AG134" i="29"/>
  <c r="AG135" i="29"/>
  <c r="AG136" i="29"/>
  <c r="AG137" i="29"/>
  <c r="AG138" i="29"/>
  <c r="AG139" i="29"/>
  <c r="AG140" i="29"/>
  <c r="AG141" i="29"/>
  <c r="AG142" i="29"/>
  <c r="AG143" i="29"/>
  <c r="AG144" i="29"/>
  <c r="AG145" i="29"/>
  <c r="AG146" i="29"/>
  <c r="AG147" i="29"/>
  <c r="AG148" i="29"/>
  <c r="AG149" i="29"/>
  <c r="S26" i="22"/>
  <c r="S25" i="22"/>
  <c r="T105" i="29"/>
  <c r="T106" i="29"/>
  <c r="T107" i="29"/>
  <c r="T108" i="29"/>
  <c r="T164" i="29"/>
  <c r="T57" i="29"/>
  <c r="U105" i="29"/>
  <c r="U106" i="29"/>
  <c r="U107" i="29"/>
  <c r="U108" i="29"/>
  <c r="U164" i="29"/>
  <c r="U57" i="29"/>
  <c r="V105" i="29"/>
  <c r="V106" i="29"/>
  <c r="V107" i="29"/>
  <c r="V108" i="29"/>
  <c r="V164" i="29"/>
  <c r="V57" i="29"/>
  <c r="W105" i="29"/>
  <c r="W106" i="29"/>
  <c r="W107" i="29"/>
  <c r="W108" i="29"/>
  <c r="W164" i="29"/>
  <c r="W57" i="29"/>
  <c r="X105" i="29"/>
  <c r="X106" i="29"/>
  <c r="X107" i="29"/>
  <c r="X108" i="29"/>
  <c r="X164" i="29"/>
  <c r="X57" i="29"/>
  <c r="Y105" i="29"/>
  <c r="Y106" i="29"/>
  <c r="Y107" i="29"/>
  <c r="Y108" i="29"/>
  <c r="Y164" i="29"/>
  <c r="Y57" i="29"/>
  <c r="AB105" i="29"/>
  <c r="AB106" i="29"/>
  <c r="AB107" i="29"/>
  <c r="AB108" i="29"/>
  <c r="AB164" i="29"/>
  <c r="AB57" i="29"/>
  <c r="AC105" i="29"/>
  <c r="AC106" i="29"/>
  <c r="AC107" i="29"/>
  <c r="AC108" i="29"/>
  <c r="AC164" i="29"/>
  <c r="AC57" i="29"/>
  <c r="AD105" i="29"/>
  <c r="AD106" i="29"/>
  <c r="AD107" i="29"/>
  <c r="AD108" i="29"/>
  <c r="AD164" i="29"/>
  <c r="AD57" i="29"/>
  <c r="AG105" i="29"/>
  <c r="AG106" i="29"/>
  <c r="AG107" i="29"/>
  <c r="AG108" i="29"/>
  <c r="AG164" i="29"/>
  <c r="AG57" i="29"/>
  <c r="S24" i="22"/>
  <c r="T98" i="29"/>
  <c r="T47" i="29"/>
  <c r="U98" i="29"/>
  <c r="U47" i="29"/>
  <c r="V98" i="29"/>
  <c r="V47" i="29"/>
  <c r="W98" i="29"/>
  <c r="W47" i="29"/>
  <c r="X98" i="29"/>
  <c r="X47" i="29"/>
  <c r="Y98" i="29"/>
  <c r="Y47" i="29"/>
  <c r="AB98" i="29"/>
  <c r="AB47" i="29"/>
  <c r="R46" i="29"/>
  <c r="R47" i="29"/>
  <c r="AC98" i="29"/>
  <c r="AC47" i="29"/>
  <c r="AD98" i="29"/>
  <c r="AG98" i="29"/>
  <c r="AD47" i="29"/>
  <c r="AG47" i="29"/>
  <c r="S23" i="22"/>
  <c r="R45" i="29"/>
  <c r="S22" i="22"/>
  <c r="T43" i="29"/>
  <c r="T44" i="29"/>
  <c r="U43" i="29"/>
  <c r="U44" i="29"/>
  <c r="V43" i="29"/>
  <c r="V44" i="29"/>
  <c r="W43" i="29"/>
  <c r="W44" i="29"/>
  <c r="X43" i="29"/>
  <c r="X44" i="29"/>
  <c r="Y43" i="29"/>
  <c r="Y44" i="29"/>
  <c r="AB43" i="29"/>
  <c r="AB44" i="29"/>
  <c r="R43" i="29"/>
  <c r="R44" i="29"/>
  <c r="AC43" i="29"/>
  <c r="AC44" i="29"/>
  <c r="AD43" i="29"/>
  <c r="AG43" i="29"/>
  <c r="AD44" i="29"/>
  <c r="AG44" i="29"/>
  <c r="S21" i="22"/>
  <c r="T49" i="29"/>
  <c r="T42" i="29"/>
  <c r="U49" i="29"/>
  <c r="U42" i="29"/>
  <c r="V49" i="29"/>
  <c r="V42" i="29"/>
  <c r="W49" i="29"/>
  <c r="W42" i="29"/>
  <c r="X49" i="29"/>
  <c r="X42" i="29"/>
  <c r="Y49" i="29"/>
  <c r="Y42" i="29"/>
  <c r="AB49" i="29"/>
  <c r="AB42" i="29"/>
  <c r="R42" i="29"/>
  <c r="AC49" i="29"/>
  <c r="AC42" i="29"/>
  <c r="AD49" i="29"/>
  <c r="AG49" i="29"/>
  <c r="AD42" i="29"/>
  <c r="AG42" i="29"/>
  <c r="S20" i="22"/>
  <c r="S19" i="22"/>
  <c r="T95" i="29"/>
  <c r="U95" i="29"/>
  <c r="V95" i="29"/>
  <c r="W95" i="29"/>
  <c r="X95" i="29"/>
  <c r="Y95" i="29"/>
  <c r="AB95" i="29"/>
  <c r="AC95" i="29"/>
  <c r="AD95" i="29"/>
  <c r="AG95" i="29"/>
  <c r="T76" i="29"/>
  <c r="U76" i="29"/>
  <c r="V76" i="29"/>
  <c r="W76" i="29"/>
  <c r="X76" i="29"/>
  <c r="Y76" i="29"/>
  <c r="AB76" i="29"/>
  <c r="AC76" i="29"/>
  <c r="AD76" i="29"/>
  <c r="AG76" i="29"/>
  <c r="F12" i="21"/>
  <c r="E13" i="22"/>
  <c r="S13" i="22"/>
  <c r="F11" i="21"/>
  <c r="E12" i="22"/>
  <c r="S12" i="22"/>
  <c r="T75" i="29"/>
  <c r="U75" i="29"/>
  <c r="V75" i="29"/>
  <c r="W75" i="29"/>
  <c r="X75" i="29"/>
  <c r="Y75" i="29"/>
  <c r="AB75" i="29"/>
  <c r="AC75" i="29"/>
  <c r="AD75" i="29"/>
  <c r="AG75" i="29"/>
  <c r="F10" i="21"/>
  <c r="E11" i="22"/>
  <c r="S11" i="22"/>
  <c r="F9" i="21"/>
  <c r="E10" i="22"/>
  <c r="S10" i="22"/>
  <c r="T96" i="29"/>
  <c r="T97" i="29"/>
  <c r="T45" i="29"/>
  <c r="U96" i="29"/>
  <c r="U97" i="29"/>
  <c r="U45" i="29"/>
  <c r="V96" i="29"/>
  <c r="V97" i="29"/>
  <c r="V45" i="29"/>
  <c r="W96" i="29"/>
  <c r="W97" i="29"/>
  <c r="W45" i="29"/>
  <c r="T56" i="29"/>
  <c r="T58" i="29"/>
  <c r="T59" i="29"/>
  <c r="T60" i="29"/>
  <c r="T61" i="29"/>
  <c r="T62" i="29"/>
  <c r="T63" i="29"/>
  <c r="T64" i="29"/>
  <c r="T65" i="29"/>
  <c r="T66" i="29"/>
  <c r="T67" i="29"/>
  <c r="T68" i="29"/>
  <c r="T69" i="29"/>
  <c r="T70" i="29"/>
  <c r="T71" i="29"/>
  <c r="T102" i="29"/>
  <c r="T152" i="29"/>
  <c r="T103" i="29"/>
  <c r="T104" i="29"/>
  <c r="V56" i="29"/>
  <c r="V58" i="29"/>
  <c r="V59" i="29"/>
  <c r="V60" i="29"/>
  <c r="V61" i="29"/>
  <c r="V62" i="29"/>
  <c r="V63" i="29"/>
  <c r="V64" i="29"/>
  <c r="V65" i="29"/>
  <c r="V66" i="29"/>
  <c r="V67" i="29"/>
  <c r="V68" i="29"/>
  <c r="V69" i="29"/>
  <c r="V70" i="29"/>
  <c r="V71" i="29"/>
  <c r="V102" i="29"/>
  <c r="V152" i="29"/>
  <c r="V103" i="29"/>
  <c r="V104" i="29"/>
  <c r="U72" i="29"/>
  <c r="V72" i="29"/>
  <c r="X96" i="29"/>
  <c r="X97" i="29"/>
  <c r="X45" i="29"/>
  <c r="Y96" i="29"/>
  <c r="Y97" i="29"/>
  <c r="Y45" i="29"/>
  <c r="AB96" i="29"/>
  <c r="AB97" i="29"/>
  <c r="AB45" i="29"/>
  <c r="AC96" i="29"/>
  <c r="AC97" i="29"/>
  <c r="AC45" i="29"/>
  <c r="AD96" i="29"/>
  <c r="AD97" i="29"/>
  <c r="AG96" i="29"/>
  <c r="AG97" i="29"/>
  <c r="AD45" i="29"/>
  <c r="AG45" i="29"/>
  <c r="Y72" i="29"/>
  <c r="AB72" i="29"/>
  <c r="AC72" i="29"/>
  <c r="Y53" i="43"/>
  <c r="Y54" i="43"/>
  <c r="X53" i="43"/>
  <c r="X54" i="43"/>
  <c r="AJ41" i="43"/>
  <c r="AF41" i="43"/>
  <c r="AG41" i="43"/>
  <c r="AJ40" i="43"/>
  <c r="AF40" i="43"/>
  <c r="AG40" i="43"/>
  <c r="AJ39" i="43"/>
  <c r="AF39" i="43"/>
  <c r="AG39" i="43"/>
  <c r="AJ38" i="43"/>
  <c r="AF38" i="43"/>
  <c r="AG38" i="43"/>
  <c r="AJ37" i="43"/>
  <c r="AF37" i="43"/>
  <c r="AG37" i="43"/>
  <c r="AJ36" i="43"/>
  <c r="AF36" i="43"/>
  <c r="AG36" i="43"/>
  <c r="AJ35" i="43"/>
  <c r="AF35" i="43"/>
  <c r="AG35" i="43"/>
  <c r="AJ34" i="43"/>
  <c r="AF34" i="43"/>
  <c r="AG34" i="43"/>
  <c r="AJ33" i="43"/>
  <c r="AF33" i="43"/>
  <c r="AG33" i="43"/>
  <c r="AJ32" i="43"/>
  <c r="AF32" i="43"/>
  <c r="AG32" i="43"/>
  <c r="AJ31" i="43"/>
  <c r="AF31" i="43"/>
  <c r="AG31" i="43"/>
  <c r="AJ30" i="43"/>
  <c r="AF30" i="43"/>
  <c r="AG30" i="43"/>
  <c r="AJ29" i="43"/>
  <c r="AF29" i="43"/>
  <c r="AG29" i="43"/>
  <c r="AJ28" i="43"/>
  <c r="AF28" i="43"/>
  <c r="AG28" i="43"/>
  <c r="AJ27" i="43"/>
  <c r="AF27" i="43"/>
  <c r="AG27" i="43"/>
  <c r="AJ26" i="43"/>
  <c r="AG26" i="43"/>
  <c r="AF26" i="43"/>
  <c r="AJ25" i="43"/>
  <c r="AG25" i="43"/>
  <c r="AF25" i="43"/>
  <c r="AJ24" i="43"/>
  <c r="AG24" i="43"/>
  <c r="AF24" i="43"/>
  <c r="AJ23" i="43"/>
  <c r="AG23" i="43"/>
  <c r="AF23" i="43"/>
  <c r="AJ22" i="43"/>
  <c r="AG22" i="43"/>
  <c r="AF22" i="43"/>
  <c r="AJ21" i="43"/>
  <c r="AG21" i="43"/>
  <c r="AF21" i="43"/>
  <c r="AJ20" i="43"/>
  <c r="AG20" i="43"/>
  <c r="AF20" i="43"/>
  <c r="AJ19" i="43"/>
  <c r="AG19" i="43"/>
  <c r="AF19" i="43"/>
  <c r="AJ18" i="43"/>
  <c r="AG18" i="43"/>
  <c r="AF18" i="43"/>
  <c r="AJ17" i="43"/>
  <c r="AG17" i="43"/>
  <c r="AF17" i="43"/>
  <c r="AJ16" i="43"/>
  <c r="AG16" i="43"/>
  <c r="AF16" i="43"/>
  <c r="AJ15" i="43"/>
  <c r="AG15" i="43"/>
  <c r="AF15" i="43"/>
  <c r="AJ14" i="43"/>
  <c r="AF14" i="43"/>
  <c r="AG14" i="43"/>
  <c r="AJ13" i="43"/>
  <c r="AF13" i="43"/>
  <c r="AG13" i="43"/>
  <c r="AJ12" i="43"/>
  <c r="AF12" i="43"/>
  <c r="AG12" i="43"/>
  <c r="AJ11" i="43"/>
  <c r="AF11" i="43"/>
  <c r="AG11" i="43"/>
  <c r="AJ10" i="43"/>
  <c r="AF10" i="43"/>
  <c r="AG10" i="43"/>
  <c r="W8" i="43"/>
  <c r="AF49" i="29"/>
  <c r="AF95" i="29"/>
  <c r="AF96" i="29"/>
  <c r="AF97" i="29"/>
  <c r="AF98" i="29"/>
  <c r="AF42" i="29"/>
  <c r="AF43" i="29"/>
  <c r="AF44" i="29"/>
  <c r="AF45" i="29"/>
  <c r="AF47" i="29"/>
  <c r="AE49" i="29"/>
  <c r="AE95" i="29"/>
  <c r="AE96" i="29"/>
  <c r="AE97" i="29"/>
  <c r="AE98" i="29"/>
  <c r="AE42" i="29"/>
  <c r="AE43" i="29"/>
  <c r="AE44" i="29"/>
  <c r="AE45" i="29"/>
  <c r="AE47" i="29"/>
  <c r="AA49" i="29"/>
  <c r="AA95" i="29"/>
  <c r="AA96" i="29"/>
  <c r="AA97" i="29"/>
  <c r="AA98" i="29"/>
  <c r="AA42" i="29"/>
  <c r="AA43" i="29"/>
  <c r="AA44" i="29"/>
  <c r="AA45" i="29"/>
  <c r="AA47" i="29"/>
  <c r="Z49" i="29"/>
  <c r="Z95" i="29"/>
  <c r="Z96" i="29"/>
  <c r="Z97" i="29"/>
  <c r="Z98" i="29"/>
  <c r="Z42" i="29"/>
  <c r="Z43" i="29"/>
  <c r="Z44" i="29"/>
  <c r="Z45" i="29"/>
  <c r="Z47" i="29"/>
  <c r="Z164" i="29"/>
  <c r="AA164" i="29"/>
  <c r="AE164" i="29"/>
  <c r="AF164" i="29"/>
  <c r="AH164" i="29"/>
  <c r="T72" i="29"/>
  <c r="W72" i="29"/>
  <c r="X72" i="29"/>
  <c r="Z72" i="29"/>
  <c r="AA72" i="29"/>
  <c r="AD72" i="29"/>
  <c r="AE72" i="29"/>
  <c r="AF72" i="29"/>
  <c r="AG72" i="29"/>
  <c r="AH72" i="29"/>
  <c r="T73" i="29"/>
  <c r="U73" i="29"/>
  <c r="V73" i="29"/>
  <c r="W73" i="29"/>
  <c r="X73" i="29"/>
  <c r="Y73" i="29"/>
  <c r="Z73" i="29"/>
  <c r="AA73" i="29"/>
  <c r="AB73" i="29"/>
  <c r="AC73" i="29"/>
  <c r="AD73" i="29"/>
  <c r="AE73" i="29"/>
  <c r="AF73" i="29"/>
  <c r="AG73" i="29"/>
  <c r="AH73" i="29"/>
  <c r="Z57" i="29"/>
  <c r="AA57" i="29"/>
  <c r="AE57" i="29"/>
  <c r="AF57" i="29"/>
  <c r="AH57" i="29"/>
  <c r="U58" i="29"/>
  <c r="W58" i="29"/>
  <c r="X58" i="29"/>
  <c r="Y58" i="29"/>
  <c r="Z58" i="29"/>
  <c r="AA58" i="29"/>
  <c r="AB58" i="29"/>
  <c r="AC58" i="29"/>
  <c r="AD58" i="29"/>
  <c r="AE58" i="29"/>
  <c r="AF58" i="29"/>
  <c r="AG58" i="29"/>
  <c r="AH58" i="29"/>
  <c r="Z75" i="29"/>
  <c r="AA75" i="29"/>
  <c r="AE75" i="29"/>
  <c r="AF75" i="29"/>
  <c r="AH75" i="29"/>
  <c r="U71" i="29"/>
  <c r="W71" i="29"/>
  <c r="X71" i="29"/>
  <c r="Y71" i="29"/>
  <c r="Z71" i="29"/>
  <c r="AA71" i="29"/>
  <c r="AB71" i="29"/>
  <c r="AC71" i="29"/>
  <c r="AD71" i="29"/>
  <c r="AE71" i="29"/>
  <c r="AF71" i="29"/>
  <c r="AG71" i="29"/>
  <c r="AH71" i="29"/>
  <c r="O164" i="29"/>
  <c r="Z76" i="29"/>
  <c r="AA76" i="29"/>
  <c r="AE76" i="29"/>
  <c r="AF76" i="29"/>
  <c r="AH76" i="29"/>
  <c r="T94" i="29"/>
  <c r="U94" i="29"/>
  <c r="V94" i="29"/>
  <c r="W94" i="29"/>
  <c r="X94" i="29"/>
  <c r="Y94" i="29"/>
  <c r="Z94" i="29"/>
  <c r="AA94" i="29"/>
  <c r="AB94" i="29"/>
  <c r="AC94" i="29"/>
  <c r="AD94" i="29"/>
  <c r="AE94" i="29"/>
  <c r="AF94" i="29"/>
  <c r="AG94" i="29"/>
  <c r="AH94" i="29"/>
  <c r="AH95" i="29"/>
  <c r="AH96" i="29"/>
  <c r="AH97" i="29"/>
  <c r="AH98" i="29"/>
  <c r="T99" i="29"/>
  <c r="U99" i="29"/>
  <c r="V99" i="29"/>
  <c r="W99" i="29"/>
  <c r="X99" i="29"/>
  <c r="Y99" i="29"/>
  <c r="Z99" i="29"/>
  <c r="AA99" i="29"/>
  <c r="AB99" i="29"/>
  <c r="AC99" i="29"/>
  <c r="AD99" i="29"/>
  <c r="AE99" i="29"/>
  <c r="AF99" i="29"/>
  <c r="AG99" i="29"/>
  <c r="AH99" i="29"/>
  <c r="T101" i="29"/>
  <c r="U101" i="29"/>
  <c r="V101" i="29"/>
  <c r="W101" i="29"/>
  <c r="X101" i="29"/>
  <c r="Y101" i="29"/>
  <c r="Z101" i="29"/>
  <c r="AA101" i="29"/>
  <c r="AB101" i="29"/>
  <c r="AC101" i="29"/>
  <c r="AD101" i="29"/>
  <c r="AE101" i="29"/>
  <c r="AF101" i="29"/>
  <c r="AG101" i="29"/>
  <c r="AH101" i="29"/>
  <c r="U102" i="29"/>
  <c r="W102" i="29"/>
  <c r="X102" i="29"/>
  <c r="Y102" i="29"/>
  <c r="Z102" i="29"/>
  <c r="AA102" i="29"/>
  <c r="AB102" i="29"/>
  <c r="AC102" i="29"/>
  <c r="AD102" i="29"/>
  <c r="AE102" i="29"/>
  <c r="AF102" i="29"/>
  <c r="AG102" i="29"/>
  <c r="AH102" i="29"/>
  <c r="U103" i="29"/>
  <c r="W103" i="29"/>
  <c r="X103" i="29"/>
  <c r="Y103" i="29"/>
  <c r="Z103" i="29"/>
  <c r="AA103" i="29"/>
  <c r="AB103" i="29"/>
  <c r="AC103" i="29"/>
  <c r="AD103" i="29"/>
  <c r="AE103" i="29"/>
  <c r="AF103" i="29"/>
  <c r="AG103" i="29"/>
  <c r="AH103" i="29"/>
  <c r="U104" i="29"/>
  <c r="W104" i="29"/>
  <c r="X104" i="29"/>
  <c r="Y104" i="29"/>
  <c r="Z104" i="29"/>
  <c r="AA104" i="29"/>
  <c r="AB104" i="29"/>
  <c r="AC104" i="29"/>
  <c r="AD104" i="29"/>
  <c r="AE104" i="29"/>
  <c r="AF104" i="29"/>
  <c r="AG104" i="29"/>
  <c r="AH104" i="29"/>
  <c r="Z105" i="29"/>
  <c r="AA105" i="29"/>
  <c r="AE105" i="29"/>
  <c r="AF105" i="29"/>
  <c r="AH105" i="29"/>
  <c r="Z106" i="29"/>
  <c r="AA106" i="29"/>
  <c r="AE106" i="29"/>
  <c r="AF106" i="29"/>
  <c r="AH106" i="29"/>
  <c r="Z107" i="29"/>
  <c r="AA107" i="29"/>
  <c r="AE107" i="29"/>
  <c r="AF107" i="29"/>
  <c r="AH107" i="29"/>
  <c r="Z108" i="29"/>
  <c r="AA108" i="29"/>
  <c r="AE108" i="29"/>
  <c r="AF108" i="29"/>
  <c r="AH108" i="29"/>
  <c r="T109" i="29"/>
  <c r="U109" i="29"/>
  <c r="V109" i="29"/>
  <c r="W109" i="29"/>
  <c r="X109" i="29"/>
  <c r="Y109" i="29"/>
  <c r="Z109" i="29"/>
  <c r="AA109" i="29"/>
  <c r="AB109" i="29"/>
  <c r="AC109" i="29"/>
  <c r="AD109" i="29"/>
  <c r="AE109" i="29"/>
  <c r="AF109" i="29"/>
  <c r="AG109" i="29"/>
  <c r="AH109" i="29"/>
  <c r="T110" i="29"/>
  <c r="U110" i="29"/>
  <c r="V110" i="29"/>
  <c r="W110" i="29"/>
  <c r="X110" i="29"/>
  <c r="Y110" i="29"/>
  <c r="Z110" i="29"/>
  <c r="AA110" i="29"/>
  <c r="AB110" i="29"/>
  <c r="AC110" i="29"/>
  <c r="AD110" i="29"/>
  <c r="AE110" i="29"/>
  <c r="AF110" i="29"/>
  <c r="AG110" i="29"/>
  <c r="AH110" i="29"/>
  <c r="T111" i="29"/>
  <c r="U111" i="29"/>
  <c r="V111" i="29"/>
  <c r="W111" i="29"/>
  <c r="X111" i="29"/>
  <c r="Y111" i="29"/>
  <c r="Z111" i="29"/>
  <c r="AA111" i="29"/>
  <c r="AB111" i="29"/>
  <c r="AC111" i="29"/>
  <c r="AD111" i="29"/>
  <c r="AE111" i="29"/>
  <c r="AF111" i="29"/>
  <c r="AG111" i="29"/>
  <c r="AH111" i="29"/>
  <c r="T112" i="29"/>
  <c r="U112" i="29"/>
  <c r="V112" i="29"/>
  <c r="W112" i="29"/>
  <c r="X112" i="29"/>
  <c r="Y112" i="29"/>
  <c r="Z112" i="29"/>
  <c r="AA112" i="29"/>
  <c r="AB112" i="29"/>
  <c r="AC112" i="29"/>
  <c r="AD112" i="29"/>
  <c r="AE112" i="29"/>
  <c r="AF112" i="29"/>
  <c r="AG112" i="29"/>
  <c r="AH112" i="29"/>
  <c r="T113" i="29"/>
  <c r="U113" i="29"/>
  <c r="V113" i="29"/>
  <c r="W113" i="29"/>
  <c r="X113" i="29"/>
  <c r="Y113" i="29"/>
  <c r="Z113" i="29"/>
  <c r="AA113" i="29"/>
  <c r="AB113" i="29"/>
  <c r="AC113" i="29"/>
  <c r="AD113" i="29"/>
  <c r="AE113" i="29"/>
  <c r="AF113" i="29"/>
  <c r="AG113" i="29"/>
  <c r="AH113" i="29"/>
  <c r="T114" i="29"/>
  <c r="U114" i="29"/>
  <c r="V114" i="29"/>
  <c r="W114" i="29"/>
  <c r="X114" i="29"/>
  <c r="Y114" i="29"/>
  <c r="Z114" i="29"/>
  <c r="AA114" i="29"/>
  <c r="AB114" i="29"/>
  <c r="AC114" i="29"/>
  <c r="AD114" i="29"/>
  <c r="AE114" i="29"/>
  <c r="AF114" i="29"/>
  <c r="AG114" i="29"/>
  <c r="AH114" i="29"/>
  <c r="T115" i="29"/>
  <c r="U115" i="29"/>
  <c r="V115" i="29"/>
  <c r="W115" i="29"/>
  <c r="X115" i="29"/>
  <c r="Y115" i="29"/>
  <c r="Z115" i="29"/>
  <c r="AA115" i="29"/>
  <c r="AB115" i="29"/>
  <c r="AC115" i="29"/>
  <c r="AD115" i="29"/>
  <c r="AE115" i="29"/>
  <c r="AF115" i="29"/>
  <c r="AG115" i="29"/>
  <c r="AH115" i="29"/>
  <c r="T116" i="29"/>
  <c r="U116" i="29"/>
  <c r="V116" i="29"/>
  <c r="W116" i="29"/>
  <c r="X116" i="29"/>
  <c r="Y116" i="29"/>
  <c r="Z116" i="29"/>
  <c r="AA116" i="29"/>
  <c r="AB116" i="29"/>
  <c r="AC116" i="29"/>
  <c r="AD116" i="29"/>
  <c r="AE116" i="29"/>
  <c r="AF116" i="29"/>
  <c r="AG116" i="29"/>
  <c r="AH116" i="29"/>
  <c r="T117" i="29"/>
  <c r="U117" i="29"/>
  <c r="V117" i="29"/>
  <c r="W117" i="29"/>
  <c r="X117" i="29"/>
  <c r="Y117" i="29"/>
  <c r="Z117" i="29"/>
  <c r="AA117" i="29"/>
  <c r="AB117" i="29"/>
  <c r="AC117" i="29"/>
  <c r="AD117" i="29"/>
  <c r="AE117" i="29"/>
  <c r="AF117" i="29"/>
  <c r="AG117" i="29"/>
  <c r="AH117" i="29"/>
  <c r="T118" i="29"/>
  <c r="U118" i="29"/>
  <c r="V118" i="29"/>
  <c r="W118" i="29"/>
  <c r="X118" i="29"/>
  <c r="Y118" i="29"/>
  <c r="Z118" i="29"/>
  <c r="AA118" i="29"/>
  <c r="AB118" i="29"/>
  <c r="AC118" i="29"/>
  <c r="AD118" i="29"/>
  <c r="AE118" i="29"/>
  <c r="AF118" i="29"/>
  <c r="AG118" i="29"/>
  <c r="AH118" i="29"/>
  <c r="T119" i="29"/>
  <c r="U119" i="29"/>
  <c r="V119" i="29"/>
  <c r="W119" i="29"/>
  <c r="X119" i="29"/>
  <c r="Y119" i="29"/>
  <c r="Z119" i="29"/>
  <c r="AA119" i="29"/>
  <c r="AB119" i="29"/>
  <c r="AC119" i="29"/>
  <c r="AD119" i="29"/>
  <c r="AE119" i="29"/>
  <c r="AF119" i="29"/>
  <c r="AG119" i="29"/>
  <c r="AH119" i="29"/>
  <c r="T120" i="29"/>
  <c r="U120" i="29"/>
  <c r="V120" i="29"/>
  <c r="W120" i="29"/>
  <c r="X120" i="29"/>
  <c r="Y120" i="29"/>
  <c r="Z120" i="29"/>
  <c r="AA120" i="29"/>
  <c r="AB120" i="29"/>
  <c r="AC120" i="29"/>
  <c r="AD120" i="29"/>
  <c r="AE120" i="29"/>
  <c r="AF120" i="29"/>
  <c r="AG120" i="29"/>
  <c r="AH120" i="29"/>
  <c r="T121" i="29"/>
  <c r="U121" i="29"/>
  <c r="V121" i="29"/>
  <c r="W121" i="29"/>
  <c r="X121" i="29"/>
  <c r="Y121" i="29"/>
  <c r="Z121" i="29"/>
  <c r="AA121" i="29"/>
  <c r="AB121" i="29"/>
  <c r="AC121" i="29"/>
  <c r="AD121" i="29"/>
  <c r="AE121" i="29"/>
  <c r="AF121" i="29"/>
  <c r="AG121" i="29"/>
  <c r="AH121" i="29"/>
  <c r="T122" i="29"/>
  <c r="U122" i="29"/>
  <c r="V122" i="29"/>
  <c r="W122" i="29"/>
  <c r="X122" i="29"/>
  <c r="Y122" i="29"/>
  <c r="Z122" i="29"/>
  <c r="AA122" i="29"/>
  <c r="AB122" i="29"/>
  <c r="AC122" i="29"/>
  <c r="AD122" i="29"/>
  <c r="AE122" i="29"/>
  <c r="AF122" i="29"/>
  <c r="AG122" i="29"/>
  <c r="AH122" i="29"/>
  <c r="T123" i="29"/>
  <c r="U123" i="29"/>
  <c r="V123" i="29"/>
  <c r="W123" i="29"/>
  <c r="X123" i="29"/>
  <c r="Y123" i="29"/>
  <c r="Z123" i="29"/>
  <c r="AA123" i="29"/>
  <c r="AB123" i="29"/>
  <c r="AC123" i="29"/>
  <c r="AD123" i="29"/>
  <c r="AE123" i="29"/>
  <c r="AF123" i="29"/>
  <c r="AG123" i="29"/>
  <c r="AH123" i="29"/>
  <c r="T124" i="29"/>
  <c r="U124" i="29"/>
  <c r="V124" i="29"/>
  <c r="W124" i="29"/>
  <c r="X124" i="29"/>
  <c r="Y124" i="29"/>
  <c r="Z124" i="29"/>
  <c r="AA124" i="29"/>
  <c r="AB124" i="29"/>
  <c r="AC124" i="29"/>
  <c r="AD124" i="29"/>
  <c r="AE124" i="29"/>
  <c r="AF124" i="29"/>
  <c r="AG124" i="29"/>
  <c r="AH124" i="29"/>
  <c r="Z125" i="29"/>
  <c r="AA125" i="29"/>
  <c r="AE125" i="29"/>
  <c r="AF125" i="29"/>
  <c r="AH125" i="29"/>
  <c r="Z126" i="29"/>
  <c r="AA126" i="29"/>
  <c r="AE126" i="29"/>
  <c r="AF126" i="29"/>
  <c r="AH126" i="29"/>
  <c r="Z127" i="29"/>
  <c r="AA127" i="29"/>
  <c r="AE127" i="29"/>
  <c r="AF127" i="29"/>
  <c r="AH127" i="29"/>
  <c r="Z128" i="29"/>
  <c r="AA128" i="29"/>
  <c r="AE128" i="29"/>
  <c r="AF128" i="29"/>
  <c r="AH128" i="29"/>
  <c r="Z129" i="29"/>
  <c r="AA129" i="29"/>
  <c r="AE129" i="29"/>
  <c r="AF129" i="29"/>
  <c r="AH129" i="29"/>
  <c r="Z130" i="29"/>
  <c r="AA130" i="29"/>
  <c r="AE130" i="29"/>
  <c r="AF130" i="29"/>
  <c r="AH130" i="29"/>
  <c r="Z131" i="29"/>
  <c r="AA131" i="29"/>
  <c r="AE131" i="29"/>
  <c r="AF131" i="29"/>
  <c r="AH131" i="29"/>
  <c r="Z132" i="29"/>
  <c r="AA132" i="29"/>
  <c r="AE132" i="29"/>
  <c r="AF132" i="29"/>
  <c r="AH132" i="29"/>
  <c r="Z133" i="29"/>
  <c r="AA133" i="29"/>
  <c r="AE133" i="29"/>
  <c r="AF133" i="29"/>
  <c r="AH133" i="29"/>
  <c r="Z134" i="29"/>
  <c r="AA134" i="29"/>
  <c r="AE134" i="29"/>
  <c r="AF134" i="29"/>
  <c r="AH134" i="29"/>
  <c r="Z135" i="29"/>
  <c r="AA135" i="29"/>
  <c r="AE135" i="29"/>
  <c r="AF135" i="29"/>
  <c r="AH135" i="29"/>
  <c r="Z136" i="29"/>
  <c r="AA136" i="29"/>
  <c r="AE136" i="29"/>
  <c r="AF136" i="29"/>
  <c r="AH136" i="29"/>
  <c r="Z137" i="29"/>
  <c r="AA137" i="29"/>
  <c r="AE137" i="29"/>
  <c r="AF137" i="29"/>
  <c r="AH137" i="29"/>
  <c r="Z138" i="29"/>
  <c r="AA138" i="29"/>
  <c r="AE138" i="29"/>
  <c r="AF138" i="29"/>
  <c r="AH138" i="29"/>
  <c r="Z139" i="29"/>
  <c r="AA139" i="29"/>
  <c r="AE139" i="29"/>
  <c r="AF139" i="29"/>
  <c r="AH139" i="29"/>
  <c r="Z140" i="29"/>
  <c r="AA140" i="29"/>
  <c r="AE140" i="29"/>
  <c r="AF140" i="29"/>
  <c r="AH140" i="29"/>
  <c r="Z141" i="29"/>
  <c r="AA141" i="29"/>
  <c r="AE141" i="29"/>
  <c r="AF141" i="29"/>
  <c r="AH141" i="29"/>
  <c r="Z142" i="29"/>
  <c r="AA142" i="29"/>
  <c r="AE142" i="29"/>
  <c r="AF142" i="29"/>
  <c r="AH142" i="29"/>
  <c r="Z143" i="29"/>
  <c r="AA143" i="29"/>
  <c r="AE143" i="29"/>
  <c r="AF143" i="29"/>
  <c r="AH143" i="29"/>
  <c r="Z144" i="29"/>
  <c r="AA144" i="29"/>
  <c r="AE144" i="29"/>
  <c r="AF144" i="29"/>
  <c r="AH144" i="29"/>
  <c r="Z145" i="29"/>
  <c r="AA145" i="29"/>
  <c r="AE145" i="29"/>
  <c r="AF145" i="29"/>
  <c r="AH145" i="29"/>
  <c r="Z146" i="29"/>
  <c r="AA146" i="29"/>
  <c r="AE146" i="29"/>
  <c r="AF146" i="29"/>
  <c r="AH146" i="29"/>
  <c r="Z147" i="29"/>
  <c r="AA147" i="29"/>
  <c r="AE147" i="29"/>
  <c r="AF147" i="29"/>
  <c r="AH147" i="29"/>
  <c r="Z148" i="29"/>
  <c r="AA148" i="29"/>
  <c r="AE148" i="29"/>
  <c r="AF148" i="29"/>
  <c r="AH148" i="29"/>
  <c r="AH42" i="29"/>
  <c r="U59" i="29"/>
  <c r="W59" i="29"/>
  <c r="X59" i="29"/>
  <c r="Y59" i="29"/>
  <c r="Z59" i="29"/>
  <c r="AA59" i="29"/>
  <c r="AB59" i="29"/>
  <c r="AC59" i="29"/>
  <c r="AD59" i="29"/>
  <c r="AE59" i="29"/>
  <c r="AF59" i="29"/>
  <c r="AG59" i="29"/>
  <c r="AH59" i="29"/>
  <c r="AH43" i="29"/>
  <c r="U60" i="29"/>
  <c r="W60" i="29"/>
  <c r="X60" i="29"/>
  <c r="Y60" i="29"/>
  <c r="Z60" i="29"/>
  <c r="AA60" i="29"/>
  <c r="AB60" i="29"/>
  <c r="AC60" i="29"/>
  <c r="AD60" i="29"/>
  <c r="AE60" i="29"/>
  <c r="AF60" i="29"/>
  <c r="AG60" i="29"/>
  <c r="AH60" i="29"/>
  <c r="T153" i="29"/>
  <c r="U153" i="29"/>
  <c r="V153" i="29"/>
  <c r="W153" i="29"/>
  <c r="X153" i="29"/>
  <c r="Y153" i="29"/>
  <c r="Z153" i="29"/>
  <c r="AA153" i="29"/>
  <c r="AB153" i="29"/>
  <c r="AC153" i="29"/>
  <c r="AD153" i="29"/>
  <c r="AE153" i="29"/>
  <c r="AF153" i="29"/>
  <c r="AG153" i="29"/>
  <c r="AH153" i="29"/>
  <c r="U61" i="29"/>
  <c r="W61" i="29"/>
  <c r="X61" i="29"/>
  <c r="Y61" i="29"/>
  <c r="Z61" i="29"/>
  <c r="AA61" i="29"/>
  <c r="AB61" i="29"/>
  <c r="AC61" i="29"/>
  <c r="AD61" i="29"/>
  <c r="AE61" i="29"/>
  <c r="AF61" i="29"/>
  <c r="AG61" i="29"/>
  <c r="AH61" i="29"/>
  <c r="U62" i="29"/>
  <c r="W62" i="29"/>
  <c r="X62" i="29"/>
  <c r="Y62" i="29"/>
  <c r="Z62" i="29"/>
  <c r="AA62" i="29"/>
  <c r="AB62" i="29"/>
  <c r="AC62" i="29"/>
  <c r="AD62" i="29"/>
  <c r="AE62" i="29"/>
  <c r="AF62" i="29"/>
  <c r="AG62" i="29"/>
  <c r="AH62" i="29"/>
  <c r="AH44" i="29"/>
  <c r="T154" i="29"/>
  <c r="U154" i="29"/>
  <c r="V154" i="29"/>
  <c r="W154" i="29"/>
  <c r="X154" i="29"/>
  <c r="Y154" i="29"/>
  <c r="Z154" i="29"/>
  <c r="AA154" i="29"/>
  <c r="AB154" i="29"/>
  <c r="AC154" i="29"/>
  <c r="AD154" i="29"/>
  <c r="AE154" i="29"/>
  <c r="AF154" i="29"/>
  <c r="AG154" i="29"/>
  <c r="AH154" i="29"/>
  <c r="U63" i="29"/>
  <c r="W63" i="29"/>
  <c r="X63" i="29"/>
  <c r="Y63" i="29"/>
  <c r="Z63" i="29"/>
  <c r="AA63" i="29"/>
  <c r="AB63" i="29"/>
  <c r="AC63" i="29"/>
  <c r="AD63" i="29"/>
  <c r="AE63" i="29"/>
  <c r="AF63" i="29"/>
  <c r="AG63" i="29"/>
  <c r="AH63" i="29"/>
  <c r="AH45" i="29"/>
  <c r="T155" i="29"/>
  <c r="U155" i="29"/>
  <c r="V155" i="29"/>
  <c r="W155" i="29"/>
  <c r="X155" i="29"/>
  <c r="Y155" i="29"/>
  <c r="Z155" i="29"/>
  <c r="AA155" i="29"/>
  <c r="AB155" i="29"/>
  <c r="AC155" i="29"/>
  <c r="AD155" i="29"/>
  <c r="AE155" i="29"/>
  <c r="AF155" i="29"/>
  <c r="AG155" i="29"/>
  <c r="AH155" i="29"/>
  <c r="T156" i="29"/>
  <c r="U156" i="29"/>
  <c r="V156" i="29"/>
  <c r="W156" i="29"/>
  <c r="X156" i="29"/>
  <c r="Y156" i="29"/>
  <c r="Z156" i="29"/>
  <c r="AA156" i="29"/>
  <c r="AB156" i="29"/>
  <c r="AC156" i="29"/>
  <c r="AD156" i="29"/>
  <c r="AE156" i="29"/>
  <c r="AF156" i="29"/>
  <c r="AG156" i="29"/>
  <c r="AH156" i="29"/>
  <c r="T157" i="29"/>
  <c r="U157" i="29"/>
  <c r="V157" i="29"/>
  <c r="W157" i="29"/>
  <c r="X157" i="29"/>
  <c r="Y157" i="29"/>
  <c r="Z157" i="29"/>
  <c r="AA157" i="29"/>
  <c r="AB157" i="29"/>
  <c r="AC157" i="29"/>
  <c r="AD157" i="29"/>
  <c r="AE157" i="29"/>
  <c r="AF157" i="29"/>
  <c r="AG157" i="29"/>
  <c r="AH157" i="29"/>
  <c r="T158" i="29"/>
  <c r="U158" i="29"/>
  <c r="V158" i="29"/>
  <c r="W158" i="29"/>
  <c r="X158" i="29"/>
  <c r="Y158" i="29"/>
  <c r="Z158" i="29"/>
  <c r="AA158" i="29"/>
  <c r="AB158" i="29"/>
  <c r="AC158" i="29"/>
  <c r="AD158" i="29"/>
  <c r="AE158" i="29"/>
  <c r="AF158" i="29"/>
  <c r="AG158" i="29"/>
  <c r="AH158" i="29"/>
  <c r="T159" i="29"/>
  <c r="U159" i="29"/>
  <c r="V159" i="29"/>
  <c r="W159" i="29"/>
  <c r="X159" i="29"/>
  <c r="Y159" i="29"/>
  <c r="Z159" i="29"/>
  <c r="AA159" i="29"/>
  <c r="AB159" i="29"/>
  <c r="AC159" i="29"/>
  <c r="AD159" i="29"/>
  <c r="AE159" i="29"/>
  <c r="AF159" i="29"/>
  <c r="AG159" i="29"/>
  <c r="AH159" i="29"/>
  <c r="T160" i="29"/>
  <c r="U160" i="29"/>
  <c r="V160" i="29"/>
  <c r="W160" i="29"/>
  <c r="X160" i="29"/>
  <c r="Y160" i="29"/>
  <c r="Z160" i="29"/>
  <c r="AA160" i="29"/>
  <c r="AB160" i="29"/>
  <c r="AC160" i="29"/>
  <c r="AD160" i="29"/>
  <c r="AE160" i="29"/>
  <c r="AF160" i="29"/>
  <c r="AG160" i="29"/>
  <c r="AH160" i="29"/>
  <c r="T161" i="29"/>
  <c r="U161" i="29"/>
  <c r="V161" i="29"/>
  <c r="W161" i="29"/>
  <c r="X161" i="29"/>
  <c r="Y161" i="29"/>
  <c r="Z161" i="29"/>
  <c r="AA161" i="29"/>
  <c r="AB161" i="29"/>
  <c r="AC161" i="29"/>
  <c r="AD161" i="29"/>
  <c r="AE161" i="29"/>
  <c r="AF161" i="29"/>
  <c r="AG161" i="29"/>
  <c r="AH161" i="29"/>
  <c r="T162" i="29"/>
  <c r="U162" i="29"/>
  <c r="V162" i="29"/>
  <c r="W162" i="29"/>
  <c r="X162" i="29"/>
  <c r="Y162" i="29"/>
  <c r="Z162" i="29"/>
  <c r="AA162" i="29"/>
  <c r="AB162" i="29"/>
  <c r="AC162" i="29"/>
  <c r="AD162" i="29"/>
  <c r="AE162" i="29"/>
  <c r="AF162" i="29"/>
  <c r="AG162" i="29"/>
  <c r="AH162" i="29"/>
  <c r="U64" i="29"/>
  <c r="W64" i="29"/>
  <c r="X64" i="29"/>
  <c r="Y64" i="29"/>
  <c r="Z64" i="29"/>
  <c r="AA64" i="29"/>
  <c r="AB64" i="29"/>
  <c r="AC64" i="29"/>
  <c r="AD64" i="29"/>
  <c r="AE64" i="29"/>
  <c r="AF64" i="29"/>
  <c r="AG64" i="29"/>
  <c r="AH64" i="29"/>
  <c r="U65" i="29"/>
  <c r="W65" i="29"/>
  <c r="X65" i="29"/>
  <c r="Y65" i="29"/>
  <c r="Z65" i="29"/>
  <c r="AA65" i="29"/>
  <c r="AB65" i="29"/>
  <c r="AC65" i="29"/>
  <c r="AD65" i="29"/>
  <c r="AE65" i="29"/>
  <c r="AF65" i="29"/>
  <c r="AG65" i="29"/>
  <c r="AH65" i="29"/>
  <c r="AH49" i="29"/>
  <c r="U66" i="29"/>
  <c r="W66" i="29"/>
  <c r="X66" i="29"/>
  <c r="Y66" i="29"/>
  <c r="Z66" i="29"/>
  <c r="AA66" i="29"/>
  <c r="AB66" i="29"/>
  <c r="AC66" i="29"/>
  <c r="AD66" i="29"/>
  <c r="AE66" i="29"/>
  <c r="AF66" i="29"/>
  <c r="AG66" i="29"/>
  <c r="AH66" i="29"/>
  <c r="U67" i="29"/>
  <c r="W67" i="29"/>
  <c r="X67" i="29"/>
  <c r="Y67" i="29"/>
  <c r="Z67" i="29"/>
  <c r="AA67" i="29"/>
  <c r="AB67" i="29"/>
  <c r="AC67" i="29"/>
  <c r="AD67" i="29"/>
  <c r="AE67" i="29"/>
  <c r="AF67" i="29"/>
  <c r="AG67" i="29"/>
  <c r="AH67" i="29"/>
  <c r="U68" i="29"/>
  <c r="W68" i="29"/>
  <c r="X68" i="29"/>
  <c r="Y68" i="29"/>
  <c r="Z68" i="29"/>
  <c r="AA68" i="29"/>
  <c r="AB68" i="29"/>
  <c r="AC68" i="29"/>
  <c r="AD68" i="29"/>
  <c r="AE68" i="29"/>
  <c r="AF68" i="29"/>
  <c r="AG68" i="29"/>
  <c r="AH68" i="29"/>
  <c r="Z149" i="29"/>
  <c r="AA149" i="29"/>
  <c r="AE149" i="29"/>
  <c r="AF149" i="29"/>
  <c r="AH149" i="29"/>
  <c r="U56" i="29"/>
  <c r="W56" i="29"/>
  <c r="X56" i="29"/>
  <c r="Y56" i="29"/>
  <c r="Z56" i="29"/>
  <c r="AA56" i="29"/>
  <c r="AB56" i="29"/>
  <c r="AC56" i="29"/>
  <c r="AD56" i="29"/>
  <c r="AE56" i="29"/>
  <c r="AF56" i="29"/>
  <c r="AG56" i="29"/>
  <c r="AH56" i="29"/>
  <c r="U69" i="29"/>
  <c r="W69" i="29"/>
  <c r="X69" i="29"/>
  <c r="Y69" i="29"/>
  <c r="Z69" i="29"/>
  <c r="AA69" i="29"/>
  <c r="AB69" i="29"/>
  <c r="AC69" i="29"/>
  <c r="AD69" i="29"/>
  <c r="AE69" i="29"/>
  <c r="AF69" i="29"/>
  <c r="AG69" i="29"/>
  <c r="AH69" i="29"/>
  <c r="U70" i="29"/>
  <c r="W70" i="29"/>
  <c r="X70" i="29"/>
  <c r="Y70" i="29"/>
  <c r="Z70" i="29"/>
  <c r="AA70" i="29"/>
  <c r="AB70" i="29"/>
  <c r="AC70" i="29"/>
  <c r="AD70" i="29"/>
  <c r="AE70" i="29"/>
  <c r="AF70" i="29"/>
  <c r="AG70" i="29"/>
  <c r="AH70" i="29"/>
  <c r="U152" i="29"/>
  <c r="W152" i="29"/>
  <c r="X152" i="29"/>
  <c r="Y152" i="29"/>
  <c r="Z152" i="29"/>
  <c r="AA152" i="29"/>
  <c r="AB152" i="29"/>
  <c r="AC152" i="29"/>
  <c r="AD152" i="29"/>
  <c r="AE152" i="29"/>
  <c r="AF152" i="29"/>
  <c r="AG152" i="29"/>
  <c r="AH152" i="29"/>
  <c r="AH47" i="29"/>
  <c r="P9" i="29"/>
  <c r="Q9" i="29"/>
  <c r="S9" i="29"/>
  <c r="AI9" i="29"/>
  <c r="AJ9" i="29"/>
  <c r="AK9" i="29"/>
  <c r="P10" i="29"/>
  <c r="Q10" i="29"/>
  <c r="S10" i="29"/>
  <c r="AI10" i="29"/>
  <c r="AJ10" i="29"/>
  <c r="AK10" i="29"/>
  <c r="P11" i="29"/>
  <c r="Q11" i="29"/>
  <c r="S11" i="29"/>
  <c r="AI11" i="29"/>
  <c r="AJ11" i="29"/>
  <c r="AK11" i="29"/>
  <c r="P12" i="29"/>
  <c r="Q12" i="29"/>
  <c r="S12" i="29"/>
  <c r="AI12" i="29"/>
  <c r="AJ12" i="29"/>
  <c r="AK12" i="29"/>
  <c r="P13" i="29"/>
  <c r="Q13" i="29"/>
  <c r="S13" i="29"/>
  <c r="AI13" i="29"/>
  <c r="AJ13" i="29"/>
  <c r="AK13" i="29"/>
  <c r="P14" i="29"/>
  <c r="Q14" i="29"/>
  <c r="S14" i="29"/>
  <c r="AI14" i="29"/>
  <c r="AJ14" i="29"/>
  <c r="AK14" i="29"/>
  <c r="P15" i="29"/>
  <c r="Q15" i="29"/>
  <c r="S15" i="29"/>
  <c r="AI15" i="29"/>
  <c r="AJ15" i="29"/>
  <c r="AK15" i="29"/>
  <c r="P16" i="29"/>
  <c r="Q16" i="29"/>
  <c r="AI16" i="29"/>
  <c r="AJ16" i="29"/>
  <c r="AK16" i="29"/>
  <c r="P17" i="29"/>
  <c r="Q17" i="29"/>
  <c r="AI17" i="29"/>
  <c r="AJ17" i="29"/>
  <c r="AK17" i="29"/>
  <c r="P18" i="29"/>
  <c r="Q18" i="29"/>
  <c r="AI18" i="29"/>
  <c r="AJ18" i="29"/>
  <c r="AK18" i="29"/>
  <c r="P19" i="29"/>
  <c r="Q19" i="29"/>
  <c r="AI19" i="29"/>
  <c r="AJ19" i="29"/>
  <c r="AK19" i="29"/>
  <c r="P20" i="29"/>
  <c r="Q20" i="29"/>
  <c r="AI20" i="29"/>
  <c r="AJ20" i="29"/>
  <c r="AK20" i="29"/>
  <c r="P21" i="29"/>
  <c r="Q21" i="29"/>
  <c r="AI21" i="29"/>
  <c r="AJ21" i="29"/>
  <c r="AK21" i="29"/>
  <c r="P22" i="29"/>
  <c r="Q22" i="29"/>
  <c r="AI22" i="29"/>
  <c r="AJ22" i="29"/>
  <c r="AK22" i="29"/>
  <c r="P23" i="29"/>
  <c r="Q23" i="29"/>
  <c r="AI23" i="29"/>
  <c r="AJ23" i="29"/>
  <c r="AK23" i="29"/>
  <c r="P24" i="29"/>
  <c r="Q24" i="29"/>
  <c r="AI24" i="29"/>
  <c r="AJ24" i="29"/>
  <c r="AK24" i="29"/>
  <c r="P25" i="29"/>
  <c r="Q25" i="29"/>
  <c r="AI25" i="29"/>
  <c r="AJ25" i="29"/>
  <c r="AK25" i="29"/>
  <c r="P26" i="29"/>
  <c r="Q26" i="29"/>
  <c r="AI26" i="29"/>
  <c r="AJ26" i="29"/>
  <c r="AK26" i="29"/>
  <c r="P27" i="29"/>
  <c r="Q27" i="29"/>
  <c r="AI27" i="29"/>
  <c r="AJ27" i="29"/>
  <c r="AK27" i="29"/>
  <c r="P28" i="29"/>
  <c r="Q28" i="29"/>
  <c r="AI28" i="29"/>
  <c r="AJ28" i="29"/>
  <c r="AK28" i="29"/>
  <c r="P29" i="29"/>
  <c r="Q29" i="29"/>
  <c r="AI29" i="29"/>
  <c r="AJ29" i="29"/>
  <c r="AK29" i="29"/>
  <c r="P30" i="29"/>
  <c r="Q30" i="29"/>
  <c r="AI30" i="29"/>
  <c r="AJ30" i="29"/>
  <c r="AK30" i="29"/>
  <c r="P31" i="29"/>
  <c r="Q31" i="29"/>
  <c r="AI31" i="29"/>
  <c r="AJ31" i="29"/>
  <c r="AK31" i="29"/>
  <c r="P32" i="29"/>
  <c r="Q32" i="29"/>
  <c r="AI32" i="29"/>
  <c r="AJ32" i="29"/>
  <c r="AK32" i="29"/>
  <c r="P33" i="29"/>
  <c r="Q33" i="29"/>
  <c r="AI33" i="29"/>
  <c r="AJ33" i="29"/>
  <c r="AK33" i="29"/>
  <c r="P34" i="29"/>
  <c r="Q34" i="29"/>
  <c r="AI34" i="29"/>
  <c r="AJ34" i="29"/>
  <c r="AK34" i="29"/>
  <c r="P35" i="29"/>
  <c r="Q35" i="29"/>
  <c r="AI35" i="29"/>
  <c r="AJ35" i="29"/>
  <c r="AK35" i="29"/>
  <c r="P36" i="29"/>
  <c r="Q36" i="29"/>
  <c r="AI36" i="29"/>
  <c r="AJ36" i="29"/>
  <c r="AK36" i="29"/>
  <c r="P37" i="29"/>
  <c r="Q37" i="29"/>
  <c r="AI37" i="29"/>
  <c r="AJ37" i="29"/>
  <c r="AK37" i="29"/>
  <c r="P38" i="29"/>
  <c r="Q38" i="29"/>
  <c r="AI38" i="29"/>
  <c r="AJ38" i="29"/>
  <c r="AK38" i="29"/>
  <c r="P39" i="29"/>
  <c r="Q39" i="29"/>
  <c r="AI39" i="29"/>
  <c r="AJ39" i="29"/>
  <c r="AK39" i="29"/>
  <c r="P40" i="29"/>
  <c r="Q40" i="29"/>
  <c r="AI40" i="29"/>
  <c r="AJ40" i="29"/>
  <c r="AK40" i="29"/>
  <c r="P41" i="29"/>
  <c r="Q41" i="29"/>
  <c r="AI41" i="29"/>
  <c r="AJ41" i="29"/>
  <c r="AK41" i="29"/>
  <c r="P42" i="29"/>
  <c r="Q42" i="29"/>
  <c r="AI42" i="29"/>
  <c r="AJ42" i="29"/>
  <c r="AK42" i="29"/>
  <c r="P43" i="29"/>
  <c r="Q43" i="29"/>
  <c r="AI43" i="29"/>
  <c r="AJ43" i="29"/>
  <c r="AK43" i="29"/>
  <c r="P44" i="29"/>
  <c r="Q44" i="29"/>
  <c r="AI44" i="29"/>
  <c r="AJ44" i="29"/>
  <c r="AK44" i="29"/>
  <c r="P45" i="29"/>
  <c r="Q45" i="29"/>
  <c r="AI45" i="29"/>
  <c r="AJ45" i="29"/>
  <c r="AK45" i="29"/>
  <c r="P46" i="29"/>
  <c r="Q46" i="29"/>
  <c r="AI46" i="29"/>
  <c r="AJ46" i="29"/>
  <c r="AK46" i="29"/>
  <c r="P47" i="29"/>
  <c r="Q47" i="29"/>
  <c r="AI47" i="29"/>
  <c r="AJ47" i="29"/>
  <c r="AK47" i="29"/>
  <c r="P48" i="29"/>
  <c r="Q48" i="29"/>
  <c r="AI48" i="29"/>
  <c r="AJ48" i="29"/>
  <c r="AK48" i="29"/>
  <c r="D21" i="21"/>
  <c r="D30" i="21"/>
  <c r="D29" i="21"/>
  <c r="J21" i="40"/>
  <c r="K21" i="40"/>
  <c r="L21" i="40"/>
  <c r="M21" i="40"/>
  <c r="N21" i="40"/>
  <c r="O21" i="40"/>
  <c r="P21" i="40"/>
  <c r="Q21" i="40"/>
  <c r="R21" i="40"/>
  <c r="S21" i="40"/>
  <c r="T21" i="40"/>
  <c r="U21" i="40"/>
  <c r="V21" i="40"/>
  <c r="W21" i="40"/>
  <c r="X21" i="40"/>
  <c r="Y21" i="40"/>
  <c r="Z21" i="40"/>
  <c r="AA21" i="40"/>
  <c r="C21" i="40"/>
  <c r="D21" i="40"/>
  <c r="E21" i="40"/>
  <c r="F21" i="40"/>
  <c r="G21" i="40"/>
  <c r="H21" i="40"/>
  <c r="I21" i="40"/>
  <c r="AB9" i="40"/>
  <c r="AB19" i="40"/>
  <c r="AB7" i="40"/>
  <c r="AB16" i="40"/>
  <c r="AB17" i="40"/>
  <c r="AB8" i="40"/>
  <c r="AB14" i="40"/>
  <c r="AB3" i="40"/>
  <c r="AB11" i="40"/>
  <c r="AB15" i="40"/>
  <c r="AB20" i="40"/>
  <c r="AB6" i="40"/>
  <c r="AB13" i="40"/>
  <c r="AB18" i="40"/>
  <c r="AB4" i="40"/>
  <c r="AB5" i="40"/>
  <c r="AB12" i="40"/>
  <c r="AB10" i="40"/>
  <c r="B21" i="40"/>
  <c r="D28" i="21"/>
  <c r="AB21" i="40"/>
  <c r="AC21" i="40"/>
  <c r="O47" i="29"/>
  <c r="U1" i="29"/>
  <c r="V1" i="29"/>
  <c r="W1" i="29"/>
  <c r="X1" i="29"/>
  <c r="Y1" i="29"/>
  <c r="Z1" i="29"/>
  <c r="AA1" i="29"/>
  <c r="AB1" i="29"/>
  <c r="AC1" i="29"/>
  <c r="AD1" i="29"/>
  <c r="AE1" i="29"/>
  <c r="AF1" i="29"/>
  <c r="AG1" i="29"/>
  <c r="T1" i="29"/>
  <c r="AI11" i="32"/>
  <c r="AI12" i="32"/>
  <c r="AI13" i="32"/>
  <c r="AI14" i="32"/>
  <c r="AI15" i="32"/>
  <c r="AI16" i="32"/>
  <c r="AI17" i="32"/>
  <c r="AI18" i="32"/>
  <c r="AI19" i="32"/>
  <c r="AI20" i="32"/>
  <c r="AI21" i="32"/>
  <c r="AI22" i="32"/>
  <c r="AI23" i="32"/>
  <c r="AI24" i="32"/>
  <c r="AI25" i="32"/>
  <c r="AI26" i="32"/>
  <c r="AI27" i="32"/>
  <c r="AI28" i="32"/>
  <c r="AI29" i="32"/>
  <c r="AI30" i="32"/>
  <c r="AI31" i="32"/>
  <c r="AI32" i="32"/>
  <c r="AI33" i="32"/>
  <c r="AI34" i="32"/>
  <c r="AI35" i="32"/>
  <c r="AI36" i="32"/>
  <c r="AI37" i="32"/>
  <c r="AI38" i="32"/>
  <c r="AI39" i="32"/>
  <c r="AI40" i="32"/>
  <c r="AI41" i="32"/>
  <c r="AI42" i="32"/>
  <c r="AI43" i="32"/>
  <c r="AI44" i="32"/>
  <c r="AI45" i="32"/>
  <c r="AI46" i="32"/>
  <c r="AI47" i="32"/>
  <c r="AI48" i="32"/>
  <c r="AI49" i="32"/>
  <c r="AI50" i="32"/>
  <c r="AI51" i="32"/>
  <c r="AI52" i="32"/>
  <c r="AI53" i="32"/>
  <c r="AI54" i="32"/>
  <c r="AI55" i="32"/>
  <c r="AI56" i="32"/>
  <c r="AI57" i="32"/>
  <c r="AI58" i="32"/>
  <c r="AI59" i="32"/>
  <c r="AI60" i="32"/>
  <c r="AI61" i="32"/>
  <c r="AI62" i="32"/>
  <c r="AI63" i="32"/>
  <c r="AI64" i="32"/>
  <c r="AI65" i="32"/>
  <c r="AI66" i="32"/>
  <c r="AI67" i="32"/>
  <c r="AI68" i="32"/>
  <c r="AI69" i="32"/>
  <c r="AI70" i="32"/>
  <c r="AI71" i="32"/>
  <c r="AI72" i="32"/>
  <c r="AI73" i="32"/>
  <c r="AI74" i="32"/>
  <c r="AI75" i="32"/>
  <c r="AI76" i="32"/>
  <c r="AI77" i="32"/>
  <c r="AI78" i="32"/>
  <c r="AI79" i="32"/>
  <c r="AI80" i="32"/>
  <c r="AI81" i="32"/>
  <c r="AI82" i="32"/>
  <c r="AI83" i="32"/>
  <c r="AI84" i="32"/>
  <c r="AI85" i="32"/>
  <c r="AI86" i="32"/>
  <c r="AI87" i="32"/>
  <c r="AI88" i="32"/>
  <c r="AI89" i="32"/>
  <c r="AI90" i="32"/>
  <c r="AI91" i="32"/>
  <c r="AI92" i="32"/>
  <c r="AI93" i="32"/>
  <c r="AI94" i="32"/>
  <c r="AI95" i="32"/>
  <c r="AI96" i="32"/>
  <c r="AI97" i="32"/>
  <c r="AI98" i="32"/>
  <c r="AI99" i="32"/>
  <c r="AI100" i="32"/>
  <c r="AI101" i="32"/>
  <c r="AI102" i="32"/>
  <c r="AI103" i="32"/>
  <c r="AI104" i="32"/>
  <c r="AI105" i="32"/>
  <c r="AI106" i="32"/>
  <c r="AI107" i="32"/>
  <c r="AI108" i="32"/>
  <c r="AI109" i="32"/>
  <c r="AI110" i="32"/>
  <c r="AI111" i="32"/>
  <c r="AI112" i="32"/>
  <c r="AI113" i="32"/>
  <c r="AI114" i="32"/>
  <c r="AI115" i="32"/>
  <c r="AI116" i="32"/>
  <c r="AI117" i="32"/>
  <c r="AI118" i="32"/>
  <c r="AI119" i="32"/>
  <c r="AI120" i="32"/>
  <c r="AI121" i="32"/>
  <c r="AI122" i="32"/>
  <c r="AI123" i="32"/>
  <c r="AI124" i="32"/>
  <c r="AI125" i="32"/>
  <c r="AI126" i="32"/>
  <c r="AI127" i="32"/>
  <c r="AI128" i="32"/>
  <c r="AI129" i="32"/>
  <c r="AI130" i="32"/>
  <c r="AI131" i="32"/>
  <c r="AI132" i="32"/>
  <c r="AI133" i="32"/>
  <c r="AI134" i="32"/>
  <c r="AI135" i="32"/>
  <c r="AI136" i="32"/>
  <c r="AI137" i="32"/>
  <c r="AI138" i="32"/>
  <c r="AI139" i="32"/>
  <c r="AI140" i="32"/>
  <c r="AI141" i="32"/>
  <c r="AI142" i="32"/>
  <c r="AI143" i="32"/>
  <c r="AI144" i="32"/>
  <c r="AI145" i="32"/>
  <c r="AI146" i="32"/>
  <c r="AI147" i="32"/>
  <c r="AI148" i="32"/>
  <c r="AI149" i="32"/>
  <c r="AI150" i="32"/>
  <c r="AI151" i="32"/>
  <c r="AI152" i="32"/>
  <c r="AI153" i="32"/>
  <c r="AI154" i="32"/>
  <c r="AI155" i="32"/>
  <c r="AI156" i="32"/>
  <c r="AI157" i="32"/>
  <c r="AI158" i="32"/>
  <c r="AI159" i="32"/>
  <c r="AI160" i="32"/>
  <c r="AI161" i="32"/>
  <c r="AI162" i="32"/>
  <c r="AI163" i="32"/>
  <c r="AI164" i="32"/>
  <c r="AI10" i="32"/>
  <c r="V8" i="32"/>
  <c r="E150" i="32"/>
  <c r="E151" i="32"/>
  <c r="E152" i="32"/>
  <c r="E153" i="32"/>
  <c r="E154" i="32"/>
  <c r="E155" i="32"/>
  <c r="E156" i="32"/>
  <c r="E157" i="32"/>
  <c r="E158" i="32"/>
  <c r="E159" i="32"/>
  <c r="E160" i="32"/>
  <c r="E161" i="32"/>
  <c r="E162" i="32"/>
  <c r="E163" i="32"/>
  <c r="E164" i="32"/>
  <c r="AK163" i="29"/>
  <c r="AG163" i="29"/>
  <c r="AF163" i="29"/>
  <c r="AE163" i="29"/>
  <c r="AD163" i="29"/>
  <c r="AC163" i="29"/>
  <c r="AB163" i="29"/>
  <c r="AA163" i="29"/>
  <c r="Z163" i="29"/>
  <c r="Y163" i="29"/>
  <c r="X163" i="29"/>
  <c r="W163" i="29"/>
  <c r="V163" i="29"/>
  <c r="U163" i="29"/>
  <c r="T163" i="29"/>
  <c r="S163" i="29"/>
  <c r="F164" i="32"/>
  <c r="Q163" i="29"/>
  <c r="Q164" i="29"/>
  <c r="Q53" i="29"/>
  <c r="Q71" i="29"/>
  <c r="D164" i="32"/>
  <c r="P163" i="29"/>
  <c r="P164" i="29"/>
  <c r="P53" i="29"/>
  <c r="P71" i="29"/>
  <c r="C164" i="32"/>
  <c r="AK162" i="29"/>
  <c r="S162" i="29"/>
  <c r="F163" i="32"/>
  <c r="Q162" i="29"/>
  <c r="Q148" i="29"/>
  <c r="D163" i="32"/>
  <c r="P162" i="29"/>
  <c r="P148" i="29"/>
  <c r="C163" i="32"/>
  <c r="AK161" i="29"/>
  <c r="S161" i="29"/>
  <c r="F162" i="32"/>
  <c r="Q161" i="29"/>
  <c r="Q147" i="29"/>
  <c r="D162" i="32"/>
  <c r="P161" i="29"/>
  <c r="P147" i="29"/>
  <c r="C162" i="32"/>
  <c r="AK160" i="29"/>
  <c r="S160" i="29"/>
  <c r="F161" i="32"/>
  <c r="Q160" i="29"/>
  <c r="Q70" i="29"/>
  <c r="D161" i="32"/>
  <c r="P160" i="29"/>
  <c r="P70" i="29"/>
  <c r="C161" i="32"/>
  <c r="AK159" i="29"/>
  <c r="S159" i="29"/>
  <c r="F160" i="32"/>
  <c r="Q159" i="29"/>
  <c r="D160" i="32"/>
  <c r="P159" i="29"/>
  <c r="C160" i="32"/>
  <c r="AK158" i="29"/>
  <c r="S158" i="29"/>
  <c r="F159" i="32"/>
  <c r="Q158" i="29"/>
  <c r="Q146" i="29"/>
  <c r="D159" i="32"/>
  <c r="P158" i="29"/>
  <c r="P146" i="29"/>
  <c r="C159" i="32"/>
  <c r="AK157" i="29"/>
  <c r="S157" i="29"/>
  <c r="F158" i="32"/>
  <c r="Q157" i="29"/>
  <c r="Q73" i="29"/>
  <c r="D158" i="32"/>
  <c r="P157" i="29"/>
  <c r="P73" i="29"/>
  <c r="C158" i="32"/>
  <c r="AK156" i="29"/>
  <c r="S156" i="29"/>
  <c r="F157" i="32"/>
  <c r="Q156" i="29"/>
  <c r="Q145" i="29"/>
  <c r="D157" i="32"/>
  <c r="P156" i="29"/>
  <c r="P145" i="29"/>
  <c r="C157" i="32"/>
  <c r="AK155" i="29"/>
  <c r="S155" i="29"/>
  <c r="F156" i="32"/>
  <c r="Q155" i="29"/>
  <c r="Q144" i="29"/>
  <c r="D156" i="32"/>
  <c r="P155" i="29"/>
  <c r="P144" i="29"/>
  <c r="C156" i="32"/>
  <c r="AK154" i="29"/>
  <c r="S154" i="29"/>
  <c r="F155" i="32"/>
  <c r="Q154" i="29"/>
  <c r="Q143" i="29"/>
  <c r="D155" i="32"/>
  <c r="P154" i="29"/>
  <c r="P143" i="29"/>
  <c r="C155" i="32"/>
  <c r="AK153" i="29"/>
  <c r="S153" i="29"/>
  <c r="F154" i="32"/>
  <c r="Q153" i="29"/>
  <c r="D154" i="32"/>
  <c r="P153" i="29"/>
  <c r="C154" i="32"/>
  <c r="AK152" i="29"/>
  <c r="S152" i="29"/>
  <c r="F153" i="32"/>
  <c r="Q152" i="29"/>
  <c r="D153" i="32"/>
  <c r="P152" i="29"/>
  <c r="C153" i="32"/>
  <c r="AK151" i="29"/>
  <c r="S151" i="29"/>
  <c r="F152" i="32"/>
  <c r="Q151" i="29"/>
  <c r="Q142" i="29"/>
  <c r="D152" i="32"/>
  <c r="P151" i="29"/>
  <c r="P142" i="29"/>
  <c r="C152" i="32"/>
  <c r="AK150" i="29"/>
  <c r="S150" i="29"/>
  <c r="F151" i="32"/>
  <c r="Q150" i="29"/>
  <c r="Q69" i="29"/>
  <c r="D151" i="32"/>
  <c r="P150" i="29"/>
  <c r="P69" i="29"/>
  <c r="C151" i="32"/>
  <c r="AK149" i="29"/>
  <c r="S149" i="29"/>
  <c r="F150" i="32"/>
  <c r="Q149" i="29"/>
  <c r="Q141" i="29"/>
  <c r="D150" i="32"/>
  <c r="P149" i="29"/>
  <c r="P141" i="29"/>
  <c r="C150" i="32"/>
  <c r="AK148" i="29"/>
  <c r="F149" i="32"/>
  <c r="E149" i="32"/>
  <c r="Q140" i="29"/>
  <c r="D149" i="32"/>
  <c r="P140" i="29"/>
  <c r="C149" i="32"/>
  <c r="AK147" i="29"/>
  <c r="F148" i="32"/>
  <c r="E148" i="32"/>
  <c r="Q68" i="29"/>
  <c r="D148" i="32"/>
  <c r="P68" i="29"/>
  <c r="C148" i="32"/>
  <c r="AK146" i="29"/>
  <c r="F147" i="32"/>
  <c r="E147" i="32"/>
  <c r="Q139" i="29"/>
  <c r="D147" i="32"/>
  <c r="P139" i="29"/>
  <c r="C147" i="32"/>
  <c r="AK145" i="29"/>
  <c r="F146" i="32"/>
  <c r="E146" i="32"/>
  <c r="Q138" i="29"/>
  <c r="D146" i="32"/>
  <c r="P138" i="29"/>
  <c r="C146" i="32"/>
  <c r="AK144" i="29"/>
  <c r="F145" i="32"/>
  <c r="E145" i="32"/>
  <c r="Q137" i="29"/>
  <c r="D145" i="32"/>
  <c r="P137" i="29"/>
  <c r="C145" i="32"/>
  <c r="AK143" i="29"/>
  <c r="F144" i="32"/>
  <c r="E144" i="32"/>
  <c r="Q136" i="29"/>
  <c r="D144" i="32"/>
  <c r="P136" i="29"/>
  <c r="C144" i="32"/>
  <c r="AK142" i="29"/>
  <c r="F143" i="32"/>
  <c r="E143" i="32"/>
  <c r="Q67" i="29"/>
  <c r="D143" i="32"/>
  <c r="P67" i="29"/>
  <c r="C143" i="32"/>
  <c r="AK141" i="29"/>
  <c r="F142" i="32"/>
  <c r="E142" i="32"/>
  <c r="D142" i="32"/>
  <c r="C142" i="32"/>
  <c r="AK140" i="29"/>
  <c r="F141" i="32"/>
  <c r="E141" i="32"/>
  <c r="D141" i="32"/>
  <c r="C141" i="32"/>
  <c r="AK139" i="29"/>
  <c r="F140" i="32"/>
  <c r="E140" i="32"/>
  <c r="Q135" i="29"/>
  <c r="D140" i="32"/>
  <c r="P135" i="29"/>
  <c r="C140" i="32"/>
  <c r="AK138" i="29"/>
  <c r="F139" i="32"/>
  <c r="E139" i="32"/>
  <c r="Q134" i="29"/>
  <c r="D139" i="32"/>
  <c r="P134" i="29"/>
  <c r="C139" i="32"/>
  <c r="AK137" i="29"/>
  <c r="F138" i="32"/>
  <c r="E138" i="32"/>
  <c r="D138" i="32"/>
  <c r="C138" i="32"/>
  <c r="AK136" i="29"/>
  <c r="F137" i="32"/>
  <c r="E137" i="32"/>
  <c r="D137" i="32"/>
  <c r="C137" i="32"/>
  <c r="AK135" i="29"/>
  <c r="F136" i="32"/>
  <c r="E136" i="32"/>
  <c r="D136" i="32"/>
  <c r="C136" i="32"/>
  <c r="AK134" i="29"/>
  <c r="F135" i="32"/>
  <c r="E135" i="32"/>
  <c r="Q50" i="29"/>
  <c r="D135" i="32"/>
  <c r="P50" i="29"/>
  <c r="C135" i="32"/>
  <c r="AK133" i="29"/>
  <c r="F134" i="32"/>
  <c r="E134" i="32"/>
  <c r="Q133" i="29"/>
  <c r="Q52" i="29"/>
  <c r="D134" i="32"/>
  <c r="P133" i="29"/>
  <c r="P52" i="29"/>
  <c r="C134" i="32"/>
  <c r="AK132" i="29"/>
  <c r="F133" i="32"/>
  <c r="E133" i="32"/>
  <c r="Q132" i="29"/>
  <c r="Q56" i="29"/>
  <c r="D133" i="32"/>
  <c r="P132" i="29"/>
  <c r="P56" i="29"/>
  <c r="C133" i="32"/>
  <c r="AK131" i="29"/>
  <c r="F132" i="32"/>
  <c r="E132" i="32"/>
  <c r="Q131" i="29"/>
  <c r="D132" i="32"/>
  <c r="P131" i="29"/>
  <c r="C132" i="32"/>
  <c r="AK130" i="29"/>
  <c r="F131" i="32"/>
  <c r="E131" i="32"/>
  <c r="Q130" i="29"/>
  <c r="Q66" i="29"/>
  <c r="D131" i="32"/>
  <c r="P130" i="29"/>
  <c r="P66" i="29"/>
  <c r="C131" i="32"/>
  <c r="AK129" i="29"/>
  <c r="F130" i="32"/>
  <c r="E130" i="32"/>
  <c r="Q129" i="29"/>
  <c r="Q49" i="29"/>
  <c r="D130" i="32"/>
  <c r="P129" i="29"/>
  <c r="P49" i="29"/>
  <c r="C130" i="32"/>
  <c r="AK128" i="29"/>
  <c r="F129" i="32"/>
  <c r="E129" i="32"/>
  <c r="Q128" i="29"/>
  <c r="D129" i="32"/>
  <c r="P128" i="29"/>
  <c r="C129" i="32"/>
  <c r="AK127" i="29"/>
  <c r="F128" i="32"/>
  <c r="E128" i="32"/>
  <c r="Q127" i="29"/>
  <c r="D128" i="32"/>
  <c r="P127" i="29"/>
  <c r="C128" i="32"/>
  <c r="AK126" i="29"/>
  <c r="F127" i="32"/>
  <c r="E127" i="32"/>
  <c r="Q126" i="29"/>
  <c r="Q82" i="29"/>
  <c r="Q65" i="29"/>
  <c r="D127" i="32"/>
  <c r="P126" i="29"/>
  <c r="P82" i="29"/>
  <c r="P65" i="29"/>
  <c r="C127" i="32"/>
  <c r="AK125" i="29"/>
  <c r="F126" i="32"/>
  <c r="E126" i="32"/>
  <c r="Q125" i="29"/>
  <c r="Q81" i="29"/>
  <c r="D126" i="32"/>
  <c r="P125" i="29"/>
  <c r="P81" i="29"/>
  <c r="C126" i="32"/>
  <c r="AK124" i="29"/>
  <c r="F125" i="32"/>
  <c r="E125" i="32"/>
  <c r="Q124" i="29"/>
  <c r="D125" i="32"/>
  <c r="P124" i="29"/>
  <c r="C125" i="32"/>
  <c r="AK123" i="29"/>
  <c r="F124" i="32"/>
  <c r="E124" i="32"/>
  <c r="Q123" i="29"/>
  <c r="D124" i="32"/>
  <c r="P123" i="29"/>
  <c r="C124" i="32"/>
  <c r="AK122" i="29"/>
  <c r="F123" i="32"/>
  <c r="E123" i="32"/>
  <c r="Q122" i="29"/>
  <c r="Q61" i="29"/>
  <c r="D123" i="32"/>
  <c r="P122" i="29"/>
  <c r="P61" i="29"/>
  <c r="C123" i="32"/>
  <c r="AK121" i="29"/>
  <c r="F122" i="32"/>
  <c r="E122" i="32"/>
  <c r="Q121" i="29"/>
  <c r="Q51" i="29"/>
  <c r="D122" i="32"/>
  <c r="P121" i="29"/>
  <c r="P51" i="29"/>
  <c r="C122" i="32"/>
  <c r="AK120" i="29"/>
  <c r="F121" i="32"/>
  <c r="E121" i="32"/>
  <c r="Q120" i="29"/>
  <c r="D121" i="32"/>
  <c r="P120" i="29"/>
  <c r="C121" i="32"/>
  <c r="AK119" i="29"/>
  <c r="F120" i="32"/>
  <c r="E120" i="32"/>
  <c r="Q119" i="29"/>
  <c r="D120" i="32"/>
  <c r="P119" i="29"/>
  <c r="C120" i="32"/>
  <c r="AK118" i="29"/>
  <c r="F119" i="32"/>
  <c r="E119" i="32"/>
  <c r="Q118" i="29"/>
  <c r="D119" i="32"/>
  <c r="P118" i="29"/>
  <c r="C119" i="32"/>
  <c r="AK117" i="29"/>
  <c r="F118" i="32"/>
  <c r="E118" i="32"/>
  <c r="Q117" i="29"/>
  <c r="Q83" i="29"/>
  <c r="D118" i="32"/>
  <c r="P117" i="29"/>
  <c r="P83" i="29"/>
  <c r="C118" i="32"/>
  <c r="AK116" i="29"/>
  <c r="F117" i="32"/>
  <c r="E117" i="32"/>
  <c r="Q116" i="29"/>
  <c r="D117" i="32"/>
  <c r="P116" i="29"/>
  <c r="C117" i="32"/>
  <c r="AK115" i="29"/>
  <c r="F116" i="32"/>
  <c r="E116" i="32"/>
  <c r="Q115" i="29"/>
  <c r="D116" i="32"/>
  <c r="P115" i="29"/>
  <c r="C116" i="32"/>
  <c r="AK114" i="29"/>
  <c r="F115" i="32"/>
  <c r="E115" i="32"/>
  <c r="Q114" i="29"/>
  <c r="Q55" i="29"/>
  <c r="Q64" i="29"/>
  <c r="D115" i="32"/>
  <c r="P114" i="29"/>
  <c r="P55" i="29"/>
  <c r="P64" i="29"/>
  <c r="C115" i="32"/>
  <c r="AK113" i="29"/>
  <c r="F114" i="32"/>
  <c r="E114" i="32"/>
  <c r="Q113" i="29"/>
  <c r="D114" i="32"/>
  <c r="P113" i="29"/>
  <c r="C114" i="32"/>
  <c r="AK112" i="29"/>
  <c r="F113" i="32"/>
  <c r="E113" i="32"/>
  <c r="Q112" i="29"/>
  <c r="Q72" i="29"/>
  <c r="D113" i="32"/>
  <c r="P112" i="29"/>
  <c r="P72" i="29"/>
  <c r="C113" i="32"/>
  <c r="AK111" i="29"/>
  <c r="F112" i="32"/>
  <c r="E112" i="32"/>
  <c r="Q111" i="29"/>
  <c r="D112" i="32"/>
  <c r="P111" i="29"/>
  <c r="C112" i="32"/>
  <c r="AK110" i="29"/>
  <c r="F111" i="32"/>
  <c r="E111" i="32"/>
  <c r="Q110" i="29"/>
  <c r="Q85" i="29"/>
  <c r="D111" i="32"/>
  <c r="P110" i="29"/>
  <c r="P85" i="29"/>
  <c r="C111" i="32"/>
  <c r="AK109" i="29"/>
  <c r="F110" i="32"/>
  <c r="E110" i="32"/>
  <c r="Q109" i="29"/>
  <c r="D110" i="32"/>
  <c r="P109" i="29"/>
  <c r="C110" i="32"/>
  <c r="AK108" i="29"/>
  <c r="F109" i="32"/>
  <c r="E109" i="32"/>
  <c r="Q108" i="29"/>
  <c r="D109" i="32"/>
  <c r="P108" i="29"/>
  <c r="C109" i="32"/>
  <c r="AK107" i="29"/>
  <c r="F108" i="32"/>
  <c r="E108" i="32"/>
  <c r="Q107" i="29"/>
  <c r="Q86" i="29"/>
  <c r="D108" i="32"/>
  <c r="P107" i="29"/>
  <c r="P86" i="29"/>
  <c r="C108" i="32"/>
  <c r="AK106" i="29"/>
  <c r="F107" i="32"/>
  <c r="E107" i="32"/>
  <c r="Q106" i="29"/>
  <c r="D107" i="32"/>
  <c r="P106" i="29"/>
  <c r="C107" i="32"/>
  <c r="AK105" i="29"/>
  <c r="F106" i="32"/>
  <c r="E106" i="32"/>
  <c r="Q105" i="29"/>
  <c r="Q99" i="29"/>
  <c r="D106" i="32"/>
  <c r="P105" i="29"/>
  <c r="P99" i="29"/>
  <c r="C106" i="32"/>
  <c r="AK104" i="29"/>
  <c r="F105" i="32"/>
  <c r="E105" i="32"/>
  <c r="Q104" i="29"/>
  <c r="D105" i="32"/>
  <c r="P104" i="29"/>
  <c r="C105" i="32"/>
  <c r="AK103" i="29"/>
  <c r="F104" i="32"/>
  <c r="E104" i="32"/>
  <c r="Q103" i="29"/>
  <c r="Q57" i="29"/>
  <c r="D104" i="32"/>
  <c r="P103" i="29"/>
  <c r="P57" i="29"/>
  <c r="C104" i="32"/>
  <c r="AK102" i="29"/>
  <c r="F103" i="32"/>
  <c r="E103" i="32"/>
  <c r="Q102" i="29"/>
  <c r="D103" i="32"/>
  <c r="P102" i="29"/>
  <c r="C103" i="32"/>
  <c r="AK101" i="29"/>
  <c r="F102" i="32"/>
  <c r="E102" i="32"/>
  <c r="Q101" i="29"/>
  <c r="Q58" i="29"/>
  <c r="D102" i="32"/>
  <c r="P101" i="29"/>
  <c r="P58" i="29"/>
  <c r="C102" i="32"/>
  <c r="AK100" i="29"/>
  <c r="F101" i="32"/>
  <c r="E101" i="32"/>
  <c r="Q100" i="29"/>
  <c r="Q54" i="29"/>
  <c r="D101" i="32"/>
  <c r="P100" i="29"/>
  <c r="P54" i="29"/>
  <c r="C101" i="32"/>
  <c r="AK99" i="29"/>
  <c r="F100" i="32"/>
  <c r="E100" i="32"/>
  <c r="D100" i="32"/>
  <c r="C100" i="32"/>
  <c r="AK98" i="29"/>
  <c r="F99" i="32"/>
  <c r="E99" i="32"/>
  <c r="Q98" i="29"/>
  <c r="D99" i="32"/>
  <c r="P98" i="29"/>
  <c r="C99" i="32"/>
  <c r="AK97" i="29"/>
  <c r="F98" i="32"/>
  <c r="E98" i="32"/>
  <c r="Q97" i="29"/>
  <c r="D98" i="32"/>
  <c r="P97" i="29"/>
  <c r="C98" i="32"/>
  <c r="AK96" i="29"/>
  <c r="F97" i="32"/>
  <c r="E97" i="32"/>
  <c r="Q96" i="29"/>
  <c r="D97" i="32"/>
  <c r="P96" i="29"/>
  <c r="C97" i="32"/>
  <c r="AK95" i="29"/>
  <c r="F96" i="32"/>
  <c r="E96" i="32"/>
  <c r="Q95" i="29"/>
  <c r="Q63" i="29"/>
  <c r="D96" i="32"/>
  <c r="P95" i="29"/>
  <c r="P63" i="29"/>
  <c r="C96" i="32"/>
  <c r="AK94" i="29"/>
  <c r="F95" i="32"/>
  <c r="E95" i="32"/>
  <c r="Q94" i="29"/>
  <c r="D95" i="32"/>
  <c r="P94" i="29"/>
  <c r="C95" i="32"/>
  <c r="AK93" i="29"/>
  <c r="F94" i="32"/>
  <c r="E94" i="32"/>
  <c r="Q93" i="29"/>
  <c r="D94" i="32"/>
  <c r="P93" i="29"/>
  <c r="C94" i="32"/>
  <c r="AK92" i="29"/>
  <c r="F93" i="32"/>
  <c r="E93" i="32"/>
  <c r="Q92" i="29"/>
  <c r="D93" i="32"/>
  <c r="P92" i="29"/>
  <c r="C93" i="32"/>
  <c r="AK91" i="29"/>
  <c r="F92" i="32"/>
  <c r="E92" i="32"/>
  <c r="Q91" i="29"/>
  <c r="D92" i="32"/>
  <c r="P91" i="29"/>
  <c r="C92" i="32"/>
  <c r="AK90" i="29"/>
  <c r="F91" i="32"/>
  <c r="E91" i="32"/>
  <c r="Q90" i="29"/>
  <c r="Q80" i="29"/>
  <c r="D91" i="32"/>
  <c r="P90" i="29"/>
  <c r="P80" i="29"/>
  <c r="C91" i="32"/>
  <c r="AK89" i="29"/>
  <c r="F90" i="32"/>
  <c r="E90" i="32"/>
  <c r="Q89" i="29"/>
  <c r="D90" i="32"/>
  <c r="P89" i="29"/>
  <c r="C90" i="32"/>
  <c r="AK88" i="29"/>
  <c r="F89" i="32"/>
  <c r="E89" i="32"/>
  <c r="Q88" i="29"/>
  <c r="D89" i="32"/>
  <c r="P88" i="29"/>
  <c r="C89" i="32"/>
  <c r="AK87" i="29"/>
  <c r="F88" i="32"/>
  <c r="E88" i="32"/>
  <c r="Q87" i="29"/>
  <c r="Q62" i="29"/>
  <c r="D88" i="32"/>
  <c r="P87" i="29"/>
  <c r="P62" i="29"/>
  <c r="C88" i="32"/>
  <c r="AK86" i="29"/>
  <c r="F87" i="32"/>
  <c r="E87" i="32"/>
  <c r="D87" i="32"/>
  <c r="C87" i="32"/>
  <c r="AK85" i="29"/>
  <c r="F86" i="32"/>
  <c r="E86" i="32"/>
  <c r="Q76" i="29"/>
  <c r="D86" i="32"/>
  <c r="P76" i="29"/>
  <c r="C86" i="32"/>
  <c r="AK84" i="29"/>
  <c r="F85" i="32"/>
  <c r="E85" i="32"/>
  <c r="Q84" i="29"/>
  <c r="D85" i="32"/>
  <c r="P84" i="29"/>
  <c r="C85" i="32"/>
  <c r="AK83" i="29"/>
  <c r="F84" i="32"/>
  <c r="E84" i="32"/>
  <c r="Q59" i="29"/>
  <c r="D84" i="32"/>
  <c r="P59" i="29"/>
  <c r="C84" i="32"/>
  <c r="AK82" i="29"/>
  <c r="F83" i="32"/>
  <c r="E83" i="32"/>
  <c r="Q60" i="29"/>
  <c r="D83" i="32"/>
  <c r="P60" i="29"/>
  <c r="C83" i="32"/>
  <c r="AK81" i="29"/>
  <c r="F82" i="32"/>
  <c r="E82" i="32"/>
  <c r="D82" i="32"/>
  <c r="C82" i="32"/>
  <c r="AK80" i="29"/>
  <c r="F81" i="32"/>
  <c r="E81" i="32"/>
  <c r="D81" i="32"/>
  <c r="C81" i="32"/>
  <c r="AK79" i="29"/>
  <c r="F80" i="32"/>
  <c r="E80" i="32"/>
  <c r="Q79" i="29"/>
  <c r="D80" i="32"/>
  <c r="P79" i="29"/>
  <c r="C80" i="32"/>
  <c r="AK78" i="29"/>
  <c r="F79" i="32"/>
  <c r="E79" i="32"/>
  <c r="Q78" i="29"/>
  <c r="D79" i="32"/>
  <c r="P78" i="29"/>
  <c r="C79" i="32"/>
  <c r="AK77" i="29"/>
  <c r="F78" i="32"/>
  <c r="E78" i="32"/>
  <c r="Q77" i="29"/>
  <c r="D78" i="32"/>
  <c r="P77" i="29"/>
  <c r="C78" i="32"/>
  <c r="AK76" i="29"/>
  <c r="F77" i="32"/>
  <c r="E77" i="32"/>
  <c r="D77" i="32"/>
  <c r="C77" i="32"/>
  <c r="AK75" i="29"/>
  <c r="F76" i="32"/>
  <c r="E76" i="32"/>
  <c r="Q75" i="29"/>
  <c r="D76" i="32"/>
  <c r="P75" i="29"/>
  <c r="C76" i="32"/>
  <c r="AK73" i="29"/>
  <c r="F75" i="32"/>
  <c r="E75" i="32"/>
  <c r="D75" i="32"/>
  <c r="C75" i="32"/>
  <c r="AK72" i="29"/>
  <c r="F74" i="32"/>
  <c r="E74" i="32"/>
  <c r="D74" i="32"/>
  <c r="C74" i="32"/>
  <c r="AK164" i="29"/>
  <c r="F73" i="32"/>
  <c r="E73" i="32"/>
  <c r="D73" i="32"/>
  <c r="C73" i="32"/>
  <c r="AK71" i="29"/>
  <c r="F72" i="32"/>
  <c r="E72" i="32"/>
  <c r="D72" i="32"/>
  <c r="C72" i="32"/>
  <c r="AK70" i="29"/>
  <c r="F71" i="32"/>
  <c r="E71" i="32"/>
  <c r="D71" i="32"/>
  <c r="C71" i="32"/>
  <c r="AK69" i="29"/>
  <c r="F70" i="32"/>
  <c r="E70" i="32"/>
  <c r="D70" i="32"/>
  <c r="C70" i="32"/>
  <c r="AK68" i="29"/>
  <c r="F69" i="32"/>
  <c r="E69" i="32"/>
  <c r="D69" i="32"/>
  <c r="C69" i="32"/>
  <c r="AK67" i="29"/>
  <c r="F68" i="32"/>
  <c r="E68" i="32"/>
  <c r="D68" i="32"/>
  <c r="C68" i="32"/>
  <c r="AK66" i="29"/>
  <c r="F67" i="32"/>
  <c r="E67" i="32"/>
  <c r="D67" i="32"/>
  <c r="C67" i="32"/>
  <c r="AK65" i="29"/>
  <c r="F66" i="32"/>
  <c r="E66" i="32"/>
  <c r="D66" i="32"/>
  <c r="C66" i="32"/>
  <c r="AK64" i="29"/>
  <c r="F65" i="32"/>
  <c r="E65" i="32"/>
  <c r="D65" i="32"/>
  <c r="C65" i="32"/>
  <c r="AK63" i="29"/>
  <c r="F64" i="32"/>
  <c r="E64" i="32"/>
  <c r="D64" i="32"/>
  <c r="C64" i="32"/>
  <c r="AK62" i="29"/>
  <c r="F63" i="32"/>
  <c r="E63" i="32"/>
  <c r="D63" i="32"/>
  <c r="C63" i="32"/>
  <c r="AK61" i="29"/>
  <c r="F62" i="32"/>
  <c r="E62" i="32"/>
  <c r="D62" i="32"/>
  <c r="C62" i="32"/>
  <c r="AK60" i="29"/>
  <c r="F61" i="32"/>
  <c r="E61" i="32"/>
  <c r="D61" i="32"/>
  <c r="C61" i="32"/>
  <c r="AK59" i="29"/>
  <c r="F60" i="32"/>
  <c r="E60" i="32"/>
  <c r="D60" i="32"/>
  <c r="C60" i="32"/>
  <c r="AK58" i="29"/>
  <c r="F59" i="32"/>
  <c r="E59" i="32"/>
  <c r="D59" i="32"/>
  <c r="C59" i="32"/>
  <c r="AK57" i="29"/>
  <c r="F58" i="32"/>
  <c r="E58" i="32"/>
  <c r="D58" i="32"/>
  <c r="C58" i="32"/>
  <c r="AK56" i="29"/>
  <c r="F57" i="32"/>
  <c r="E57" i="32"/>
  <c r="D57" i="32"/>
  <c r="C57" i="32"/>
  <c r="AK55" i="29"/>
  <c r="F56" i="32"/>
  <c r="E56" i="32"/>
  <c r="D56" i="32"/>
  <c r="C56" i="32"/>
  <c r="AK54" i="29"/>
  <c r="F55" i="32"/>
  <c r="E55" i="32"/>
  <c r="D55" i="32"/>
  <c r="C55" i="32"/>
  <c r="AK53" i="29"/>
  <c r="F54" i="32"/>
  <c r="E54" i="32"/>
  <c r="D54" i="32"/>
  <c r="C54" i="32"/>
  <c r="AK52" i="29"/>
  <c r="F53" i="32"/>
  <c r="E53" i="32"/>
  <c r="D53" i="32"/>
  <c r="C53" i="32"/>
  <c r="AK51" i="29"/>
  <c r="F52" i="32"/>
  <c r="D52" i="32"/>
  <c r="C52" i="32"/>
  <c r="AK50" i="29"/>
  <c r="F51" i="32"/>
  <c r="E51" i="32"/>
  <c r="D51" i="32"/>
  <c r="C51" i="32"/>
  <c r="AK49" i="29"/>
  <c r="F50" i="32"/>
  <c r="D50" i="32"/>
  <c r="C50" i="32"/>
  <c r="F49" i="32"/>
  <c r="E49" i="32"/>
  <c r="D49" i="32"/>
  <c r="C49" i="32"/>
  <c r="F48" i="32"/>
  <c r="E48" i="32"/>
  <c r="D48" i="32"/>
  <c r="C48" i="32"/>
  <c r="F47" i="32"/>
  <c r="E47" i="32"/>
  <c r="D47" i="32"/>
  <c r="C47" i="32"/>
  <c r="F46" i="32"/>
  <c r="E46" i="32"/>
  <c r="D46" i="32"/>
  <c r="C46" i="32"/>
  <c r="F45" i="32"/>
  <c r="E45" i="32"/>
  <c r="D45" i="32"/>
  <c r="C45" i="32"/>
  <c r="F44" i="32"/>
  <c r="E44" i="32"/>
  <c r="D44" i="32"/>
  <c r="C44" i="32"/>
  <c r="F43" i="32"/>
  <c r="E43" i="32"/>
  <c r="D43" i="32"/>
  <c r="C43" i="32"/>
  <c r="F42" i="32"/>
  <c r="D42" i="32"/>
  <c r="C42" i="32"/>
  <c r="F41" i="32"/>
  <c r="D41" i="32"/>
  <c r="C41" i="32"/>
  <c r="F40" i="32"/>
  <c r="E40" i="32"/>
  <c r="D40" i="32"/>
  <c r="C40" i="32"/>
  <c r="F39" i="32"/>
  <c r="D39" i="32"/>
  <c r="C39" i="32"/>
  <c r="F38" i="32"/>
  <c r="E38" i="32"/>
  <c r="D38" i="32"/>
  <c r="C38" i="32"/>
  <c r="F37" i="32"/>
  <c r="E37" i="32"/>
  <c r="D37" i="32"/>
  <c r="C37" i="32"/>
  <c r="F36" i="32"/>
  <c r="E36" i="32"/>
  <c r="D36" i="32"/>
  <c r="C36" i="32"/>
  <c r="F35" i="32"/>
  <c r="E35" i="32"/>
  <c r="D35" i="32"/>
  <c r="C35" i="32"/>
  <c r="F34" i="32"/>
  <c r="E34" i="32"/>
  <c r="D34" i="32"/>
  <c r="C34" i="32"/>
  <c r="F33" i="32"/>
  <c r="E33" i="32"/>
  <c r="D33" i="32"/>
  <c r="C33" i="32"/>
  <c r="F32" i="32"/>
  <c r="E32" i="32"/>
  <c r="D32" i="32"/>
  <c r="C32" i="32"/>
  <c r="F31" i="32"/>
  <c r="D31" i="32"/>
  <c r="C31" i="32"/>
  <c r="F30" i="32"/>
  <c r="E30" i="32"/>
  <c r="D30" i="32"/>
  <c r="C30" i="32"/>
  <c r="F29" i="32"/>
  <c r="E29" i="32"/>
  <c r="D29" i="32"/>
  <c r="C29" i="32"/>
  <c r="F28" i="32"/>
  <c r="E28" i="32"/>
  <c r="D28" i="32"/>
  <c r="C28" i="32"/>
  <c r="F27" i="32"/>
  <c r="E27" i="32"/>
  <c r="D27" i="32"/>
  <c r="C27" i="32"/>
  <c r="F26" i="32"/>
  <c r="E26" i="32"/>
  <c r="D26" i="32"/>
  <c r="C26" i="32"/>
  <c r="F25" i="32"/>
  <c r="D25" i="32"/>
  <c r="C25" i="32"/>
  <c r="F24" i="32"/>
  <c r="E24" i="32"/>
  <c r="D24" i="32"/>
  <c r="C24" i="32"/>
  <c r="F23" i="32"/>
  <c r="E23" i="32"/>
  <c r="D23" i="32"/>
  <c r="C23" i="32"/>
  <c r="F22" i="32"/>
  <c r="E22" i="32"/>
  <c r="D22" i="32"/>
  <c r="C22" i="32"/>
  <c r="F21" i="32"/>
  <c r="E21" i="32"/>
  <c r="D21" i="32"/>
  <c r="C21" i="32"/>
  <c r="F20" i="32"/>
  <c r="D20" i="32"/>
  <c r="C20" i="32"/>
  <c r="F19" i="32"/>
  <c r="E19" i="32"/>
  <c r="D19" i="32"/>
  <c r="C19" i="32"/>
  <c r="F18" i="32"/>
  <c r="D18" i="32"/>
  <c r="C18" i="32"/>
  <c r="F17" i="32"/>
  <c r="E17" i="32"/>
  <c r="D17" i="32"/>
  <c r="C17" i="32"/>
  <c r="F16" i="32"/>
  <c r="E16" i="32"/>
  <c r="D16" i="32"/>
  <c r="C16" i="32"/>
  <c r="F15" i="32"/>
  <c r="E15" i="32"/>
  <c r="D15" i="32"/>
  <c r="C15" i="32"/>
  <c r="F14" i="32"/>
  <c r="D14" i="32"/>
  <c r="C14" i="32"/>
  <c r="F13" i="32"/>
  <c r="E13" i="32"/>
  <c r="D13" i="32"/>
  <c r="C13" i="32"/>
  <c r="F12" i="32"/>
  <c r="E12" i="32"/>
  <c r="D12" i="32"/>
  <c r="C12" i="32"/>
  <c r="F11" i="32"/>
  <c r="E11" i="32"/>
  <c r="D11" i="32"/>
  <c r="C11" i="32"/>
  <c r="F10" i="32"/>
  <c r="E10" i="32"/>
  <c r="D10" i="32"/>
  <c r="C10" i="32"/>
  <c r="B9" i="21"/>
  <c r="B10" i="21"/>
  <c r="B11" i="21"/>
  <c r="B12" i="21"/>
  <c r="B13" i="21"/>
  <c r="B14" i="21"/>
  <c r="B15" i="21"/>
  <c r="B16" i="21"/>
  <c r="B17" i="21"/>
  <c r="B18" i="21"/>
  <c r="B19" i="21"/>
  <c r="B20" i="21"/>
  <c r="B21" i="21"/>
  <c r="B22" i="21"/>
  <c r="B23" i="21"/>
  <c r="B24" i="21"/>
  <c r="B25" i="21"/>
  <c r="B26" i="21"/>
  <c r="B27" i="21"/>
  <c r="B28" i="21"/>
  <c r="B29" i="21"/>
  <c r="B30" i="21"/>
  <c r="B31" i="21"/>
  <c r="B32" i="21"/>
  <c r="B33" i="21"/>
  <c r="B34" i="21"/>
  <c r="B35" i="21"/>
  <c r="B36" i="21"/>
  <c r="B37" i="21"/>
  <c r="B38" i="21"/>
  <c r="B39" i="21"/>
  <c r="B40" i="21"/>
  <c r="B41" i="21"/>
  <c r="B42" i="21"/>
  <c r="B43" i="21"/>
  <c r="B44" i="21"/>
  <c r="B45" i="21"/>
  <c r="B46" i="21"/>
  <c r="B47" i="21"/>
  <c r="B48" i="21"/>
  <c r="B49" i="21"/>
  <c r="B50" i="21"/>
  <c r="B51" i="21"/>
  <c r="B52" i="21"/>
  <c r="B53" i="21"/>
  <c r="B54" i="21"/>
  <c r="B55" i="21"/>
  <c r="B56" i="21"/>
  <c r="B57" i="21"/>
  <c r="B58" i="21"/>
  <c r="B59" i="21"/>
  <c r="B60" i="21"/>
  <c r="B61" i="21"/>
  <c r="B62" i="21"/>
  <c r="B63" i="21"/>
  <c r="B64" i="21"/>
  <c r="B65" i="21"/>
  <c r="B66" i="21"/>
  <c r="B67" i="21"/>
  <c r="B68" i="21"/>
  <c r="B69" i="21"/>
  <c r="B70" i="21"/>
  <c r="B71" i="21"/>
  <c r="B72" i="21"/>
  <c r="B73" i="21"/>
  <c r="B74" i="21"/>
  <c r="B75" i="21"/>
  <c r="B76" i="21"/>
  <c r="B77" i="21"/>
  <c r="B78" i="21"/>
  <c r="B79" i="21"/>
  <c r="B80" i="21"/>
  <c r="B81" i="21"/>
  <c r="B82" i="21"/>
  <c r="B83" i="21"/>
  <c r="B84" i="21"/>
  <c r="B85" i="21"/>
  <c r="B86" i="21"/>
  <c r="B87" i="21"/>
  <c r="B88" i="21"/>
  <c r="B89" i="21"/>
  <c r="B90" i="21"/>
  <c r="B91" i="21"/>
  <c r="B92" i="21"/>
  <c r="B93" i="21"/>
  <c r="B94" i="21"/>
  <c r="B95" i="21"/>
  <c r="B96" i="21"/>
  <c r="B97" i="21"/>
  <c r="B98" i="21"/>
  <c r="B99" i="21"/>
  <c r="B100" i="21"/>
  <c r="B101" i="21"/>
  <c r="B102" i="21"/>
  <c r="B103" i="21"/>
  <c r="B104" i="21"/>
  <c r="B105" i="21"/>
  <c r="B106" i="21"/>
  <c r="B107" i="21"/>
  <c r="B108" i="21"/>
  <c r="B109" i="21"/>
  <c r="B110" i="21"/>
  <c r="B111" i="21"/>
  <c r="B112" i="21"/>
  <c r="B113" i="21"/>
  <c r="B114" i="21"/>
  <c r="B115" i="21"/>
  <c r="B116" i="21"/>
  <c r="B117" i="21"/>
  <c r="B118" i="21"/>
  <c r="B119" i="21"/>
  <c r="B120" i="21"/>
  <c r="B121" i="21"/>
  <c r="B122" i="21"/>
  <c r="B123" i="21"/>
  <c r="B124" i="21"/>
  <c r="B125" i="21"/>
  <c r="B126" i="21"/>
  <c r="B127" i="21"/>
  <c r="B128" i="21"/>
  <c r="B129" i="21"/>
  <c r="B130" i="21"/>
  <c r="B131" i="21"/>
  <c r="B132" i="21"/>
  <c r="B133" i="21"/>
  <c r="B134" i="21"/>
  <c r="B135" i="21"/>
  <c r="B136" i="21"/>
  <c r="B137" i="21"/>
  <c r="B138" i="21"/>
  <c r="B139" i="21"/>
  <c r="B140" i="21"/>
  <c r="B141" i="21"/>
  <c r="B142" i="21"/>
  <c r="B143" i="21"/>
  <c r="B144" i="21"/>
  <c r="B145" i="21"/>
  <c r="B146" i="21"/>
  <c r="B147" i="21"/>
  <c r="B148" i="21"/>
  <c r="B149" i="21"/>
  <c r="B150" i="21"/>
  <c r="B151" i="21"/>
  <c r="B152" i="21"/>
  <c r="B153" i="21"/>
  <c r="B154" i="21"/>
  <c r="B155" i="21"/>
  <c r="B156" i="21"/>
  <c r="B157" i="21"/>
  <c r="B158" i="21"/>
  <c r="B159" i="21"/>
  <c r="B160" i="21"/>
  <c r="B161" i="21"/>
  <c r="B162" i="21"/>
  <c r="B163" i="21"/>
  <c r="E41" i="32"/>
  <c r="E52" i="32"/>
  <c r="E25" i="32"/>
  <c r="E31" i="32"/>
  <c r="E39" i="32"/>
  <c r="E20" i="32"/>
  <c r="E42" i="32"/>
  <c r="E50" i="32"/>
  <c r="E14" i="32"/>
  <c r="E18" i="32"/>
  <c r="AI113" i="29"/>
  <c r="AJ119" i="29"/>
  <c r="AJ129" i="29"/>
  <c r="AI121" i="29"/>
  <c r="AI124" i="29"/>
  <c r="AI127" i="29"/>
  <c r="AJ128" i="29"/>
  <c r="AI133" i="29"/>
  <c r="AJ139" i="29"/>
  <c r="AJ140" i="29"/>
  <c r="AI143" i="29"/>
  <c r="AJ67" i="29"/>
  <c r="AJ71" i="29"/>
  <c r="AI75" i="29"/>
  <c r="AJ80" i="29"/>
  <c r="AI83" i="29"/>
  <c r="AI85" i="29"/>
  <c r="AJ89" i="29"/>
  <c r="AI91" i="29"/>
  <c r="AI93" i="29"/>
  <c r="AI99" i="29"/>
  <c r="AJ105" i="29"/>
  <c r="AJ107" i="29"/>
  <c r="AI111" i="29"/>
  <c r="AJ145" i="29"/>
  <c r="AI97" i="29"/>
  <c r="AJ49" i="29"/>
  <c r="AI53" i="29"/>
  <c r="AI58" i="29"/>
  <c r="AI63" i="29"/>
  <c r="AJ66" i="29"/>
  <c r="AI70" i="29"/>
  <c r="AJ72" i="29"/>
  <c r="AJ73" i="29"/>
  <c r="AI101" i="29"/>
  <c r="AI103" i="29"/>
  <c r="AI112" i="29"/>
  <c r="AJ147" i="29"/>
  <c r="AJ52" i="29"/>
  <c r="AI64" i="29"/>
  <c r="AI68" i="29"/>
  <c r="AJ136" i="29"/>
  <c r="AI137" i="29"/>
  <c r="AI141" i="29"/>
  <c r="AI148" i="29"/>
  <c r="AI151" i="29"/>
  <c r="AJ152" i="29"/>
  <c r="AI155" i="29"/>
  <c r="AJ156" i="29"/>
  <c r="AJ159" i="29"/>
  <c r="AH163" i="29"/>
  <c r="AJ163" i="29"/>
  <c r="AI92" i="29"/>
  <c r="AJ82" i="29"/>
  <c r="AJ84" i="29"/>
  <c r="AI88" i="29"/>
  <c r="AJ90" i="29"/>
  <c r="AJ94" i="29"/>
  <c r="AI100" i="29"/>
  <c r="AJ102" i="29"/>
  <c r="AI108" i="29"/>
  <c r="AI110" i="29"/>
  <c r="AJ114" i="29"/>
  <c r="AI122" i="29"/>
  <c r="AI126" i="29"/>
  <c r="AJ130" i="29"/>
  <c r="AJ138" i="29"/>
  <c r="AJ142" i="29"/>
  <c r="AJ146" i="29"/>
  <c r="AJ150" i="29"/>
  <c r="AI153" i="29"/>
  <c r="AJ157" i="29"/>
  <c r="AI161" i="29"/>
  <c r="AJ162" i="29"/>
  <c r="AJ59" i="29"/>
  <c r="AI59" i="29"/>
  <c r="AI67" i="29"/>
  <c r="AJ77" i="29"/>
  <c r="AI77" i="29"/>
  <c r="AI80" i="29"/>
  <c r="AJ50" i="29"/>
  <c r="AI50" i="29"/>
  <c r="AI51" i="29"/>
  <c r="AJ55" i="29"/>
  <c r="AI55" i="29"/>
  <c r="AJ57" i="29"/>
  <c r="AI57" i="29"/>
  <c r="AJ62" i="29"/>
  <c r="AI62" i="29"/>
  <c r="AJ63" i="29"/>
  <c r="AJ69" i="29"/>
  <c r="AI69" i="29"/>
  <c r="AI60" i="29"/>
  <c r="AJ60" i="29"/>
  <c r="AJ76" i="29"/>
  <c r="AI76" i="29"/>
  <c r="AI87" i="29"/>
  <c r="AJ87" i="29"/>
  <c r="AI95" i="29"/>
  <c r="AJ95" i="29"/>
  <c r="AJ96" i="29"/>
  <c r="AI96" i="29"/>
  <c r="AJ99" i="29"/>
  <c r="AI105" i="29"/>
  <c r="AJ109" i="29"/>
  <c r="AI109" i="29"/>
  <c r="AJ113" i="29"/>
  <c r="AI115" i="29"/>
  <c r="AJ115" i="29"/>
  <c r="AJ116" i="29"/>
  <c r="AI116" i="29"/>
  <c r="AJ117" i="29"/>
  <c r="AI117" i="29"/>
  <c r="AJ120" i="29"/>
  <c r="AI120" i="29"/>
  <c r="AJ121" i="29"/>
  <c r="AI123" i="29"/>
  <c r="AJ125" i="29"/>
  <c r="AI125" i="29"/>
  <c r="AJ127" i="29"/>
  <c r="AI131" i="29"/>
  <c r="AJ131" i="29"/>
  <c r="AJ132" i="29"/>
  <c r="AI132" i="29"/>
  <c r="AI135" i="29"/>
  <c r="AJ135" i="29"/>
  <c r="AI139" i="29"/>
  <c r="AI147" i="29"/>
  <c r="AJ86" i="29"/>
  <c r="AI86" i="29"/>
  <c r="AJ98" i="29"/>
  <c r="AI98" i="29"/>
  <c r="AJ106" i="29"/>
  <c r="AI106" i="29"/>
  <c r="AJ118" i="29"/>
  <c r="AI118" i="29"/>
  <c r="AJ134" i="29"/>
  <c r="AI134" i="29"/>
  <c r="AI149" i="29"/>
  <c r="AJ149" i="29"/>
  <c r="AJ158" i="29"/>
  <c r="AI158" i="29"/>
  <c r="AI136" i="29"/>
  <c r="AJ144" i="29"/>
  <c r="AI144" i="29"/>
  <c r="AJ154" i="29"/>
  <c r="AI154" i="29"/>
  <c r="AJ160" i="29"/>
  <c r="AI160" i="29"/>
  <c r="AI163" i="29"/>
  <c r="AJ155" i="29"/>
  <c r="AI129" i="29"/>
  <c r="AI138" i="29"/>
  <c r="AI150" i="29"/>
  <c r="AJ97" i="29"/>
  <c r="AJ133" i="29"/>
  <c r="AJ141" i="29"/>
  <c r="AJ85" i="29"/>
  <c r="AJ75" i="29"/>
  <c r="AI159" i="29"/>
  <c r="AJ148" i="29"/>
  <c r="AJ137" i="29"/>
  <c r="AJ112" i="29"/>
  <c r="AJ101" i="29"/>
  <c r="AJ92" i="29"/>
  <c r="AJ70" i="29"/>
  <c r="AJ88" i="29"/>
  <c r="AJ68" i="29"/>
  <c r="AJ122" i="29"/>
  <c r="AI156" i="29"/>
  <c r="AJ161" i="29"/>
  <c r="AJ100" i="29"/>
  <c r="AJ111" i="29"/>
  <c r="AI89" i="29"/>
  <c r="AJ64" i="29"/>
  <c r="AJ51" i="29"/>
  <c r="AJ108" i="29"/>
  <c r="AI152" i="29"/>
  <c r="AJ110" i="29"/>
  <c r="AI82" i="29"/>
  <c r="AI52" i="29"/>
  <c r="AJ53" i="29"/>
  <c r="AJ151" i="29"/>
  <c r="AI162" i="29"/>
  <c r="AI140" i="29"/>
  <c r="AI142" i="29"/>
  <c r="AJ126" i="29"/>
  <c r="AI90" i="29"/>
  <c r="AI145" i="29"/>
  <c r="AJ91" i="29"/>
  <c r="AI65" i="29"/>
  <c r="AJ58" i="29"/>
  <c r="AI71" i="29"/>
  <c r="AJ153" i="29"/>
  <c r="AI102" i="29"/>
  <c r="AI128" i="29"/>
  <c r="AJ103" i="29"/>
  <c r="AJ83" i="29"/>
  <c r="AI72" i="29"/>
  <c r="AJ65" i="29"/>
  <c r="AJ124" i="29"/>
  <c r="AI119" i="29"/>
  <c r="AI107" i="29"/>
  <c r="AJ93" i="29"/>
  <c r="AI164" i="29"/>
  <c r="AI56" i="29"/>
  <c r="AI73" i="29"/>
  <c r="AI66" i="29"/>
  <c r="AI61" i="29"/>
  <c r="AI54" i="29"/>
  <c r="AI49" i="29"/>
  <c r="AI157" i="29"/>
  <c r="AI146" i="29"/>
  <c r="AI130" i="29"/>
  <c r="AI114" i="29"/>
  <c r="AI104" i="29"/>
  <c r="AI94" i="29"/>
  <c r="AI84" i="29"/>
  <c r="AJ143" i="29"/>
  <c r="AJ123" i="29"/>
  <c r="AJ61" i="29"/>
  <c r="AJ54" i="29"/>
  <c r="AJ104" i="29"/>
  <c r="AJ164" i="29"/>
  <c r="AJ56" i="29"/>
  <c r="AJ81" i="29"/>
  <c r="AI81" i="29"/>
  <c r="AJ78" i="29"/>
  <c r="AI78" i="29"/>
  <c r="AI79" i="29"/>
  <c r="AJ79" i="29"/>
  <c r="V11" i="22"/>
  <c r="V12" i="22"/>
  <c r="V13" i="22"/>
  <c r="V14" i="22"/>
  <c r="V15" i="22"/>
  <c r="V16" i="22"/>
  <c r="V17" i="22"/>
  <c r="V18" i="22"/>
  <c r="V19" i="22"/>
  <c r="V20" i="22"/>
  <c r="V21" i="22"/>
  <c r="V22" i="22"/>
  <c r="V23" i="22"/>
  <c r="V24" i="22"/>
  <c r="V25" i="22"/>
  <c r="V26" i="22"/>
  <c r="V27" i="22"/>
  <c r="V28" i="22"/>
  <c r="V29" i="22"/>
  <c r="V30" i="22"/>
  <c r="V31" i="22"/>
  <c r="V32" i="22"/>
  <c r="V33" i="22"/>
  <c r="V34" i="22"/>
  <c r="V35" i="22"/>
  <c r="V36" i="22"/>
  <c r="V37" i="22"/>
  <c r="V38" i="22"/>
  <c r="V39" i="22"/>
  <c r="V40" i="22"/>
  <c r="V41" i="22"/>
  <c r="V10" i="22"/>
  <c r="M6" i="16"/>
  <c r="C9" i="21"/>
  <c r="C10" i="21"/>
  <c r="C11" i="21"/>
  <c r="C12" i="21"/>
  <c r="C13" i="21"/>
  <c r="C14" i="21"/>
  <c r="C15" i="21"/>
  <c r="C16" i="21"/>
  <c r="C17" i="21"/>
  <c r="C18" i="21"/>
  <c r="C19" i="21"/>
  <c r="C20" i="21"/>
  <c r="C21" i="21"/>
  <c r="C22" i="21"/>
  <c r="C23" i="21"/>
  <c r="C24" i="21"/>
  <c r="C25" i="21"/>
  <c r="C26" i="21"/>
  <c r="D26" i="21"/>
  <c r="C27" i="21"/>
  <c r="D27" i="21"/>
  <c r="C28" i="21"/>
  <c r="C29" i="21"/>
  <c r="C30" i="21"/>
  <c r="C31" i="21"/>
  <c r="C32" i="21"/>
  <c r="C33" i="21"/>
  <c r="C34" i="21"/>
  <c r="C35" i="21"/>
  <c r="D35" i="21"/>
  <c r="C36" i="21"/>
  <c r="C37" i="21"/>
  <c r="D37" i="21"/>
  <c r="C38" i="21"/>
  <c r="C39" i="21"/>
  <c r="C40" i="21"/>
  <c r="C41" i="21"/>
  <c r="C42" i="21"/>
  <c r="C43" i="21"/>
  <c r="C44" i="21"/>
  <c r="C45" i="21"/>
  <c r="C46" i="21"/>
  <c r="C47" i="21"/>
  <c r="C48" i="21"/>
  <c r="C49" i="21"/>
  <c r="C50" i="21"/>
  <c r="C51" i="21"/>
  <c r="C52" i="21"/>
  <c r="C53" i="21"/>
  <c r="C54" i="21"/>
  <c r="C55" i="21"/>
  <c r="C56" i="21"/>
  <c r="C57" i="21"/>
  <c r="C58" i="21"/>
  <c r="C59" i="21"/>
  <c r="C60" i="21"/>
  <c r="C61" i="21"/>
  <c r="C62" i="21"/>
  <c r="C63" i="21"/>
  <c r="C64" i="21"/>
  <c r="C65" i="21"/>
  <c r="C66" i="21"/>
  <c r="C67" i="21"/>
  <c r="C68" i="21"/>
  <c r="C69" i="21"/>
  <c r="C70" i="21"/>
  <c r="C71" i="21"/>
  <c r="C72" i="21"/>
  <c r="C73" i="21"/>
  <c r="C74" i="21"/>
  <c r="C75" i="21"/>
  <c r="C76" i="21"/>
  <c r="C77" i="21"/>
  <c r="C78" i="21"/>
  <c r="C79" i="21"/>
  <c r="C80" i="21"/>
  <c r="C81" i="21"/>
  <c r="C82" i="21"/>
  <c r="C83" i="21"/>
  <c r="C84" i="21"/>
  <c r="C85" i="21"/>
  <c r="C86" i="21"/>
  <c r="C87" i="21"/>
  <c r="C88" i="21"/>
  <c r="C89" i="21"/>
  <c r="C90" i="21"/>
  <c r="C91" i="21"/>
  <c r="C92" i="21"/>
  <c r="C93" i="21"/>
  <c r="C94" i="21"/>
  <c r="C95" i="21"/>
  <c r="C96" i="21"/>
  <c r="C97" i="21"/>
  <c r="C98" i="21"/>
  <c r="C99" i="21"/>
  <c r="C100" i="21"/>
  <c r="C101" i="21"/>
  <c r="C102" i="21"/>
  <c r="C103" i="21"/>
  <c r="C104" i="21"/>
  <c r="C105" i="21"/>
  <c r="C106" i="21"/>
  <c r="C107" i="21"/>
  <c r="C108" i="21"/>
  <c r="C109" i="21"/>
  <c r="C110" i="21"/>
  <c r="C111" i="21"/>
  <c r="C112" i="21"/>
  <c r="C113" i="21"/>
  <c r="C114" i="21"/>
  <c r="C115" i="21"/>
  <c r="C116" i="21"/>
  <c r="C117" i="21"/>
  <c r="C118" i="21"/>
  <c r="C119" i="21"/>
  <c r="C120" i="21"/>
  <c r="C121" i="21"/>
  <c r="C122" i="21"/>
  <c r="C123" i="21"/>
  <c r="C124" i="21"/>
  <c r="C125" i="21"/>
  <c r="C126" i="21"/>
  <c r="C127" i="21"/>
  <c r="C128" i="21"/>
  <c r="C129" i="21"/>
  <c r="C130" i="21"/>
  <c r="C131" i="21"/>
  <c r="C132" i="21"/>
  <c r="C133" i="21"/>
  <c r="C134" i="21"/>
  <c r="C135" i="21"/>
  <c r="C136" i="21"/>
  <c r="C137" i="21"/>
  <c r="C138" i="21"/>
  <c r="C139" i="21"/>
  <c r="C140" i="21"/>
  <c r="C141" i="21"/>
  <c r="C142" i="21"/>
  <c r="C143" i="21"/>
  <c r="C144" i="21"/>
  <c r="C145" i="21"/>
  <c r="C146" i="21"/>
  <c r="C147" i="21"/>
  <c r="C148" i="21"/>
  <c r="C149" i="21"/>
  <c r="E149" i="21"/>
  <c r="C150" i="21"/>
  <c r="E150" i="21"/>
  <c r="C151" i="21"/>
  <c r="E151" i="21"/>
  <c r="C152" i="21"/>
  <c r="E152" i="21"/>
  <c r="C153" i="21"/>
  <c r="E153" i="21"/>
  <c r="C154" i="21"/>
  <c r="E154" i="21"/>
  <c r="C155" i="21"/>
  <c r="E155" i="21"/>
  <c r="C156" i="21"/>
  <c r="E156" i="21"/>
  <c r="C157" i="21"/>
  <c r="E157" i="21"/>
  <c r="C158" i="21"/>
  <c r="E158" i="21"/>
  <c r="C159" i="21"/>
  <c r="E159" i="21"/>
  <c r="C160" i="21"/>
  <c r="E160" i="21"/>
  <c r="C161" i="21"/>
  <c r="E161" i="21"/>
  <c r="C162" i="21"/>
  <c r="E162" i="21"/>
  <c r="C163" i="21"/>
  <c r="E163" i="21"/>
  <c r="W9" i="21"/>
  <c r="W10" i="21"/>
  <c r="W11" i="21"/>
  <c r="W12" i="21"/>
  <c r="W13" i="21"/>
  <c r="W14" i="21"/>
  <c r="W15" i="21"/>
  <c r="W16" i="21"/>
  <c r="W17" i="21"/>
  <c r="W18" i="21"/>
  <c r="W19" i="21"/>
  <c r="W20" i="21"/>
  <c r="W21" i="21"/>
  <c r="W22" i="21"/>
  <c r="W23" i="21"/>
  <c r="W24" i="21"/>
  <c r="W25" i="21"/>
  <c r="W26" i="21"/>
  <c r="W27" i="21"/>
  <c r="W28" i="21"/>
  <c r="W29" i="21"/>
  <c r="W30" i="21"/>
  <c r="W31" i="21"/>
  <c r="W32" i="21"/>
  <c r="W33" i="21"/>
  <c r="W34" i="21"/>
  <c r="W35" i="21"/>
  <c r="W36" i="21"/>
  <c r="W37" i="21"/>
  <c r="W38" i="21"/>
  <c r="W39" i="21"/>
  <c r="W40" i="21"/>
  <c r="W41" i="21"/>
  <c r="W42" i="21"/>
  <c r="W43" i="21"/>
  <c r="W44" i="21"/>
  <c r="W45" i="21"/>
  <c r="W46" i="21"/>
  <c r="W47" i="21"/>
  <c r="W48" i="21"/>
  <c r="W49" i="21"/>
  <c r="W50" i="21"/>
  <c r="W51" i="21"/>
  <c r="W52" i="21"/>
  <c r="W53" i="21"/>
  <c r="W54" i="21"/>
  <c r="W55" i="21"/>
  <c r="W56" i="21"/>
  <c r="W57" i="21"/>
  <c r="W58" i="21"/>
  <c r="W59" i="21"/>
  <c r="W60" i="21"/>
  <c r="W61" i="21"/>
  <c r="W62" i="21"/>
  <c r="W63" i="21"/>
  <c r="W64" i="21"/>
  <c r="W65" i="21"/>
  <c r="W66" i="21"/>
  <c r="W67" i="21"/>
  <c r="W68" i="21"/>
  <c r="W69" i="21"/>
  <c r="W70" i="21"/>
  <c r="W71" i="21"/>
  <c r="W72" i="21"/>
  <c r="W73" i="21"/>
  <c r="W74" i="21"/>
  <c r="W75" i="21"/>
  <c r="W76" i="21"/>
  <c r="W77" i="21"/>
  <c r="W78" i="21"/>
  <c r="W79" i="21"/>
  <c r="W80" i="21"/>
  <c r="W81" i="21"/>
  <c r="W82" i="21"/>
  <c r="W83" i="21"/>
  <c r="W84" i="21"/>
  <c r="W85" i="21"/>
  <c r="W86" i="21"/>
  <c r="W87" i="21"/>
  <c r="W88" i="21"/>
  <c r="W89" i="21"/>
  <c r="W90" i="21"/>
  <c r="W91" i="21"/>
  <c r="W92" i="21"/>
  <c r="W93" i="21"/>
  <c r="W94" i="21"/>
  <c r="W95" i="21"/>
  <c r="W96" i="21"/>
  <c r="W97" i="21"/>
  <c r="W98" i="21"/>
  <c r="W99" i="21"/>
  <c r="W100" i="21"/>
  <c r="W101" i="21"/>
  <c r="W102" i="21"/>
  <c r="W103" i="21"/>
  <c r="W104" i="21"/>
  <c r="W105" i="21"/>
  <c r="W106" i="21"/>
  <c r="W107" i="21"/>
  <c r="W108" i="21"/>
  <c r="W109" i="21"/>
  <c r="W110" i="21"/>
  <c r="W111" i="21"/>
  <c r="W112" i="21"/>
  <c r="W113" i="21"/>
  <c r="W114" i="21"/>
  <c r="W115" i="21"/>
  <c r="W116" i="21"/>
  <c r="W117" i="21"/>
  <c r="W118" i="21"/>
  <c r="W119" i="21"/>
  <c r="W120" i="21"/>
  <c r="W121" i="21"/>
  <c r="W122" i="21"/>
  <c r="W123" i="21"/>
  <c r="W124" i="21"/>
  <c r="W125" i="21"/>
  <c r="W126" i="21"/>
  <c r="W127" i="21"/>
  <c r="W128" i="21"/>
  <c r="W129" i="21"/>
  <c r="W130" i="21"/>
  <c r="W131" i="21"/>
  <c r="W132" i="21"/>
  <c r="W133" i="21"/>
  <c r="W134" i="21"/>
  <c r="W135" i="21"/>
  <c r="W136" i="21"/>
  <c r="W137" i="21"/>
  <c r="W138" i="21"/>
  <c r="W139" i="21"/>
  <c r="W140" i="21"/>
  <c r="W141" i="21"/>
  <c r="W142" i="21"/>
  <c r="W143" i="21"/>
  <c r="W144" i="21"/>
  <c r="W145" i="21"/>
  <c r="W146" i="21"/>
  <c r="W147" i="21"/>
  <c r="W148" i="21"/>
  <c r="W149" i="21"/>
  <c r="W150" i="21"/>
  <c r="W151" i="21"/>
  <c r="W152" i="21"/>
  <c r="W153" i="21"/>
  <c r="W154" i="21"/>
  <c r="W155" i="21"/>
  <c r="W156" i="21"/>
  <c r="W157" i="21"/>
  <c r="W158" i="21"/>
  <c r="W159" i="21"/>
  <c r="W160" i="21"/>
  <c r="W161" i="21"/>
  <c r="W162" i="21"/>
  <c r="W163" i="21"/>
  <c r="J14" i="32"/>
  <c r="AA14" i="32"/>
  <c r="J15" i="32"/>
  <c r="O15" i="32"/>
  <c r="AA15" i="32"/>
  <c r="AB15" i="32"/>
  <c r="AD15" i="32"/>
  <c r="O16" i="32"/>
  <c r="Y16" i="32"/>
  <c r="Z16" i="32"/>
  <c r="AB16" i="32"/>
  <c r="AD16" i="32"/>
  <c r="G17" i="32"/>
  <c r="Y17" i="32"/>
  <c r="Z17" i="32"/>
  <c r="G18" i="32"/>
  <c r="J18" i="32"/>
  <c r="AA18" i="32"/>
  <c r="J19" i="32"/>
  <c r="O19" i="32"/>
  <c r="AA19" i="32"/>
  <c r="AB19" i="32"/>
  <c r="AD19" i="32"/>
  <c r="O20" i="32"/>
  <c r="Y20" i="32"/>
  <c r="Z20" i="32"/>
  <c r="AB20" i="32"/>
  <c r="AD20" i="32"/>
  <c r="G21" i="32"/>
  <c r="Y21" i="32"/>
  <c r="Z21" i="32"/>
  <c r="G22" i="32"/>
  <c r="J22" i="32"/>
  <c r="AA22" i="32"/>
  <c r="J23" i="32"/>
  <c r="O23" i="32"/>
  <c r="AA23" i="32"/>
  <c r="AB23" i="32"/>
  <c r="AD23" i="32"/>
  <c r="O24" i="32"/>
  <c r="Y24" i="32"/>
  <c r="Z24" i="32"/>
  <c r="AB24" i="32"/>
  <c r="AD24" i="32"/>
  <c r="G25" i="32"/>
  <c r="Y25" i="32"/>
  <c r="Z25" i="32"/>
  <c r="G26" i="32"/>
  <c r="J26" i="32"/>
  <c r="AA26" i="32"/>
  <c r="J27" i="32"/>
  <c r="O27" i="32"/>
  <c r="AA27" i="32"/>
  <c r="AB27" i="32"/>
  <c r="AD27" i="32"/>
  <c r="J50" i="32"/>
  <c r="AA50" i="32"/>
  <c r="AB50" i="32"/>
  <c r="O51" i="32"/>
  <c r="AA51" i="32"/>
  <c r="AB51" i="32"/>
  <c r="AD51" i="32"/>
  <c r="G52" i="32"/>
  <c r="O52" i="32"/>
  <c r="Y52" i="32"/>
  <c r="Z52" i="32"/>
  <c r="AD52" i="32"/>
  <c r="G53" i="32"/>
  <c r="J53" i="32"/>
  <c r="Z53" i="32"/>
  <c r="J54" i="32"/>
  <c r="AA54" i="32"/>
  <c r="AB54" i="32"/>
  <c r="O55" i="32"/>
  <c r="Y55" i="32"/>
  <c r="AA55" i="32"/>
  <c r="AB55" i="32"/>
  <c r="AD55" i="32"/>
  <c r="G56" i="32"/>
  <c r="O56" i="32"/>
  <c r="Y56" i="32"/>
  <c r="Z56" i="32"/>
  <c r="AD56" i="32"/>
  <c r="G57" i="32"/>
  <c r="J57" i="32"/>
  <c r="Z57" i="32"/>
  <c r="J58" i="32"/>
  <c r="AA58" i="32"/>
  <c r="AB58" i="32"/>
  <c r="O59" i="32"/>
  <c r="Y59" i="32"/>
  <c r="AA59" i="32"/>
  <c r="AB59" i="32"/>
  <c r="AD59" i="32"/>
  <c r="G60" i="32"/>
  <c r="O60" i="32"/>
  <c r="Y60" i="32"/>
  <c r="Z60" i="32"/>
  <c r="AD60" i="32"/>
  <c r="G61" i="32"/>
  <c r="J61" i="32"/>
  <c r="Z61" i="32"/>
  <c r="J62" i="32"/>
  <c r="AA62" i="32"/>
  <c r="AB62" i="32"/>
  <c r="O63" i="32"/>
  <c r="Y63" i="32"/>
  <c r="AA63" i="32"/>
  <c r="AB63" i="32"/>
  <c r="AD63" i="32"/>
  <c r="G64" i="32"/>
  <c r="O64" i="32"/>
  <c r="Y64" i="32"/>
  <c r="Z64" i="32"/>
  <c r="AD64" i="32"/>
  <c r="G65" i="32"/>
  <c r="J65" i="32"/>
  <c r="Z65" i="32"/>
  <c r="J66" i="32"/>
  <c r="AA66" i="32"/>
  <c r="AB66" i="32"/>
  <c r="O67" i="32"/>
  <c r="Y67" i="32"/>
  <c r="AA67" i="32"/>
  <c r="AB67" i="32"/>
  <c r="AD67" i="32"/>
  <c r="G68" i="32"/>
  <c r="O68" i="32"/>
  <c r="Y68" i="32"/>
  <c r="Z68" i="32"/>
  <c r="AD68" i="32"/>
  <c r="G69" i="32"/>
  <c r="J69" i="32"/>
  <c r="Z69" i="32"/>
  <c r="J70" i="32"/>
  <c r="AA70" i="32"/>
  <c r="AB70" i="32"/>
  <c r="O71" i="32"/>
  <c r="Y71" i="32"/>
  <c r="AA71" i="32"/>
  <c r="AB71" i="32"/>
  <c r="AD71" i="32"/>
  <c r="G72" i="32"/>
  <c r="O72" i="32"/>
  <c r="Y72" i="32"/>
  <c r="Z72" i="32"/>
  <c r="AA72" i="32"/>
  <c r="AD72" i="32"/>
  <c r="G73" i="32"/>
  <c r="J73" i="32"/>
  <c r="O73" i="32"/>
  <c r="Z73" i="32"/>
  <c r="AD73" i="32"/>
  <c r="J74" i="32"/>
  <c r="Z74" i="32"/>
  <c r="AA74" i="32"/>
  <c r="AB74" i="32"/>
  <c r="O75" i="32"/>
  <c r="Y75" i="32"/>
  <c r="AA75" i="32"/>
  <c r="AB75" i="32"/>
  <c r="AD75" i="32"/>
  <c r="G76" i="32"/>
  <c r="O76" i="32"/>
  <c r="Y76" i="32"/>
  <c r="Z76" i="32"/>
  <c r="AA76" i="32"/>
  <c r="AD76" i="32"/>
  <c r="G77" i="32"/>
  <c r="J77" i="32"/>
  <c r="O77" i="32"/>
  <c r="Z77" i="32"/>
  <c r="AD77" i="32"/>
  <c r="J78" i="32"/>
  <c r="Z78" i="32"/>
  <c r="AA78" i="32"/>
  <c r="AB78" i="32"/>
  <c r="O79" i="32"/>
  <c r="Y79" i="32"/>
  <c r="AA79" i="32"/>
  <c r="AB79" i="32"/>
  <c r="AD79" i="32"/>
  <c r="G80" i="32"/>
  <c r="O80" i="32"/>
  <c r="Y80" i="32"/>
  <c r="Z80" i="32"/>
  <c r="AA80" i="32"/>
  <c r="AD80" i="32"/>
  <c r="G81" i="32"/>
  <c r="J81" i="32"/>
  <c r="O81" i="32"/>
  <c r="Z81" i="32"/>
  <c r="AD81" i="32"/>
  <c r="J82" i="32"/>
  <c r="Z82" i="32"/>
  <c r="AA82" i="32"/>
  <c r="AB82" i="32"/>
  <c r="O83" i="32"/>
  <c r="Y83" i="32"/>
  <c r="AA83" i="32"/>
  <c r="AB83" i="32"/>
  <c r="AD83" i="32"/>
  <c r="G84" i="32"/>
  <c r="O84" i="32"/>
  <c r="Y84" i="32"/>
  <c r="Z84" i="32"/>
  <c r="AA84" i="32"/>
  <c r="AD84" i="32"/>
  <c r="G85" i="32"/>
  <c r="J85" i="32"/>
  <c r="O85" i="32"/>
  <c r="Z85" i="32"/>
  <c r="AD85" i="32"/>
  <c r="J86" i="32"/>
  <c r="Z86" i="32"/>
  <c r="AA86" i="32"/>
  <c r="AB86" i="32"/>
  <c r="O87" i="32"/>
  <c r="Y87" i="32"/>
  <c r="AA87" i="32"/>
  <c r="AB87" i="32"/>
  <c r="AD87" i="32"/>
  <c r="G88" i="32"/>
  <c r="O88" i="32"/>
  <c r="Y88" i="32"/>
  <c r="Z88" i="32"/>
  <c r="AA88" i="32"/>
  <c r="AD88" i="32"/>
  <c r="G89" i="32"/>
  <c r="J89" i="32"/>
  <c r="O89" i="32"/>
  <c r="Z89" i="32"/>
  <c r="AD89" i="32"/>
  <c r="J90" i="32"/>
  <c r="Z90" i="32"/>
  <c r="AA90" i="32"/>
  <c r="AB90" i="32"/>
  <c r="O91" i="32"/>
  <c r="Y91" i="32"/>
  <c r="AA91" i="32"/>
  <c r="AB91" i="32"/>
  <c r="AD91" i="32"/>
  <c r="G92" i="32"/>
  <c r="O92" i="32"/>
  <c r="Y92" i="32"/>
  <c r="Z92" i="32"/>
  <c r="AA92" i="32"/>
  <c r="AD92" i="32"/>
  <c r="G93" i="32"/>
  <c r="J93" i="32"/>
  <c r="O93" i="32"/>
  <c r="Z93" i="32"/>
  <c r="AD93" i="32"/>
  <c r="J94" i="32"/>
  <c r="Z94" i="32"/>
  <c r="AA94" i="32"/>
  <c r="AB94" i="32"/>
  <c r="O95" i="32"/>
  <c r="Y95" i="32"/>
  <c r="AA95" i="32"/>
  <c r="AB95" i="32"/>
  <c r="AD95" i="32"/>
  <c r="G96" i="32"/>
  <c r="O96" i="32"/>
  <c r="Y96" i="32"/>
  <c r="Z96" i="32"/>
  <c r="AA96" i="32"/>
  <c r="AD96" i="32"/>
  <c r="G97" i="32"/>
  <c r="J97" i="32"/>
  <c r="O97" i="32"/>
  <c r="Z97" i="32"/>
  <c r="AD97" i="32"/>
  <c r="J98" i="32"/>
  <c r="Z98" i="32"/>
  <c r="AA98" i="32"/>
  <c r="AB98" i="32"/>
  <c r="O99" i="32"/>
  <c r="Y99" i="32"/>
  <c r="AA99" i="32"/>
  <c r="AB99" i="32"/>
  <c r="AD99" i="32"/>
  <c r="G100" i="32"/>
  <c r="O100" i="32"/>
  <c r="Y100" i="32"/>
  <c r="Z100" i="32"/>
  <c r="AD100" i="32"/>
  <c r="G101" i="32"/>
  <c r="J101" i="32"/>
  <c r="Z101" i="32"/>
  <c r="O102" i="32"/>
  <c r="Y102" i="32"/>
  <c r="AA102" i="32"/>
  <c r="AB102" i="32"/>
  <c r="AD102" i="32"/>
  <c r="G103" i="32"/>
  <c r="O103" i="32"/>
  <c r="Y103" i="32"/>
  <c r="Z103" i="32"/>
  <c r="AD103" i="32"/>
  <c r="G104" i="32"/>
  <c r="J104" i="32"/>
  <c r="Z104" i="32"/>
  <c r="J105" i="32"/>
  <c r="AA105" i="32"/>
  <c r="AB105" i="32"/>
  <c r="O106" i="32"/>
  <c r="Y106" i="32"/>
  <c r="AA106" i="32"/>
  <c r="AB106" i="32"/>
  <c r="AD106" i="32"/>
  <c r="G107" i="32"/>
  <c r="O107" i="32"/>
  <c r="Y107" i="32"/>
  <c r="Z107" i="32"/>
  <c r="AD107" i="32"/>
  <c r="G108" i="32"/>
  <c r="J108" i="32"/>
  <c r="Z108" i="32"/>
  <c r="J109" i="32"/>
  <c r="AA109" i="32"/>
  <c r="AB109" i="32"/>
  <c r="O110" i="32"/>
  <c r="Y110" i="32"/>
  <c r="AA110" i="32"/>
  <c r="AB110" i="32"/>
  <c r="AD110" i="32"/>
  <c r="G111" i="32"/>
  <c r="O111" i="32"/>
  <c r="Y111" i="32"/>
  <c r="Z111" i="32"/>
  <c r="AD111" i="32"/>
  <c r="G112" i="32"/>
  <c r="J112" i="32"/>
  <c r="Z112" i="32"/>
  <c r="J113" i="32"/>
  <c r="AA113" i="32"/>
  <c r="AB113" i="32"/>
  <c r="J114" i="32"/>
  <c r="AA114" i="32"/>
  <c r="AB114" i="32"/>
  <c r="O115" i="32"/>
  <c r="Y115" i="32"/>
  <c r="AA115" i="32"/>
  <c r="AB115" i="32"/>
  <c r="AD115" i="32"/>
  <c r="G116" i="32"/>
  <c r="O116" i="32"/>
  <c r="Y116" i="32"/>
  <c r="Z116" i="32"/>
  <c r="AD116" i="32"/>
  <c r="G117" i="32"/>
  <c r="J117" i="32"/>
  <c r="Z117" i="32"/>
  <c r="J118" i="32"/>
  <c r="AA118" i="32"/>
  <c r="AB118" i="32"/>
  <c r="O119" i="32"/>
  <c r="Y119" i="32"/>
  <c r="AA119" i="32"/>
  <c r="AB119" i="32"/>
  <c r="AD119" i="32"/>
  <c r="G120" i="32"/>
  <c r="O120" i="32"/>
  <c r="Y120" i="32"/>
  <c r="Z120" i="32"/>
  <c r="AD120" i="32"/>
  <c r="G121" i="32"/>
  <c r="J121" i="32"/>
  <c r="Z121" i="32"/>
  <c r="G122" i="32"/>
  <c r="J122" i="32"/>
  <c r="Z122" i="32"/>
  <c r="AA122" i="32"/>
  <c r="AB122" i="32"/>
  <c r="J123" i="32"/>
  <c r="O123" i="32"/>
  <c r="Y123" i="32"/>
  <c r="AA123" i="32"/>
  <c r="AB123" i="32"/>
  <c r="AD123" i="32"/>
  <c r="G124" i="32"/>
  <c r="O124" i="32"/>
  <c r="Y124" i="32"/>
  <c r="Z124" i="32"/>
  <c r="AA124" i="32"/>
  <c r="AB124" i="32"/>
  <c r="AD124" i="32"/>
  <c r="G125" i="32"/>
  <c r="J125" i="32"/>
  <c r="O125" i="32"/>
  <c r="Y125" i="32"/>
  <c r="Z125" i="32"/>
  <c r="AD125" i="32"/>
  <c r="J126" i="32"/>
  <c r="AA126" i="32"/>
  <c r="AB126" i="32"/>
  <c r="G127" i="32"/>
  <c r="O127" i="32"/>
  <c r="Y127" i="32"/>
  <c r="Z127" i="32"/>
  <c r="AD127" i="32"/>
  <c r="J128" i="32"/>
  <c r="Z128" i="32"/>
  <c r="G129" i="32"/>
  <c r="J129" i="32"/>
  <c r="O129" i="32"/>
  <c r="Y129" i="32"/>
  <c r="Z129" i="32"/>
  <c r="AA129" i="32"/>
  <c r="AB129" i="32"/>
  <c r="AD129" i="32"/>
  <c r="J130" i="32"/>
  <c r="AA130" i="32"/>
  <c r="AB130" i="32"/>
  <c r="G131" i="32"/>
  <c r="J131" i="32"/>
  <c r="O131" i="32"/>
  <c r="Y131" i="32"/>
  <c r="Z131" i="32"/>
  <c r="AA131" i="32"/>
  <c r="AB131" i="32"/>
  <c r="AD131" i="32"/>
  <c r="G132" i="32"/>
  <c r="O132" i="32"/>
  <c r="Y132" i="32"/>
  <c r="Z132" i="32"/>
  <c r="AD132" i="32"/>
  <c r="J133" i="32"/>
  <c r="AA133" i="32"/>
  <c r="AB133" i="32"/>
  <c r="O134" i="32"/>
  <c r="Y134" i="32"/>
  <c r="AA134" i="32"/>
  <c r="AB134" i="32"/>
  <c r="AD134" i="32"/>
  <c r="J135" i="32"/>
  <c r="O135" i="32"/>
  <c r="Y135" i="32"/>
  <c r="AA135" i="32"/>
  <c r="AB135" i="32"/>
  <c r="AD135" i="32"/>
  <c r="G136" i="32"/>
  <c r="O136" i="32"/>
  <c r="Y136" i="32"/>
  <c r="Z136" i="32"/>
  <c r="AA136" i="32"/>
  <c r="AB136" i="32"/>
  <c r="AD136" i="32"/>
  <c r="G137" i="32"/>
  <c r="J137" i="32"/>
  <c r="O137" i="32"/>
  <c r="Y137" i="32"/>
  <c r="Z137" i="32"/>
  <c r="AD137" i="32"/>
  <c r="G138" i="32"/>
  <c r="J138" i="32"/>
  <c r="Z138" i="32"/>
  <c r="AA138" i="32"/>
  <c r="AB138" i="32"/>
  <c r="J139" i="32"/>
  <c r="O139" i="32"/>
  <c r="Y139" i="32"/>
  <c r="AA139" i="32"/>
  <c r="AB139" i="32"/>
  <c r="AD139" i="32"/>
  <c r="G140" i="32"/>
  <c r="O140" i="32"/>
  <c r="Y140" i="32"/>
  <c r="Z140" i="32"/>
  <c r="AA140" i="32"/>
  <c r="AB140" i="32"/>
  <c r="AD140" i="32"/>
  <c r="G141" i="32"/>
  <c r="J141" i="32"/>
  <c r="O141" i="32"/>
  <c r="Y141" i="32"/>
  <c r="Z141" i="32"/>
  <c r="AD141" i="32"/>
  <c r="G142" i="32"/>
  <c r="J142" i="32"/>
  <c r="Z142" i="32"/>
  <c r="AA142" i="32"/>
  <c r="AB142" i="32"/>
  <c r="O143" i="32"/>
  <c r="Y143" i="32"/>
  <c r="Z143" i="32"/>
  <c r="AB143" i="32"/>
  <c r="AD143" i="32"/>
  <c r="G144" i="32"/>
  <c r="Y144" i="32"/>
  <c r="Z144" i="32"/>
  <c r="G145" i="32"/>
  <c r="J145" i="32"/>
  <c r="O145" i="32"/>
  <c r="AA145" i="32"/>
  <c r="AB145" i="32"/>
  <c r="AD145" i="32"/>
  <c r="O146" i="32"/>
  <c r="Y146" i="32"/>
  <c r="Z146" i="32"/>
  <c r="AA146" i="32"/>
  <c r="AB146" i="32"/>
  <c r="AD146" i="32"/>
  <c r="G147" i="32"/>
  <c r="O147" i="32"/>
  <c r="Y147" i="32"/>
  <c r="Z147" i="32"/>
  <c r="AD147" i="32"/>
  <c r="G148" i="32"/>
  <c r="J148" i="32"/>
  <c r="Z148" i="32"/>
  <c r="AA148" i="32"/>
  <c r="G149" i="32"/>
  <c r="J149" i="32"/>
  <c r="AA149" i="32"/>
  <c r="AB149" i="32"/>
  <c r="M8" i="16"/>
  <c r="M9" i="16"/>
  <c r="M10" i="16"/>
  <c r="M12" i="16"/>
  <c r="M13" i="16"/>
  <c r="M14" i="16"/>
  <c r="M15" i="16"/>
  <c r="M16" i="16"/>
  <c r="M17" i="16"/>
  <c r="M18" i="16"/>
  <c r="M19" i="16"/>
  <c r="M20" i="16"/>
  <c r="M21" i="16"/>
  <c r="M22" i="16"/>
  <c r="M23" i="16"/>
  <c r="M24" i="16"/>
  <c r="M25" i="16"/>
  <c r="M26" i="16"/>
  <c r="M27" i="16"/>
  <c r="M28" i="16"/>
  <c r="M29" i="16"/>
  <c r="M30" i="16"/>
  <c r="M31" i="16"/>
  <c r="M32" i="16"/>
  <c r="M33" i="16"/>
  <c r="M34" i="16"/>
  <c r="M35" i="16"/>
  <c r="M36" i="16"/>
  <c r="M37" i="16"/>
  <c r="M38" i="16"/>
  <c r="M39" i="16"/>
  <c r="M40" i="16"/>
  <c r="M41" i="16"/>
  <c r="M42" i="16"/>
  <c r="M43" i="16"/>
  <c r="M44" i="16"/>
  <c r="M45" i="16"/>
  <c r="M46" i="16"/>
  <c r="M47" i="16"/>
  <c r="M48" i="16"/>
  <c r="M49" i="16"/>
  <c r="M50" i="16"/>
  <c r="M51" i="16"/>
  <c r="M52" i="16"/>
  <c r="M53" i="16"/>
  <c r="M54" i="16"/>
  <c r="M55" i="16"/>
  <c r="M56" i="16"/>
  <c r="M57" i="16"/>
  <c r="M58" i="16"/>
  <c r="M59" i="16"/>
  <c r="M60" i="16"/>
  <c r="M61" i="16"/>
  <c r="M62" i="16"/>
  <c r="M63" i="16"/>
  <c r="M64" i="16"/>
  <c r="M65" i="16"/>
  <c r="M66" i="16"/>
  <c r="M67" i="16"/>
  <c r="M68" i="16"/>
  <c r="M69" i="16"/>
  <c r="M70" i="16"/>
  <c r="M71" i="16"/>
  <c r="M72" i="16"/>
  <c r="M73" i="16"/>
  <c r="M74" i="16"/>
  <c r="M75" i="16"/>
  <c r="M76" i="16"/>
  <c r="M77" i="16"/>
  <c r="M78" i="16"/>
  <c r="M79" i="16"/>
  <c r="M80" i="16"/>
  <c r="M81" i="16"/>
  <c r="M82" i="16"/>
  <c r="M83" i="16"/>
  <c r="M84" i="16"/>
  <c r="M85" i="16"/>
  <c r="M86" i="16"/>
  <c r="M87" i="16"/>
  <c r="M88" i="16"/>
  <c r="M89" i="16"/>
  <c r="M90" i="16"/>
  <c r="M91" i="16"/>
  <c r="M92" i="16"/>
  <c r="M93" i="16"/>
  <c r="M94" i="16"/>
  <c r="M95" i="16"/>
  <c r="M96" i="16"/>
  <c r="M97" i="16"/>
  <c r="M98" i="16"/>
  <c r="M99" i="16"/>
  <c r="M100" i="16"/>
  <c r="M101" i="16"/>
  <c r="M102" i="16"/>
  <c r="M103" i="16"/>
  <c r="M104" i="16"/>
  <c r="M105" i="16"/>
  <c r="M106" i="16"/>
  <c r="M107" i="16"/>
  <c r="M108" i="16"/>
  <c r="M109" i="16"/>
  <c r="M110" i="16"/>
  <c r="M111" i="16"/>
  <c r="M112" i="16"/>
  <c r="M113" i="16"/>
  <c r="M114" i="16"/>
  <c r="M115" i="16"/>
  <c r="M116" i="16"/>
  <c r="M117" i="16"/>
  <c r="M118" i="16"/>
  <c r="M119" i="16"/>
  <c r="M120" i="16"/>
  <c r="M121" i="16"/>
  <c r="M122" i="16"/>
  <c r="M123" i="16"/>
  <c r="M124" i="16"/>
  <c r="M125" i="16"/>
  <c r="M126" i="16"/>
  <c r="M127" i="16"/>
  <c r="M128" i="16"/>
  <c r="M129" i="16"/>
  <c r="M130" i="16"/>
  <c r="M131" i="16"/>
  <c r="M132" i="16"/>
  <c r="M133" i="16"/>
  <c r="M134" i="16"/>
  <c r="M135" i="16"/>
  <c r="M136" i="16"/>
  <c r="M137" i="16"/>
  <c r="M138" i="16"/>
  <c r="M139" i="16"/>
  <c r="M140" i="16"/>
  <c r="M141" i="16"/>
  <c r="M142" i="16"/>
  <c r="M143" i="16"/>
  <c r="M144" i="16"/>
  <c r="M145" i="16"/>
  <c r="M146" i="16"/>
  <c r="M147" i="16"/>
  <c r="M148" i="16"/>
  <c r="M149" i="16"/>
  <c r="M150" i="16"/>
  <c r="M151" i="16"/>
  <c r="M152" i="16"/>
  <c r="M153" i="16"/>
  <c r="M154" i="16"/>
  <c r="M155" i="16"/>
  <c r="M156" i="16"/>
  <c r="M157" i="16"/>
  <c r="M158" i="16"/>
  <c r="M159" i="16"/>
  <c r="M160" i="16"/>
  <c r="M7" i="16"/>
  <c r="P7" i="17"/>
  <c r="P8" i="17"/>
  <c r="P9" i="17"/>
  <c r="P10" i="17"/>
  <c r="P11" i="17"/>
  <c r="P12" i="17"/>
  <c r="P13" i="17"/>
  <c r="P14" i="17"/>
  <c r="P15" i="17"/>
  <c r="P16" i="17"/>
  <c r="P17" i="17"/>
  <c r="P18" i="17"/>
  <c r="P19" i="17"/>
  <c r="P20" i="17"/>
  <c r="P21" i="17"/>
  <c r="P22" i="17"/>
  <c r="P23" i="17"/>
  <c r="P24" i="17"/>
  <c r="P25" i="17"/>
  <c r="P26" i="17"/>
  <c r="P27" i="17"/>
  <c r="P28" i="17"/>
  <c r="P29" i="17"/>
  <c r="P30" i="17"/>
  <c r="P31" i="17"/>
  <c r="P32" i="17"/>
  <c r="P33" i="17"/>
  <c r="P34" i="17"/>
  <c r="P35" i="17"/>
  <c r="P36" i="17"/>
  <c r="P37" i="17"/>
  <c r="P38" i="17"/>
  <c r="P39" i="17"/>
  <c r="P40" i="17"/>
  <c r="P41" i="17"/>
  <c r="P42" i="17"/>
  <c r="P43" i="17"/>
  <c r="P44" i="17"/>
  <c r="P45" i="17"/>
  <c r="P46" i="17"/>
  <c r="P47" i="17"/>
  <c r="P48" i="17"/>
  <c r="P49" i="17"/>
  <c r="P50" i="17"/>
  <c r="P51" i="17"/>
  <c r="P52" i="17"/>
  <c r="P53" i="17"/>
  <c r="P54" i="17"/>
  <c r="P55" i="17"/>
  <c r="P56" i="17"/>
  <c r="P57" i="17"/>
  <c r="P58" i="17"/>
  <c r="P59" i="17"/>
  <c r="P60" i="17"/>
  <c r="P61" i="17"/>
  <c r="P62" i="17"/>
  <c r="P63" i="17"/>
  <c r="P64" i="17"/>
  <c r="P65" i="17"/>
  <c r="P66" i="17"/>
  <c r="P67" i="17"/>
  <c r="P68" i="17"/>
  <c r="P69" i="17"/>
  <c r="P70" i="17"/>
  <c r="P71" i="17"/>
  <c r="P72" i="17"/>
  <c r="P73" i="17"/>
  <c r="P74" i="17"/>
  <c r="P75" i="17"/>
  <c r="P76" i="17"/>
  <c r="P77" i="17"/>
  <c r="P78" i="17"/>
  <c r="P79" i="17"/>
  <c r="P80" i="17"/>
  <c r="P81" i="17"/>
  <c r="P82" i="17"/>
  <c r="P83" i="17"/>
  <c r="P84" i="17"/>
  <c r="P85" i="17"/>
  <c r="P86" i="17"/>
  <c r="P87" i="17"/>
  <c r="P88" i="17"/>
  <c r="P89" i="17"/>
  <c r="P90" i="17"/>
  <c r="P91" i="17"/>
  <c r="P92" i="17"/>
  <c r="P93" i="17"/>
  <c r="P94" i="17"/>
  <c r="P95" i="17"/>
  <c r="P96" i="17"/>
  <c r="P97" i="17"/>
  <c r="P98" i="17"/>
  <c r="P99" i="17"/>
  <c r="P100" i="17"/>
  <c r="P101" i="17"/>
  <c r="P102" i="17"/>
  <c r="P103" i="17"/>
  <c r="P104" i="17"/>
  <c r="P105" i="17"/>
  <c r="P106" i="17"/>
  <c r="P107" i="17"/>
  <c r="P108" i="17"/>
  <c r="P109" i="17"/>
  <c r="P110" i="17"/>
  <c r="P111" i="17"/>
  <c r="P112" i="17"/>
  <c r="P113" i="17"/>
  <c r="P114" i="17"/>
  <c r="P115" i="17"/>
  <c r="P116" i="17"/>
  <c r="P117" i="17"/>
  <c r="P118" i="17"/>
  <c r="P119" i="17"/>
  <c r="P120" i="17"/>
  <c r="P121" i="17"/>
  <c r="P122" i="17"/>
  <c r="P123" i="17"/>
  <c r="P124" i="17"/>
  <c r="P125" i="17"/>
  <c r="P126" i="17"/>
  <c r="P127" i="17"/>
  <c r="P128" i="17"/>
  <c r="P129" i="17"/>
  <c r="P130" i="17"/>
  <c r="P131" i="17"/>
  <c r="P132" i="17"/>
  <c r="P133" i="17"/>
  <c r="P134" i="17"/>
  <c r="P135" i="17"/>
  <c r="P136" i="17"/>
  <c r="P137" i="17"/>
  <c r="P138" i="17"/>
  <c r="P139" i="17"/>
  <c r="P140" i="17"/>
  <c r="P141" i="17"/>
  <c r="P142" i="17"/>
  <c r="P143" i="17"/>
  <c r="P144" i="17"/>
  <c r="P145" i="17"/>
  <c r="P146" i="17"/>
  <c r="P147" i="17"/>
  <c r="P148" i="17"/>
  <c r="P149" i="17"/>
  <c r="P150" i="17"/>
  <c r="P151" i="17"/>
  <c r="P152" i="17"/>
  <c r="P153" i="17"/>
  <c r="P154" i="17"/>
  <c r="P155" i="17"/>
  <c r="P156" i="17"/>
  <c r="P157" i="17"/>
  <c r="P158" i="17"/>
  <c r="P159" i="17"/>
  <c r="P160" i="17"/>
  <c r="P6" i="17"/>
  <c r="G128" i="32"/>
  <c r="G28" i="32"/>
  <c r="J41" i="32"/>
  <c r="AB38" i="32"/>
  <c r="Y35" i="32"/>
  <c r="Y31" i="32"/>
  <c r="AA46" i="32"/>
  <c r="AA38" i="32"/>
  <c r="Z36" i="32"/>
  <c r="O31" i="32"/>
  <c r="AB147" i="32"/>
  <c r="J134" i="32"/>
  <c r="AB111" i="32"/>
  <c r="G109" i="32"/>
  <c r="AB103" i="32"/>
  <c r="Y40" i="32"/>
  <c r="G37" i="32"/>
  <c r="AB35" i="32"/>
  <c r="Y28" i="32"/>
  <c r="Z149" i="32"/>
  <c r="O144" i="32"/>
  <c r="O112" i="32"/>
  <c r="Z109" i="32"/>
  <c r="O104" i="32"/>
  <c r="Z49" i="32"/>
  <c r="AA47" i="32"/>
  <c r="Z41" i="32"/>
  <c r="AD40" i="32"/>
  <c r="O40" i="32"/>
  <c r="AA39" i="32"/>
  <c r="Z37" i="32"/>
  <c r="AD36" i="32"/>
  <c r="O36" i="32"/>
  <c r="AA35" i="32"/>
  <c r="Z33" i="32"/>
  <c r="AD32" i="32"/>
  <c r="O32" i="32"/>
  <c r="AA31" i="32"/>
  <c r="Z29" i="32"/>
  <c r="AD28" i="32"/>
  <c r="O28" i="32"/>
  <c r="Y149" i="32"/>
  <c r="AB148" i="32"/>
  <c r="J147" i="32"/>
  <c r="G146" i="32"/>
  <c r="Y145" i="32"/>
  <c r="AB144" i="32"/>
  <c r="J143" i="32"/>
  <c r="G134" i="32"/>
  <c r="Y133" i="32"/>
  <c r="AB132" i="32"/>
  <c r="G130" i="32"/>
  <c r="AB128" i="32"/>
  <c r="J127" i="32"/>
  <c r="G126" i="32"/>
  <c r="Y121" i="32"/>
  <c r="AB120" i="32"/>
  <c r="J119" i="32"/>
  <c r="G118" i="32"/>
  <c r="Y117" i="32"/>
  <c r="AB116" i="32"/>
  <c r="J115" i="32"/>
  <c r="G114" i="32"/>
  <c r="Y113" i="32"/>
  <c r="AB112" i="32"/>
  <c r="J111" i="32"/>
  <c r="G110" i="32"/>
  <c r="Y109" i="32"/>
  <c r="AB108" i="32"/>
  <c r="J107" i="32"/>
  <c r="G40" i="32"/>
  <c r="AB30" i="32"/>
  <c r="O47" i="32"/>
  <c r="O39" i="32"/>
  <c r="AD35" i="32"/>
  <c r="AA30" i="32"/>
  <c r="AB107" i="32"/>
  <c r="Y104" i="32"/>
  <c r="AB47" i="32"/>
  <c r="G41" i="32"/>
  <c r="Y32" i="32"/>
  <c r="G29" i="32"/>
  <c r="O148" i="32"/>
  <c r="AA143" i="32"/>
  <c r="AA127" i="32"/>
  <c r="AD112" i="32"/>
  <c r="AA107" i="32"/>
  <c r="Z134" i="32"/>
  <c r="AD133" i="32"/>
  <c r="AA132" i="32"/>
  <c r="Z130" i="32"/>
  <c r="AA128" i="32"/>
  <c r="Z126" i="32"/>
  <c r="AD121" i="32"/>
  <c r="O121" i="32"/>
  <c r="AA120" i="32"/>
  <c r="Z118" i="32"/>
  <c r="AD117" i="32"/>
  <c r="O117" i="32"/>
  <c r="AA116" i="32"/>
  <c r="Z114" i="32"/>
  <c r="AD113" i="32"/>
  <c r="O113" i="32"/>
  <c r="AA112" i="32"/>
  <c r="Z110" i="32"/>
  <c r="AD109" i="32"/>
  <c r="O109" i="32"/>
  <c r="AA108" i="32"/>
  <c r="Z106" i="32"/>
  <c r="AD105" i="32"/>
  <c r="O105" i="32"/>
  <c r="AA104" i="32"/>
  <c r="Z102" i="32"/>
  <c r="AD101" i="32"/>
  <c r="O101" i="32"/>
  <c r="AA100" i="32"/>
  <c r="Y39" i="32"/>
  <c r="G36" i="32"/>
  <c r="AB34" i="32"/>
  <c r="G32" i="32"/>
  <c r="AD47" i="32"/>
  <c r="Z40" i="32"/>
  <c r="AA34" i="32"/>
  <c r="Z32" i="32"/>
  <c r="J146" i="32"/>
  <c r="G133" i="32"/>
  <c r="Y128" i="32"/>
  <c r="G113" i="32"/>
  <c r="Y108" i="32"/>
  <c r="J106" i="32"/>
  <c r="J102" i="32"/>
  <c r="AB39" i="32"/>
  <c r="Y36" i="32"/>
  <c r="G33" i="32"/>
  <c r="AB31" i="32"/>
  <c r="AA147" i="32"/>
  <c r="Z145" i="32"/>
  <c r="Z133" i="32"/>
  <c r="O128" i="32"/>
  <c r="Z113" i="32"/>
  <c r="O108" i="32"/>
  <c r="Z105" i="32"/>
  <c r="AA103" i="32"/>
  <c r="O149" i="32"/>
  <c r="O133" i="32"/>
  <c r="J144" i="32"/>
  <c r="Y142" i="32"/>
  <c r="G139" i="32"/>
  <c r="AB137" i="32"/>
  <c r="Y126" i="32"/>
  <c r="G123" i="32"/>
  <c r="AB121" i="32"/>
  <c r="J120" i="32"/>
  <c r="Y118" i="32"/>
  <c r="G115" i="32"/>
  <c r="Y114" i="32"/>
  <c r="AB101" i="32"/>
  <c r="J100" i="32"/>
  <c r="G99" i="32"/>
  <c r="Y98" i="32"/>
  <c r="AB97" i="32"/>
  <c r="J96" i="32"/>
  <c r="G95" i="32"/>
  <c r="Y94" i="32"/>
  <c r="AB93" i="32"/>
  <c r="J92" i="32"/>
  <c r="G91" i="32"/>
  <c r="Y90" i="32"/>
  <c r="AB89" i="32"/>
  <c r="J88" i="32"/>
  <c r="G87" i="32"/>
  <c r="Y86" i="32"/>
  <c r="AB85" i="32"/>
  <c r="J84" i="32"/>
  <c r="G83" i="32"/>
  <c r="Y82" i="32"/>
  <c r="Y47" i="32"/>
  <c r="J37" i="32"/>
  <c r="J33" i="32"/>
  <c r="J29" i="32"/>
  <c r="AD39" i="32"/>
  <c r="O35" i="32"/>
  <c r="AD31" i="32"/>
  <c r="Z28" i="32"/>
  <c r="Y148" i="32"/>
  <c r="AB127" i="32"/>
  <c r="Y112" i="32"/>
  <c r="J110" i="32"/>
  <c r="G105" i="32"/>
  <c r="G49" i="32"/>
  <c r="J46" i="32"/>
  <c r="J38" i="32"/>
  <c r="J34" i="32"/>
  <c r="J30" i="32"/>
  <c r="AD148" i="32"/>
  <c r="AD144" i="32"/>
  <c r="AD128" i="32"/>
  <c r="AA111" i="32"/>
  <c r="AD108" i="32"/>
  <c r="AD104" i="32"/>
  <c r="AD149" i="32"/>
  <c r="AA144" i="32"/>
  <c r="G143" i="32"/>
  <c r="AB141" i="32"/>
  <c r="J140" i="32"/>
  <c r="Y138" i="32"/>
  <c r="J136" i="32"/>
  <c r="G135" i="32"/>
  <c r="J132" i="32"/>
  <c r="Y130" i="32"/>
  <c r="AB125" i="32"/>
  <c r="J124" i="32"/>
  <c r="Y122" i="32"/>
  <c r="G119" i="32"/>
  <c r="AB117" i="32"/>
  <c r="J116" i="32"/>
  <c r="AD142" i="32"/>
  <c r="O142" i="32"/>
  <c r="AA141" i="32"/>
  <c r="Z139" i="32"/>
  <c r="AD138" i="32"/>
  <c r="O138" i="32"/>
  <c r="AA137" i="32"/>
  <c r="Z135" i="32"/>
  <c r="AD130" i="32"/>
  <c r="O130" i="32"/>
  <c r="AD126" i="32"/>
  <c r="O126" i="32"/>
  <c r="AA125" i="32"/>
  <c r="Z123" i="32"/>
  <c r="AD122" i="32"/>
  <c r="O122" i="32"/>
  <c r="AA121" i="32"/>
  <c r="Z119" i="32"/>
  <c r="AD118" i="32"/>
  <c r="O118" i="32"/>
  <c r="AA117" i="32"/>
  <c r="Z115" i="32"/>
  <c r="AD114" i="32"/>
  <c r="O114" i="32"/>
  <c r="G106" i="32"/>
  <c r="Y105" i="32"/>
  <c r="AB104" i="32"/>
  <c r="J103" i="32"/>
  <c r="G102" i="32"/>
  <c r="Y101" i="32"/>
  <c r="AB100" i="32"/>
  <c r="J99" i="32"/>
  <c r="G98" i="32"/>
  <c r="Y97" i="32"/>
  <c r="AB96" i="32"/>
  <c r="J95" i="32"/>
  <c r="G94" i="32"/>
  <c r="Y93" i="32"/>
  <c r="AB92" i="32"/>
  <c r="J91" i="32"/>
  <c r="G90" i="32"/>
  <c r="Y89" i="32"/>
  <c r="AB88" i="32"/>
  <c r="J87" i="32"/>
  <c r="G86" i="32"/>
  <c r="Y85" i="32"/>
  <c r="AB84" i="32"/>
  <c r="J83" i="32"/>
  <c r="G82" i="32"/>
  <c r="Y81" i="32"/>
  <c r="AB80" i="32"/>
  <c r="J79" i="32"/>
  <c r="G78" i="32"/>
  <c r="Y77" i="32"/>
  <c r="AB76" i="32"/>
  <c r="J75" i="32"/>
  <c r="G74" i="32"/>
  <c r="Y73" i="32"/>
  <c r="AB72" i="32"/>
  <c r="J71" i="32"/>
  <c r="G70" i="32"/>
  <c r="Y69" i="32"/>
  <c r="AB68" i="32"/>
  <c r="J67" i="32"/>
  <c r="G66" i="32"/>
  <c r="Y65" i="32"/>
  <c r="AB64" i="32"/>
  <c r="J63" i="32"/>
  <c r="G62" i="32"/>
  <c r="Y61" i="32"/>
  <c r="AB60" i="32"/>
  <c r="J59" i="32"/>
  <c r="G58" i="32"/>
  <c r="Y57" i="32"/>
  <c r="AB56" i="32"/>
  <c r="J55" i="32"/>
  <c r="G54" i="32"/>
  <c r="Y53" i="32"/>
  <c r="AB52" i="32"/>
  <c r="G50" i="32"/>
  <c r="J47" i="32"/>
  <c r="G46" i="32"/>
  <c r="Y41" i="32"/>
  <c r="AB40" i="32"/>
  <c r="J39" i="32"/>
  <c r="G38" i="32"/>
  <c r="Y37" i="32"/>
  <c r="AB36" i="32"/>
  <c r="J35" i="32"/>
  <c r="G34" i="32"/>
  <c r="Y33" i="32"/>
  <c r="AB32" i="32"/>
  <c r="J31" i="32"/>
  <c r="G30" i="32"/>
  <c r="Y29" i="32"/>
  <c r="AB28" i="32"/>
  <c r="Z26" i="32"/>
  <c r="AD25" i="32"/>
  <c r="O25" i="32"/>
  <c r="AA24" i="32"/>
  <c r="Z22" i="32"/>
  <c r="AD21" i="32"/>
  <c r="O21" i="32"/>
  <c r="AA20" i="32"/>
  <c r="Z18" i="32"/>
  <c r="AD17" i="32"/>
  <c r="O17" i="32"/>
  <c r="AA16" i="32"/>
  <c r="Z14" i="32"/>
  <c r="Z70" i="32"/>
  <c r="AD69" i="32"/>
  <c r="O69" i="32"/>
  <c r="AA68" i="32"/>
  <c r="Z66" i="32"/>
  <c r="AD65" i="32"/>
  <c r="O65" i="32"/>
  <c r="AA64" i="32"/>
  <c r="Z62" i="32"/>
  <c r="AD61" i="32"/>
  <c r="O61" i="32"/>
  <c r="AA60" i="32"/>
  <c r="Z58" i="32"/>
  <c r="AD57" i="32"/>
  <c r="O57" i="32"/>
  <c r="AA56" i="32"/>
  <c r="Z54" i="32"/>
  <c r="AD53" i="32"/>
  <c r="O53" i="32"/>
  <c r="AA52" i="32"/>
  <c r="Z50" i="32"/>
  <c r="AD49" i="32"/>
  <c r="O49" i="32"/>
  <c r="Z46" i="32"/>
  <c r="AD41" i="32"/>
  <c r="O41" i="32"/>
  <c r="AA40" i="32"/>
  <c r="Z38" i="32"/>
  <c r="AD37" i="32"/>
  <c r="O37" i="32"/>
  <c r="AA36" i="32"/>
  <c r="Z34" i="32"/>
  <c r="AD33" i="32"/>
  <c r="O33" i="32"/>
  <c r="AA32" i="32"/>
  <c r="Z30" i="32"/>
  <c r="AD29" i="32"/>
  <c r="O29" i="32"/>
  <c r="AA28" i="32"/>
  <c r="G27" i="32"/>
  <c r="Y26" i="32"/>
  <c r="AB25" i="32"/>
  <c r="J24" i="32"/>
  <c r="G23" i="32"/>
  <c r="Y22" i="32"/>
  <c r="AB21" i="32"/>
  <c r="J20" i="32"/>
  <c r="G19" i="32"/>
  <c r="Y18" i="32"/>
  <c r="AB17" i="32"/>
  <c r="J16" i="32"/>
  <c r="G15" i="32"/>
  <c r="Y14" i="32"/>
  <c r="AB81" i="32"/>
  <c r="J80" i="32"/>
  <c r="G79" i="32"/>
  <c r="Y78" i="32"/>
  <c r="AB77" i="32"/>
  <c r="J76" i="32"/>
  <c r="G75" i="32"/>
  <c r="Y74" i="32"/>
  <c r="AB73" i="32"/>
  <c r="J72" i="32"/>
  <c r="G71" i="32"/>
  <c r="Y70" i="32"/>
  <c r="AB69" i="32"/>
  <c r="J68" i="32"/>
  <c r="G67" i="32"/>
  <c r="Y66" i="32"/>
  <c r="AB65" i="32"/>
  <c r="J64" i="32"/>
  <c r="G63" i="32"/>
  <c r="Y62" i="32"/>
  <c r="AB61" i="32"/>
  <c r="J60" i="32"/>
  <c r="G59" i="32"/>
  <c r="Y58" i="32"/>
  <c r="AB57" i="32"/>
  <c r="J56" i="32"/>
  <c r="G55" i="32"/>
  <c r="Y54" i="32"/>
  <c r="AB53" i="32"/>
  <c r="J52" i="32"/>
  <c r="G51" i="32"/>
  <c r="Y50" i="32"/>
  <c r="AB49" i="32"/>
  <c r="G47" i="32"/>
  <c r="Y46" i="32"/>
  <c r="AB41" i="32"/>
  <c r="J40" i="32"/>
  <c r="G39" i="32"/>
  <c r="Y38" i="32"/>
  <c r="AB37" i="32"/>
  <c r="J36" i="32"/>
  <c r="G35" i="32"/>
  <c r="Y34" i="32"/>
  <c r="AB33" i="32"/>
  <c r="J32" i="32"/>
  <c r="G31" i="32"/>
  <c r="Y30" i="32"/>
  <c r="AB29" i="32"/>
  <c r="J28" i="32"/>
  <c r="Z27" i="32"/>
  <c r="AD26" i="32"/>
  <c r="O26" i="32"/>
  <c r="AA25" i="32"/>
  <c r="Z23" i="32"/>
  <c r="AD22" i="32"/>
  <c r="O22" i="32"/>
  <c r="AA21" i="32"/>
  <c r="Z19" i="32"/>
  <c r="AD18" i="32"/>
  <c r="O18" i="32"/>
  <c r="AA17" i="32"/>
  <c r="Z15" i="32"/>
  <c r="AD14" i="32"/>
  <c r="O14" i="32"/>
  <c r="AA101" i="32"/>
  <c r="Z99" i="32"/>
  <c r="AD98" i="32"/>
  <c r="O98" i="32"/>
  <c r="AA97" i="32"/>
  <c r="Z95" i="32"/>
  <c r="AD94" i="32"/>
  <c r="O94" i="32"/>
  <c r="AA93" i="32"/>
  <c r="Z91" i="32"/>
  <c r="AD90" i="32"/>
  <c r="O90" i="32"/>
  <c r="AA89" i="32"/>
  <c r="Z87" i="32"/>
  <c r="AD86" i="32"/>
  <c r="O86" i="32"/>
  <c r="AA85" i="32"/>
  <c r="Z83" i="32"/>
  <c r="AD82" i="32"/>
  <c r="O82" i="32"/>
  <c r="AA81" i="32"/>
  <c r="Z79" i="32"/>
  <c r="AD78" i="32"/>
  <c r="O78" i="32"/>
  <c r="AA77" i="32"/>
  <c r="Z75" i="32"/>
  <c r="AD74" i="32"/>
  <c r="O74" i="32"/>
  <c r="AA73" i="32"/>
  <c r="Z71" i="32"/>
  <c r="AD70" i="32"/>
  <c r="O70" i="32"/>
  <c r="AA69" i="32"/>
  <c r="Z67" i="32"/>
  <c r="AD66" i="32"/>
  <c r="O66" i="32"/>
  <c r="AA65" i="32"/>
  <c r="Z63" i="32"/>
  <c r="AD62" i="32"/>
  <c r="O62" i="32"/>
  <c r="AA61" i="32"/>
  <c r="Z59" i="32"/>
  <c r="AD58" i="32"/>
  <c r="O58" i="32"/>
  <c r="AA57" i="32"/>
  <c r="Z55" i="32"/>
  <c r="AD54" i="32"/>
  <c r="O54" i="32"/>
  <c r="AA53" i="32"/>
  <c r="Z51" i="32"/>
  <c r="AD50" i="32"/>
  <c r="O50" i="32"/>
  <c r="AA49" i="32"/>
  <c r="Z47" i="32"/>
  <c r="AD46" i="32"/>
  <c r="O46" i="32"/>
  <c r="AA41" i="32"/>
  <c r="Z39" i="32"/>
  <c r="AD38" i="32"/>
  <c r="O38" i="32"/>
  <c r="AA37" i="32"/>
  <c r="Z35" i="32"/>
  <c r="AD34" i="32"/>
  <c r="O34" i="32"/>
  <c r="AA33" i="32"/>
  <c r="Z31" i="32"/>
  <c r="AD30" i="32"/>
  <c r="O30" i="32"/>
  <c r="AA29" i="32"/>
  <c r="Y27" i="32"/>
  <c r="AB26" i="32"/>
  <c r="J25" i="32"/>
  <c r="G24" i="32"/>
  <c r="Y23" i="32"/>
  <c r="AB22" i="32"/>
  <c r="J21" i="32"/>
  <c r="Y19" i="32"/>
  <c r="AB18" i="32"/>
  <c r="J17" i="32"/>
  <c r="G16" i="32"/>
  <c r="Y15" i="32"/>
  <c r="AB14" i="32"/>
  <c r="G20" i="32"/>
  <c r="G14" i="32"/>
  <c r="H10" i="32"/>
  <c r="I10" i="32"/>
  <c r="AA10" i="32"/>
  <c r="Z10" i="32"/>
  <c r="AB164" i="32"/>
  <c r="P164" i="32"/>
  <c r="Q164" i="32"/>
  <c r="R164" i="32"/>
  <c r="M164" i="32"/>
  <c r="N164" i="32"/>
  <c r="G164" i="32"/>
  <c r="V163" i="32"/>
  <c r="AC163" i="32"/>
  <c r="Y163" i="32"/>
  <c r="J163" i="32"/>
  <c r="AB162" i="32"/>
  <c r="P162" i="32"/>
  <c r="Q162" i="32"/>
  <c r="R162" i="32"/>
  <c r="M162" i="32"/>
  <c r="N162" i="32"/>
  <c r="G162" i="32"/>
  <c r="V161" i="32"/>
  <c r="AC161" i="32"/>
  <c r="Y161" i="32"/>
  <c r="J161" i="32"/>
  <c r="AB160" i="32"/>
  <c r="P160" i="32"/>
  <c r="Q160" i="32"/>
  <c r="R160" i="32"/>
  <c r="M160" i="32"/>
  <c r="N160" i="32"/>
  <c r="G160" i="32"/>
  <c r="V159" i="32"/>
  <c r="AC159" i="32"/>
  <c r="Y159" i="32"/>
  <c r="J159" i="32"/>
  <c r="AB158" i="32"/>
  <c r="P158" i="32"/>
  <c r="Q158" i="32"/>
  <c r="R158" i="32"/>
  <c r="M158" i="32"/>
  <c r="N158" i="32"/>
  <c r="G158" i="32"/>
  <c r="V157" i="32"/>
  <c r="AC157" i="32"/>
  <c r="Y157" i="32"/>
  <c r="J157" i="32"/>
  <c r="AB156" i="32"/>
  <c r="P156" i="32"/>
  <c r="Q156" i="32"/>
  <c r="R156" i="32"/>
  <c r="M156" i="32"/>
  <c r="N156" i="32"/>
  <c r="G156" i="32"/>
  <c r="V155" i="32"/>
  <c r="AC155" i="32"/>
  <c r="Y155" i="32"/>
  <c r="J155" i="32"/>
  <c r="AB154" i="32"/>
  <c r="P154" i="32"/>
  <c r="Q154" i="32"/>
  <c r="R154" i="32"/>
  <c r="M154" i="32"/>
  <c r="N154" i="32"/>
  <c r="G154" i="32"/>
  <c r="V153" i="32"/>
  <c r="AC153" i="32"/>
  <c r="Y153" i="32"/>
  <c r="J153" i="32"/>
  <c r="AB152" i="32"/>
  <c r="P152" i="32"/>
  <c r="Q152" i="32"/>
  <c r="R152" i="32"/>
  <c r="M152" i="32"/>
  <c r="N152" i="32"/>
  <c r="G152" i="32"/>
  <c r="V151" i="32"/>
  <c r="AC151" i="32"/>
  <c r="Y151" i="32"/>
  <c r="J151" i="32"/>
  <c r="AB150" i="32"/>
  <c r="P150" i="32"/>
  <c r="Q150" i="32"/>
  <c r="R150" i="32"/>
  <c r="M150" i="32"/>
  <c r="N150" i="32"/>
  <c r="G150" i="32"/>
  <c r="V149" i="32"/>
  <c r="AC149" i="32"/>
  <c r="P148" i="32"/>
  <c r="Q148" i="32"/>
  <c r="R148" i="32"/>
  <c r="M148" i="32"/>
  <c r="N148" i="32"/>
  <c r="V147" i="32"/>
  <c r="AC147" i="32"/>
  <c r="P146" i="32"/>
  <c r="Q146" i="32"/>
  <c r="R146" i="32"/>
  <c r="M146" i="32"/>
  <c r="N146" i="32"/>
  <c r="V145" i="32"/>
  <c r="AC145" i="32"/>
  <c r="P144" i="32"/>
  <c r="Q144" i="32"/>
  <c r="R144" i="32"/>
  <c r="M144" i="32"/>
  <c r="N144" i="32"/>
  <c r="V143" i="32"/>
  <c r="AC143" i="32"/>
  <c r="P142" i="32"/>
  <c r="Q142" i="32"/>
  <c r="R142" i="32"/>
  <c r="M142" i="32"/>
  <c r="N142" i="32"/>
  <c r="V141" i="32"/>
  <c r="AC141" i="32"/>
  <c r="P140" i="32"/>
  <c r="Q140" i="32"/>
  <c r="R140" i="32"/>
  <c r="M140" i="32"/>
  <c r="N140" i="32"/>
  <c r="V139" i="32"/>
  <c r="AC139" i="32"/>
  <c r="P138" i="32"/>
  <c r="Q138" i="32"/>
  <c r="R138" i="32"/>
  <c r="M138" i="32"/>
  <c r="N138" i="32"/>
  <c r="V137" i="32"/>
  <c r="AC137" i="32"/>
  <c r="P136" i="32"/>
  <c r="Q136" i="32"/>
  <c r="R136" i="32"/>
  <c r="M136" i="32"/>
  <c r="N136" i="32"/>
  <c r="V135" i="32"/>
  <c r="AC135" i="32"/>
  <c r="P134" i="32"/>
  <c r="Q134" i="32"/>
  <c r="R134" i="32"/>
  <c r="M134" i="32"/>
  <c r="N134" i="32"/>
  <c r="V133" i="32"/>
  <c r="AC133" i="32"/>
  <c r="Q132" i="32"/>
  <c r="R132" i="32"/>
  <c r="P132" i="32"/>
  <c r="M132" i="32"/>
  <c r="N132" i="32"/>
  <c r="AC131" i="32"/>
  <c r="V131" i="32"/>
  <c r="Q130" i="32"/>
  <c r="R130" i="32"/>
  <c r="P130" i="32"/>
  <c r="M130" i="32"/>
  <c r="N130" i="32"/>
  <c r="AC129" i="32"/>
  <c r="V129" i="32"/>
  <c r="Q128" i="32"/>
  <c r="R128" i="32"/>
  <c r="P128" i="32"/>
  <c r="M128" i="32"/>
  <c r="N128" i="32"/>
  <c r="AC127" i="32"/>
  <c r="V127" i="32"/>
  <c r="Q126" i="32"/>
  <c r="R126" i="32"/>
  <c r="P126" i="32"/>
  <c r="M126" i="32"/>
  <c r="N126" i="32"/>
  <c r="AC125" i="32"/>
  <c r="V125" i="32"/>
  <c r="Q124" i="32"/>
  <c r="R124" i="32"/>
  <c r="P124" i="32"/>
  <c r="M124" i="32"/>
  <c r="N124" i="32"/>
  <c r="AC123" i="32"/>
  <c r="V123" i="32"/>
  <c r="Q122" i="32"/>
  <c r="R122" i="32"/>
  <c r="P122" i="32"/>
  <c r="M122" i="32"/>
  <c r="N122" i="32"/>
  <c r="AC121" i="32"/>
  <c r="V121" i="32"/>
  <c r="Q120" i="32"/>
  <c r="R120" i="32"/>
  <c r="P120" i="32"/>
  <c r="M120" i="32"/>
  <c r="N120" i="32"/>
  <c r="AC119" i="32"/>
  <c r="V119" i="32"/>
  <c r="Q118" i="32"/>
  <c r="R118" i="32"/>
  <c r="P118" i="32"/>
  <c r="M118" i="32"/>
  <c r="N118" i="32"/>
  <c r="AC117" i="32"/>
  <c r="V117" i="32"/>
  <c r="Q116" i="32"/>
  <c r="R116" i="32"/>
  <c r="P116" i="32"/>
  <c r="M116" i="32"/>
  <c r="N116" i="32"/>
  <c r="AC115" i="32"/>
  <c r="V115" i="32"/>
  <c r="Q114" i="32"/>
  <c r="R114" i="32"/>
  <c r="P114" i="32"/>
  <c r="M114" i="32"/>
  <c r="N114" i="32"/>
  <c r="AC113" i="32"/>
  <c r="V113" i="32"/>
  <c r="Q112" i="32"/>
  <c r="R112" i="32"/>
  <c r="P112" i="32"/>
  <c r="M112" i="32"/>
  <c r="N112" i="32"/>
  <c r="AC111" i="32"/>
  <c r="V111" i="32"/>
  <c r="Q110" i="32"/>
  <c r="R110" i="32"/>
  <c r="P110" i="32"/>
  <c r="M110" i="32"/>
  <c r="N110" i="32"/>
  <c r="AC109" i="32"/>
  <c r="V109" i="32"/>
  <c r="Q108" i="32"/>
  <c r="R108" i="32"/>
  <c r="P108" i="32"/>
  <c r="M108" i="32"/>
  <c r="N108" i="32"/>
  <c r="AC107" i="32"/>
  <c r="V107" i="32"/>
  <c r="Q106" i="32"/>
  <c r="R106" i="32"/>
  <c r="P106" i="32"/>
  <c r="M106" i="32"/>
  <c r="N106" i="32"/>
  <c r="AC105" i="32"/>
  <c r="V105" i="32"/>
  <c r="P104" i="32"/>
  <c r="Q104" i="32"/>
  <c r="R104" i="32"/>
  <c r="M104" i="32"/>
  <c r="N104" i="32"/>
  <c r="V103" i="32"/>
  <c r="AC103" i="32"/>
  <c r="R102" i="32"/>
  <c r="P102" i="32"/>
  <c r="Q102" i="32"/>
  <c r="N102" i="32"/>
  <c r="M102" i="32"/>
  <c r="V101" i="32"/>
  <c r="AC101" i="32"/>
  <c r="R100" i="32"/>
  <c r="P100" i="32"/>
  <c r="Q100" i="32"/>
  <c r="N100" i="32"/>
  <c r="M100" i="32"/>
  <c r="V99" i="32"/>
  <c r="AC99" i="32"/>
  <c r="R98" i="32"/>
  <c r="P98" i="32"/>
  <c r="Q98" i="32"/>
  <c r="N98" i="32"/>
  <c r="M98" i="32"/>
  <c r="V97" i="32"/>
  <c r="AC97" i="32"/>
  <c r="R96" i="32"/>
  <c r="P96" i="32"/>
  <c r="Q96" i="32"/>
  <c r="N96" i="32"/>
  <c r="M96" i="32"/>
  <c r="V95" i="32"/>
  <c r="AC95" i="32"/>
  <c r="R94" i="32"/>
  <c r="P94" i="32"/>
  <c r="Q94" i="32"/>
  <c r="N94" i="32"/>
  <c r="M94" i="32"/>
  <c r="V93" i="32"/>
  <c r="AC93" i="32"/>
  <c r="R92" i="32"/>
  <c r="P92" i="32"/>
  <c r="Q92" i="32"/>
  <c r="N92" i="32"/>
  <c r="M92" i="32"/>
  <c r="V91" i="32"/>
  <c r="AC91" i="32"/>
  <c r="R90" i="32"/>
  <c r="P90" i="32"/>
  <c r="Q90" i="32"/>
  <c r="N90" i="32"/>
  <c r="M90" i="32"/>
  <c r="V89" i="32"/>
  <c r="AC89" i="32"/>
  <c r="R88" i="32"/>
  <c r="P88" i="32"/>
  <c r="Q88" i="32"/>
  <c r="N88" i="32"/>
  <c r="M88" i="32"/>
  <c r="V87" i="32"/>
  <c r="AC87" i="32"/>
  <c r="R86" i="32"/>
  <c r="P86" i="32"/>
  <c r="Q86" i="32"/>
  <c r="N86" i="32"/>
  <c r="M86" i="32"/>
  <c r="V85" i="32"/>
  <c r="AC85" i="32"/>
  <c r="R84" i="32"/>
  <c r="P84" i="32"/>
  <c r="Q84" i="32"/>
  <c r="N84" i="32"/>
  <c r="M84" i="32"/>
  <c r="V83" i="32"/>
  <c r="AC83" i="32"/>
  <c r="R82" i="32"/>
  <c r="P82" i="32"/>
  <c r="Q82" i="32"/>
  <c r="N82" i="32"/>
  <c r="M82" i="32"/>
  <c r="V81" i="32"/>
  <c r="AC81" i="32"/>
  <c r="R80" i="32"/>
  <c r="P80" i="32"/>
  <c r="Q80" i="32"/>
  <c r="N80" i="32"/>
  <c r="M80" i="32"/>
  <c r="V79" i="32"/>
  <c r="AC79" i="32"/>
  <c r="R78" i="32"/>
  <c r="P78" i="32"/>
  <c r="Q78" i="32"/>
  <c r="N78" i="32"/>
  <c r="M78" i="32"/>
  <c r="V77" i="32"/>
  <c r="AC77" i="32"/>
  <c r="R76" i="32"/>
  <c r="P76" i="32"/>
  <c r="Q76" i="32"/>
  <c r="N76" i="32"/>
  <c r="M76" i="32"/>
  <c r="V75" i="32"/>
  <c r="AC75" i="32"/>
  <c r="P74" i="32"/>
  <c r="Q74" i="32"/>
  <c r="R74" i="32"/>
  <c r="M74" i="32"/>
  <c r="N74" i="32"/>
  <c r="V73" i="32"/>
  <c r="AC73" i="32"/>
  <c r="P72" i="32"/>
  <c r="Q72" i="32"/>
  <c r="R72" i="32"/>
  <c r="M72" i="32"/>
  <c r="N72" i="32"/>
  <c r="V71" i="32"/>
  <c r="AC71" i="32"/>
  <c r="P70" i="32"/>
  <c r="Q70" i="32"/>
  <c r="R70" i="32"/>
  <c r="M70" i="32"/>
  <c r="N70" i="32"/>
  <c r="V69" i="32"/>
  <c r="AC69" i="32"/>
  <c r="P68" i="32"/>
  <c r="Q68" i="32"/>
  <c r="R68" i="32"/>
  <c r="M68" i="32"/>
  <c r="N68" i="32"/>
  <c r="V67" i="32"/>
  <c r="AC67" i="32"/>
  <c r="P66" i="32"/>
  <c r="Q66" i="32"/>
  <c r="R66" i="32"/>
  <c r="M66" i="32"/>
  <c r="N66" i="32"/>
  <c r="V65" i="32"/>
  <c r="AC65" i="32"/>
  <c r="P64" i="32"/>
  <c r="Q64" i="32"/>
  <c r="R64" i="32"/>
  <c r="M64" i="32"/>
  <c r="N64" i="32"/>
  <c r="V63" i="32"/>
  <c r="AC63" i="32"/>
  <c r="P62" i="32"/>
  <c r="Q62" i="32"/>
  <c r="R62" i="32"/>
  <c r="M62" i="32"/>
  <c r="N62" i="32"/>
  <c r="V61" i="32"/>
  <c r="AC61" i="32"/>
  <c r="P60" i="32"/>
  <c r="Q60" i="32"/>
  <c r="R60" i="32"/>
  <c r="M60" i="32"/>
  <c r="N60" i="32"/>
  <c r="V59" i="32"/>
  <c r="AC59" i="32"/>
  <c r="P58" i="32"/>
  <c r="Q58" i="32"/>
  <c r="R58" i="32"/>
  <c r="M58" i="32"/>
  <c r="N58" i="32"/>
  <c r="V57" i="32"/>
  <c r="AC57" i="32"/>
  <c r="P56" i="32"/>
  <c r="Q56" i="32"/>
  <c r="R56" i="32"/>
  <c r="M56" i="32"/>
  <c r="N56" i="32"/>
  <c r="V55" i="32"/>
  <c r="AC55" i="32"/>
  <c r="P54" i="32"/>
  <c r="Q54" i="32"/>
  <c r="R54" i="32"/>
  <c r="M54" i="32"/>
  <c r="N54" i="32"/>
  <c r="V53" i="32"/>
  <c r="AC53" i="32"/>
  <c r="P52" i="32"/>
  <c r="Q52" i="32"/>
  <c r="R52" i="32"/>
  <c r="M52" i="32"/>
  <c r="N52" i="32"/>
  <c r="V51" i="32"/>
  <c r="AC51" i="32"/>
  <c r="Y51" i="32"/>
  <c r="J51" i="32"/>
  <c r="P50" i="32"/>
  <c r="Q50" i="32"/>
  <c r="R50" i="32"/>
  <c r="M50" i="32"/>
  <c r="N50" i="32"/>
  <c r="V49" i="32"/>
  <c r="AC49" i="32"/>
  <c r="Y49" i="32"/>
  <c r="J49" i="32"/>
  <c r="AB48" i="32"/>
  <c r="P48" i="32"/>
  <c r="Q48" i="32"/>
  <c r="R48" i="32"/>
  <c r="M48" i="32"/>
  <c r="N48" i="32"/>
  <c r="G48" i="32"/>
  <c r="V47" i="32"/>
  <c r="AC47" i="32"/>
  <c r="AB46" i="32"/>
  <c r="P46" i="32"/>
  <c r="Q46" i="32"/>
  <c r="R46" i="32"/>
  <c r="M46" i="32"/>
  <c r="N46" i="32"/>
  <c r="V45" i="32"/>
  <c r="AC45" i="32"/>
  <c r="Y45" i="32"/>
  <c r="J45" i="32"/>
  <c r="AB44" i="32"/>
  <c r="P44" i="32"/>
  <c r="Q44" i="32"/>
  <c r="R44" i="32"/>
  <c r="M44" i="32"/>
  <c r="N44" i="32"/>
  <c r="G44" i="32"/>
  <c r="V43" i="32"/>
  <c r="AC43" i="32"/>
  <c r="Y43" i="32"/>
  <c r="J43" i="32"/>
  <c r="AB42" i="32"/>
  <c r="R42" i="32"/>
  <c r="P42" i="32"/>
  <c r="Q42" i="32"/>
  <c r="N42" i="32"/>
  <c r="M42" i="32"/>
  <c r="G42" i="32"/>
  <c r="V41" i="32"/>
  <c r="AC41" i="32"/>
  <c r="R40" i="32"/>
  <c r="P40" i="32"/>
  <c r="Q40" i="32"/>
  <c r="N40" i="32"/>
  <c r="M40" i="32"/>
  <c r="V39" i="32"/>
  <c r="AC39" i="32"/>
  <c r="R38" i="32"/>
  <c r="P38" i="32"/>
  <c r="Q38" i="32"/>
  <c r="N38" i="32"/>
  <c r="M38" i="32"/>
  <c r="V37" i="32"/>
  <c r="AC37" i="32"/>
  <c r="R36" i="32"/>
  <c r="P36" i="32"/>
  <c r="Q36" i="32"/>
  <c r="N36" i="32"/>
  <c r="M36" i="32"/>
  <c r="V35" i="32"/>
  <c r="AC35" i="32"/>
  <c r="R34" i="32"/>
  <c r="P34" i="32"/>
  <c r="Q34" i="32"/>
  <c r="N34" i="32"/>
  <c r="M34" i="32"/>
  <c r="V33" i="32"/>
  <c r="AC33" i="32"/>
  <c r="R32" i="32"/>
  <c r="P32" i="32"/>
  <c r="Q32" i="32"/>
  <c r="N32" i="32"/>
  <c r="M32" i="32"/>
  <c r="V31" i="32"/>
  <c r="AC31" i="32"/>
  <c r="R30" i="32"/>
  <c r="P30" i="32"/>
  <c r="Q30" i="32"/>
  <c r="N30" i="32"/>
  <c r="M30" i="32"/>
  <c r="V29" i="32"/>
  <c r="AC29" i="32"/>
  <c r="R28" i="32"/>
  <c r="P28" i="32"/>
  <c r="Q28" i="32"/>
  <c r="N28" i="32"/>
  <c r="M28" i="32"/>
  <c r="T27" i="32"/>
  <c r="U27" i="32"/>
  <c r="S27" i="32"/>
  <c r="H27" i="32"/>
  <c r="I27" i="32"/>
  <c r="L26" i="32"/>
  <c r="K26" i="32"/>
  <c r="S25" i="32"/>
  <c r="T25" i="32"/>
  <c r="U25" i="32"/>
  <c r="H25" i="32"/>
  <c r="I25" i="32"/>
  <c r="L24" i="32"/>
  <c r="K24" i="32"/>
  <c r="S23" i="32"/>
  <c r="T23" i="32"/>
  <c r="U23" i="32"/>
  <c r="H23" i="32"/>
  <c r="I23" i="32"/>
  <c r="L22" i="32"/>
  <c r="K22" i="32"/>
  <c r="S21" i="32"/>
  <c r="T21" i="32"/>
  <c r="U21" i="32"/>
  <c r="H21" i="32"/>
  <c r="I21" i="32"/>
  <c r="L20" i="32"/>
  <c r="K20" i="32"/>
  <c r="S19" i="32"/>
  <c r="T19" i="32"/>
  <c r="U19" i="32"/>
  <c r="H19" i="32"/>
  <c r="I19" i="32"/>
  <c r="L18" i="32"/>
  <c r="K18" i="32"/>
  <c r="S17" i="32"/>
  <c r="T17" i="32"/>
  <c r="U17" i="32"/>
  <c r="H17" i="32"/>
  <c r="I17" i="32"/>
  <c r="L16" i="32"/>
  <c r="K16" i="32"/>
  <c r="S15" i="32"/>
  <c r="T15" i="32"/>
  <c r="U15" i="32"/>
  <c r="H15" i="32"/>
  <c r="I15" i="32"/>
  <c r="L14" i="32"/>
  <c r="K14" i="32"/>
  <c r="AD13" i="32"/>
  <c r="S13" i="32"/>
  <c r="T13" i="32"/>
  <c r="U13" i="32"/>
  <c r="O13" i="32"/>
  <c r="H13" i="32"/>
  <c r="I13" i="32"/>
  <c r="AA12" i="32"/>
  <c r="Z12" i="32"/>
  <c r="K12" i="32"/>
  <c r="L12" i="32"/>
  <c r="AD11" i="32"/>
  <c r="U11" i="32"/>
  <c r="S11" i="32"/>
  <c r="T11" i="32"/>
  <c r="O11" i="32"/>
  <c r="I11" i="32"/>
  <c r="H11" i="32"/>
  <c r="G10" i="32"/>
  <c r="M10" i="32"/>
  <c r="N10" i="32"/>
  <c r="AC10" i="32"/>
  <c r="V10" i="32"/>
  <c r="Y10" i="32"/>
  <c r="AA164" i="32"/>
  <c r="Z164" i="32"/>
  <c r="S41" i="22"/>
  <c r="L164" i="32"/>
  <c r="K164" i="32"/>
  <c r="AD163" i="32"/>
  <c r="S163" i="32"/>
  <c r="T163" i="32"/>
  <c r="U163" i="32"/>
  <c r="O163" i="32"/>
  <c r="H163" i="32"/>
  <c r="I163" i="32"/>
  <c r="AA162" i="32"/>
  <c r="Z162" i="32"/>
  <c r="L162" i="32"/>
  <c r="K162" i="32"/>
  <c r="AD161" i="32"/>
  <c r="S161" i="32"/>
  <c r="T161" i="32"/>
  <c r="U161" i="32"/>
  <c r="O161" i="32"/>
  <c r="H161" i="32"/>
  <c r="I161" i="32"/>
  <c r="AA160" i="32"/>
  <c r="Z160" i="32"/>
  <c r="L160" i="32"/>
  <c r="K160" i="32"/>
  <c r="AD159" i="32"/>
  <c r="S159" i="32"/>
  <c r="T159" i="32"/>
  <c r="U159" i="32"/>
  <c r="O159" i="32"/>
  <c r="H159" i="32"/>
  <c r="I159" i="32"/>
  <c r="AA158" i="32"/>
  <c r="Z158" i="32"/>
  <c r="L158" i="32"/>
  <c r="K158" i="32"/>
  <c r="AD157" i="32"/>
  <c r="S157" i="32"/>
  <c r="T157" i="32"/>
  <c r="U157" i="32"/>
  <c r="O157" i="32"/>
  <c r="H157" i="32"/>
  <c r="I157" i="32"/>
  <c r="AA156" i="32"/>
  <c r="Z156" i="32"/>
  <c r="L156" i="32"/>
  <c r="K156" i="32"/>
  <c r="AD155" i="32"/>
  <c r="S155" i="32"/>
  <c r="T155" i="32"/>
  <c r="U155" i="32"/>
  <c r="O155" i="32"/>
  <c r="H155" i="32"/>
  <c r="I155" i="32"/>
  <c r="AA154" i="32"/>
  <c r="Z154" i="32"/>
  <c r="L154" i="32"/>
  <c r="K154" i="32"/>
  <c r="AD153" i="32"/>
  <c r="S153" i="32"/>
  <c r="T153" i="32"/>
  <c r="U153" i="32"/>
  <c r="O153" i="32"/>
  <c r="H153" i="32"/>
  <c r="I153" i="32"/>
  <c r="AA152" i="32"/>
  <c r="Z152" i="32"/>
  <c r="L152" i="32"/>
  <c r="K152" i="32"/>
  <c r="AD151" i="32"/>
  <c r="S151" i="32"/>
  <c r="T151" i="32"/>
  <c r="U151" i="32"/>
  <c r="O151" i="32"/>
  <c r="H151" i="32"/>
  <c r="I151" i="32"/>
  <c r="AA150" i="32"/>
  <c r="Z150" i="32"/>
  <c r="L150" i="32"/>
  <c r="K150" i="32"/>
  <c r="S149" i="32"/>
  <c r="T149" i="32"/>
  <c r="U149" i="32"/>
  <c r="H149" i="32"/>
  <c r="I149" i="32"/>
  <c r="L148" i="32"/>
  <c r="K148" i="32"/>
  <c r="S147" i="32"/>
  <c r="T147" i="32"/>
  <c r="U147" i="32"/>
  <c r="H147" i="32"/>
  <c r="I147" i="32"/>
  <c r="L146" i="32"/>
  <c r="K146" i="32"/>
  <c r="S145" i="32"/>
  <c r="T145" i="32"/>
  <c r="U145" i="32"/>
  <c r="H145" i="32"/>
  <c r="I145" i="32"/>
  <c r="L144" i="32"/>
  <c r="K144" i="32"/>
  <c r="S143" i="32"/>
  <c r="T143" i="32"/>
  <c r="U143" i="32"/>
  <c r="H143" i="32"/>
  <c r="I143" i="32"/>
  <c r="L142" i="32"/>
  <c r="K142" i="32"/>
  <c r="S141" i="32"/>
  <c r="T141" i="32"/>
  <c r="U141" i="32"/>
  <c r="H141" i="32"/>
  <c r="I141" i="32"/>
  <c r="L140" i="32"/>
  <c r="K140" i="32"/>
  <c r="S139" i="32"/>
  <c r="T139" i="32"/>
  <c r="U139" i="32"/>
  <c r="H139" i="32"/>
  <c r="I139" i="32"/>
  <c r="L138" i="32"/>
  <c r="K138" i="32"/>
  <c r="S137" i="32"/>
  <c r="T137" i="32"/>
  <c r="U137" i="32"/>
  <c r="H137" i="32"/>
  <c r="I137" i="32"/>
  <c r="L136" i="32"/>
  <c r="K136" i="32"/>
  <c r="U135" i="32"/>
  <c r="S135" i="32"/>
  <c r="T135" i="32"/>
  <c r="I135" i="32"/>
  <c r="H135" i="32"/>
  <c r="K134" i="32"/>
  <c r="L134" i="32"/>
  <c r="U133" i="32"/>
  <c r="S133" i="32"/>
  <c r="T133" i="32"/>
  <c r="H133" i="32"/>
  <c r="I133" i="32"/>
  <c r="K132" i="32"/>
  <c r="L132" i="32"/>
  <c r="S131" i="32"/>
  <c r="T131" i="32"/>
  <c r="U131" i="32"/>
  <c r="H131" i="32"/>
  <c r="I131" i="32"/>
  <c r="K130" i="32"/>
  <c r="L130" i="32"/>
  <c r="S129" i="32"/>
  <c r="T129" i="32"/>
  <c r="U129" i="32"/>
  <c r="H129" i="32"/>
  <c r="I129" i="32"/>
  <c r="K128" i="32"/>
  <c r="L128" i="32"/>
  <c r="S127" i="32"/>
  <c r="T127" i="32"/>
  <c r="U127" i="32"/>
  <c r="H127" i="32"/>
  <c r="I127" i="32"/>
  <c r="K126" i="32"/>
  <c r="L126" i="32"/>
  <c r="S125" i="32"/>
  <c r="T125" i="32"/>
  <c r="U125" i="32"/>
  <c r="H125" i="32"/>
  <c r="I125" i="32"/>
  <c r="K124" i="32"/>
  <c r="L124" i="32"/>
  <c r="S123" i="32"/>
  <c r="T123" i="32"/>
  <c r="U123" i="32"/>
  <c r="H123" i="32"/>
  <c r="I123" i="32"/>
  <c r="K122" i="32"/>
  <c r="L122" i="32"/>
  <c r="S121" i="32"/>
  <c r="T121" i="32"/>
  <c r="U121" i="32"/>
  <c r="H121" i="32"/>
  <c r="I121" i="32"/>
  <c r="K120" i="32"/>
  <c r="L120" i="32"/>
  <c r="S119" i="32"/>
  <c r="T119" i="32"/>
  <c r="U119" i="32"/>
  <c r="H119" i="32"/>
  <c r="I119" i="32"/>
  <c r="K118" i="32"/>
  <c r="L118" i="32"/>
  <c r="S117" i="32"/>
  <c r="T117" i="32"/>
  <c r="U117" i="32"/>
  <c r="H117" i="32"/>
  <c r="I117" i="32"/>
  <c r="K116" i="32"/>
  <c r="L116" i="32"/>
  <c r="S115" i="32"/>
  <c r="T115" i="32"/>
  <c r="U115" i="32"/>
  <c r="H115" i="32"/>
  <c r="I115" i="32"/>
  <c r="K114" i="32"/>
  <c r="L114" i="32"/>
  <c r="S113" i="32"/>
  <c r="T113" i="32"/>
  <c r="U113" i="32"/>
  <c r="H113" i="32"/>
  <c r="I113" i="32"/>
  <c r="K112" i="32"/>
  <c r="L112" i="32"/>
  <c r="S111" i="32"/>
  <c r="T111" i="32"/>
  <c r="U111" i="32"/>
  <c r="H111" i="32"/>
  <c r="I111" i="32"/>
  <c r="K110" i="32"/>
  <c r="L110" i="32"/>
  <c r="S109" i="32"/>
  <c r="T109" i="32"/>
  <c r="U109" i="32"/>
  <c r="H109" i="32"/>
  <c r="I109" i="32"/>
  <c r="K108" i="32"/>
  <c r="L108" i="32"/>
  <c r="S107" i="32"/>
  <c r="T107" i="32"/>
  <c r="U107" i="32"/>
  <c r="H107" i="32"/>
  <c r="I107" i="32"/>
  <c r="K106" i="32"/>
  <c r="L106" i="32"/>
  <c r="S105" i="32"/>
  <c r="T105" i="32"/>
  <c r="U105" i="32"/>
  <c r="H105" i="32"/>
  <c r="I105" i="32"/>
  <c r="L104" i="32"/>
  <c r="K104" i="32"/>
  <c r="T103" i="32"/>
  <c r="U103" i="32"/>
  <c r="S103" i="32"/>
  <c r="H103" i="32"/>
  <c r="I103" i="32"/>
  <c r="K102" i="32"/>
  <c r="L102" i="32"/>
  <c r="T101" i="32"/>
  <c r="U101" i="32"/>
  <c r="S101" i="32"/>
  <c r="H101" i="32"/>
  <c r="I101" i="32"/>
  <c r="K100" i="32"/>
  <c r="L100" i="32"/>
  <c r="T99" i="32"/>
  <c r="U99" i="32"/>
  <c r="S99" i="32"/>
  <c r="H99" i="32"/>
  <c r="I99" i="32"/>
  <c r="K98" i="32"/>
  <c r="L98" i="32"/>
  <c r="T97" i="32"/>
  <c r="U97" i="32"/>
  <c r="S97" i="32"/>
  <c r="H97" i="32"/>
  <c r="I97" i="32"/>
  <c r="K96" i="32"/>
  <c r="L96" i="32"/>
  <c r="T95" i="32"/>
  <c r="U95" i="32"/>
  <c r="S95" i="32"/>
  <c r="H95" i="32"/>
  <c r="I95" i="32"/>
  <c r="K94" i="32"/>
  <c r="L94" i="32"/>
  <c r="T93" i="32"/>
  <c r="U93" i="32"/>
  <c r="S93" i="32"/>
  <c r="H93" i="32"/>
  <c r="I93" i="32"/>
  <c r="K92" i="32"/>
  <c r="L92" i="32"/>
  <c r="T91" i="32"/>
  <c r="U91" i="32"/>
  <c r="S91" i="32"/>
  <c r="H91" i="32"/>
  <c r="I91" i="32"/>
  <c r="K90" i="32"/>
  <c r="L90" i="32"/>
  <c r="T89" i="32"/>
  <c r="U89" i="32"/>
  <c r="S89" i="32"/>
  <c r="H89" i="32"/>
  <c r="I89" i="32"/>
  <c r="K88" i="32"/>
  <c r="L88" i="32"/>
  <c r="T87" i="32"/>
  <c r="U87" i="32"/>
  <c r="S87" i="32"/>
  <c r="H87" i="32"/>
  <c r="I87" i="32"/>
  <c r="K86" i="32"/>
  <c r="L86" i="32"/>
  <c r="T85" i="32"/>
  <c r="U85" i="32"/>
  <c r="S85" i="32"/>
  <c r="H85" i="32"/>
  <c r="I85" i="32"/>
  <c r="K84" i="32"/>
  <c r="L84" i="32"/>
  <c r="T83" i="32"/>
  <c r="U83" i="32"/>
  <c r="S83" i="32"/>
  <c r="H83" i="32"/>
  <c r="I83" i="32"/>
  <c r="K82" i="32"/>
  <c r="L82" i="32"/>
  <c r="T81" i="32"/>
  <c r="U81" i="32"/>
  <c r="S81" i="32"/>
  <c r="H81" i="32"/>
  <c r="I81" i="32"/>
  <c r="K80" i="32"/>
  <c r="L80" i="32"/>
  <c r="T79" i="32"/>
  <c r="U79" i="32"/>
  <c r="S79" i="32"/>
  <c r="H79" i="32"/>
  <c r="I79" i="32"/>
  <c r="K78" i="32"/>
  <c r="L78" i="32"/>
  <c r="T77" i="32"/>
  <c r="U77" i="32"/>
  <c r="S77" i="32"/>
  <c r="H77" i="32"/>
  <c r="I77" i="32"/>
  <c r="K76" i="32"/>
  <c r="L76" i="32"/>
  <c r="T75" i="32"/>
  <c r="U75" i="32"/>
  <c r="S75" i="32"/>
  <c r="H75" i="32"/>
  <c r="I75" i="32"/>
  <c r="L74" i="32"/>
  <c r="K74" i="32"/>
  <c r="S73" i="32"/>
  <c r="T73" i="32"/>
  <c r="U73" i="32"/>
  <c r="H73" i="32"/>
  <c r="I73" i="32"/>
  <c r="L72" i="32"/>
  <c r="K72" i="32"/>
  <c r="S71" i="32"/>
  <c r="T71" i="32"/>
  <c r="U71" i="32"/>
  <c r="H71" i="32"/>
  <c r="I71" i="32"/>
  <c r="L70" i="32"/>
  <c r="K70" i="32"/>
  <c r="S69" i="32"/>
  <c r="T69" i="32"/>
  <c r="U69" i="32"/>
  <c r="H69" i="32"/>
  <c r="I69" i="32"/>
  <c r="L68" i="32"/>
  <c r="K68" i="32"/>
  <c r="S67" i="32"/>
  <c r="T67" i="32"/>
  <c r="U67" i="32"/>
  <c r="H67" i="32"/>
  <c r="I67" i="32"/>
  <c r="L66" i="32"/>
  <c r="K66" i="32"/>
  <c r="S65" i="32"/>
  <c r="T65" i="32"/>
  <c r="U65" i="32"/>
  <c r="H65" i="32"/>
  <c r="I65" i="32"/>
  <c r="L64" i="32"/>
  <c r="K64" i="32"/>
  <c r="S63" i="32"/>
  <c r="T63" i="32"/>
  <c r="U63" i="32"/>
  <c r="H63" i="32"/>
  <c r="I63" i="32"/>
  <c r="L62" i="32"/>
  <c r="K62" i="32"/>
  <c r="S61" i="32"/>
  <c r="T61" i="32"/>
  <c r="U61" i="32"/>
  <c r="H61" i="32"/>
  <c r="I61" i="32"/>
  <c r="L60" i="32"/>
  <c r="K60" i="32"/>
  <c r="S59" i="32"/>
  <c r="T59" i="32"/>
  <c r="U59" i="32"/>
  <c r="H59" i="32"/>
  <c r="I59" i="32"/>
  <c r="L58" i="32"/>
  <c r="K58" i="32"/>
  <c r="S57" i="32"/>
  <c r="T57" i="32"/>
  <c r="U57" i="32"/>
  <c r="H57" i="32"/>
  <c r="I57" i="32"/>
  <c r="L56" i="32"/>
  <c r="K56" i="32"/>
  <c r="S55" i="32"/>
  <c r="T55" i="32"/>
  <c r="U55" i="32"/>
  <c r="H55" i="32"/>
  <c r="I55" i="32"/>
  <c r="L54" i="32"/>
  <c r="K54" i="32"/>
  <c r="S53" i="32"/>
  <c r="T53" i="32"/>
  <c r="U53" i="32"/>
  <c r="H53" i="32"/>
  <c r="I53" i="32"/>
  <c r="L52" i="32"/>
  <c r="K52" i="32"/>
  <c r="S51" i="32"/>
  <c r="T51" i="32"/>
  <c r="U51" i="32"/>
  <c r="H51" i="32"/>
  <c r="I51" i="32"/>
  <c r="L50" i="32"/>
  <c r="K50" i="32"/>
  <c r="S49" i="32"/>
  <c r="T49" i="32"/>
  <c r="U49" i="32"/>
  <c r="H49" i="32"/>
  <c r="I49" i="32"/>
  <c r="AA48" i="32"/>
  <c r="Z48" i="32"/>
  <c r="L48" i="32"/>
  <c r="K48" i="32"/>
  <c r="S47" i="32"/>
  <c r="T47" i="32"/>
  <c r="U47" i="32"/>
  <c r="H47" i="32"/>
  <c r="I47" i="32"/>
  <c r="L46" i="32"/>
  <c r="K46" i="32"/>
  <c r="AD45" i="32"/>
  <c r="S45" i="32"/>
  <c r="T45" i="32"/>
  <c r="U45" i="32"/>
  <c r="O45" i="32"/>
  <c r="H45" i="32"/>
  <c r="I45" i="32"/>
  <c r="AA44" i="32"/>
  <c r="Z44" i="32"/>
  <c r="L44" i="32"/>
  <c r="K44" i="32"/>
  <c r="AD43" i="32"/>
  <c r="S43" i="32"/>
  <c r="T43" i="32"/>
  <c r="U43" i="32"/>
  <c r="O43" i="32"/>
  <c r="H43" i="32"/>
  <c r="I43" i="32"/>
  <c r="AA42" i="32"/>
  <c r="Z42" i="32"/>
  <c r="K42" i="32"/>
  <c r="L42" i="32"/>
  <c r="T41" i="32"/>
  <c r="U41" i="32"/>
  <c r="S41" i="32"/>
  <c r="H41" i="32"/>
  <c r="I41" i="32"/>
  <c r="K40" i="32"/>
  <c r="L40" i="32"/>
  <c r="T39" i="32"/>
  <c r="U39" i="32"/>
  <c r="S39" i="32"/>
  <c r="H39" i="32"/>
  <c r="I39" i="32"/>
  <c r="K38" i="32"/>
  <c r="L38" i="32"/>
  <c r="T37" i="32"/>
  <c r="U37" i="32"/>
  <c r="S37" i="32"/>
  <c r="H37" i="32"/>
  <c r="I37" i="32"/>
  <c r="K36" i="32"/>
  <c r="L36" i="32"/>
  <c r="T35" i="32"/>
  <c r="U35" i="32"/>
  <c r="S35" i="32"/>
  <c r="H35" i="32"/>
  <c r="I35" i="32"/>
  <c r="K34" i="32"/>
  <c r="L34" i="32"/>
  <c r="T33" i="32"/>
  <c r="U33" i="32"/>
  <c r="S33" i="32"/>
  <c r="H33" i="32"/>
  <c r="I33" i="32"/>
  <c r="K32" i="32"/>
  <c r="L32" i="32"/>
  <c r="T31" i="32"/>
  <c r="U31" i="32"/>
  <c r="S31" i="32"/>
  <c r="H31" i="32"/>
  <c r="I31" i="32"/>
  <c r="K30" i="32"/>
  <c r="L30" i="32"/>
  <c r="T29" i="32"/>
  <c r="U29" i="32"/>
  <c r="S29" i="32"/>
  <c r="H29" i="32"/>
  <c r="I29" i="32"/>
  <c r="K28" i="32"/>
  <c r="L28" i="32"/>
  <c r="P27" i="32"/>
  <c r="Q27" i="32"/>
  <c r="R27" i="32"/>
  <c r="M27" i="32"/>
  <c r="N27" i="32"/>
  <c r="V26" i="32"/>
  <c r="AC26" i="32"/>
  <c r="R25" i="32"/>
  <c r="P25" i="32"/>
  <c r="Q25" i="32"/>
  <c r="N25" i="32"/>
  <c r="M25" i="32"/>
  <c r="V24" i="32"/>
  <c r="AC24" i="32"/>
  <c r="R23" i="32"/>
  <c r="P23" i="32"/>
  <c r="Q23" i="32"/>
  <c r="N23" i="32"/>
  <c r="M23" i="32"/>
  <c r="V22" i="32"/>
  <c r="AC22" i="32"/>
  <c r="R21" i="32"/>
  <c r="P21" i="32"/>
  <c r="Q21" i="32"/>
  <c r="N21" i="32"/>
  <c r="M21" i="32"/>
  <c r="V20" i="32"/>
  <c r="AC20" i="32"/>
  <c r="R19" i="32"/>
  <c r="P19" i="32"/>
  <c r="Q19" i="32"/>
  <c r="N19" i="32"/>
  <c r="M19" i="32"/>
  <c r="V18" i="32"/>
  <c r="AC18" i="32"/>
  <c r="R17" i="32"/>
  <c r="P17" i="32"/>
  <c r="Q17" i="32"/>
  <c r="N17" i="32"/>
  <c r="M17" i="32"/>
  <c r="V16" i="32"/>
  <c r="AC16" i="32"/>
  <c r="R15" i="32"/>
  <c r="P15" i="32"/>
  <c r="Q15" i="32"/>
  <c r="N15" i="32"/>
  <c r="M15" i="32"/>
  <c r="V14" i="32"/>
  <c r="AC14" i="32"/>
  <c r="AB13" i="32"/>
  <c r="R13" i="32"/>
  <c r="P13" i="32"/>
  <c r="Q13" i="32"/>
  <c r="N13" i="32"/>
  <c r="M13" i="32"/>
  <c r="G13" i="32"/>
  <c r="AC12" i="32"/>
  <c r="V12" i="32"/>
  <c r="Y12" i="32"/>
  <c r="J12" i="32"/>
  <c r="AB11" i="32"/>
  <c r="Q11" i="32"/>
  <c r="R11" i="32"/>
  <c r="P11" i="32"/>
  <c r="M11" i="32"/>
  <c r="N11" i="32"/>
  <c r="G11" i="32"/>
  <c r="L10" i="32"/>
  <c r="K10" i="32"/>
  <c r="AD10" i="32"/>
  <c r="T10" i="32"/>
  <c r="S10" i="32"/>
  <c r="U10" i="32"/>
  <c r="O10" i="32"/>
  <c r="V164" i="32"/>
  <c r="AC164" i="32"/>
  <c r="Y164" i="32"/>
  <c r="J164" i="32"/>
  <c r="AB163" i="32"/>
  <c r="R163" i="32"/>
  <c r="P163" i="32"/>
  <c r="Q163" i="32"/>
  <c r="N163" i="32"/>
  <c r="M163" i="32"/>
  <c r="G163" i="32"/>
  <c r="V162" i="32"/>
  <c r="AC162" i="32"/>
  <c r="Y162" i="32"/>
  <c r="J162" i="32"/>
  <c r="AB161" i="32"/>
  <c r="R161" i="32"/>
  <c r="P161" i="32"/>
  <c r="Q161" i="32"/>
  <c r="N161" i="32"/>
  <c r="M161" i="32"/>
  <c r="G161" i="32"/>
  <c r="V160" i="32"/>
  <c r="AC160" i="32"/>
  <c r="Y160" i="32"/>
  <c r="J160" i="32"/>
  <c r="AB159" i="32"/>
  <c r="R159" i="32"/>
  <c r="P159" i="32"/>
  <c r="Q159" i="32"/>
  <c r="N159" i="32"/>
  <c r="M159" i="32"/>
  <c r="G159" i="32"/>
  <c r="V158" i="32"/>
  <c r="AC158" i="32"/>
  <c r="Y158" i="32"/>
  <c r="J158" i="32"/>
  <c r="AB157" i="32"/>
  <c r="R157" i="32"/>
  <c r="P157" i="32"/>
  <c r="Q157" i="32"/>
  <c r="N157" i="32"/>
  <c r="M157" i="32"/>
  <c r="G157" i="32"/>
  <c r="V156" i="32"/>
  <c r="AC156" i="32"/>
  <c r="Y156" i="32"/>
  <c r="J156" i="32"/>
  <c r="AB155" i="32"/>
  <c r="R155" i="32"/>
  <c r="P155" i="32"/>
  <c r="Q155" i="32"/>
  <c r="N155" i="32"/>
  <c r="M155" i="32"/>
  <c r="G155" i="32"/>
  <c r="V154" i="32"/>
  <c r="AC154" i="32"/>
  <c r="Y154" i="32"/>
  <c r="J154" i="32"/>
  <c r="AB153" i="32"/>
  <c r="R153" i="32"/>
  <c r="P153" i="32"/>
  <c r="Q153" i="32"/>
  <c r="N153" i="32"/>
  <c r="M153" i="32"/>
  <c r="G153" i="32"/>
  <c r="V152" i="32"/>
  <c r="AC152" i="32"/>
  <c r="Y152" i="32"/>
  <c r="J152" i="32"/>
  <c r="AB151" i="32"/>
  <c r="R151" i="32"/>
  <c r="P151" i="32"/>
  <c r="Q151" i="32"/>
  <c r="N151" i="32"/>
  <c r="M151" i="32"/>
  <c r="G151" i="32"/>
  <c r="V150" i="32"/>
  <c r="AC150" i="32"/>
  <c r="Y150" i="32"/>
  <c r="J150" i="32"/>
  <c r="R149" i="32"/>
  <c r="P149" i="32"/>
  <c r="Q149" i="32"/>
  <c r="N149" i="32"/>
  <c r="M149" i="32"/>
  <c r="V148" i="32"/>
  <c r="AC148" i="32"/>
  <c r="R147" i="32"/>
  <c r="P147" i="32"/>
  <c r="Q147" i="32"/>
  <c r="N147" i="32"/>
  <c r="M147" i="32"/>
  <c r="V146" i="32"/>
  <c r="AC146" i="32"/>
  <c r="R145" i="32"/>
  <c r="P145" i="32"/>
  <c r="Q145" i="32"/>
  <c r="N145" i="32"/>
  <c r="M145" i="32"/>
  <c r="V144" i="32"/>
  <c r="AC144" i="32"/>
  <c r="R143" i="32"/>
  <c r="P143" i="32"/>
  <c r="Q143" i="32"/>
  <c r="N143" i="32"/>
  <c r="M143" i="32"/>
  <c r="V142" i="32"/>
  <c r="AC142" i="32"/>
  <c r="R141" i="32"/>
  <c r="P141" i="32"/>
  <c r="Q141" i="32"/>
  <c r="N141" i="32"/>
  <c r="M141" i="32"/>
  <c r="V140" i="32"/>
  <c r="AC140" i="32"/>
  <c r="R139" i="32"/>
  <c r="P139" i="32"/>
  <c r="Q139" i="32"/>
  <c r="N139" i="32"/>
  <c r="M139" i="32"/>
  <c r="V138" i="32"/>
  <c r="AC138" i="32"/>
  <c r="R137" i="32"/>
  <c r="P137" i="32"/>
  <c r="Q137" i="32"/>
  <c r="N137" i="32"/>
  <c r="M137" i="32"/>
  <c r="V136" i="32"/>
  <c r="AC136" i="32"/>
  <c r="Q135" i="32"/>
  <c r="R135" i="32"/>
  <c r="P135" i="32"/>
  <c r="M135" i="32"/>
  <c r="N135" i="32"/>
  <c r="AC134" i="32"/>
  <c r="V134" i="32"/>
  <c r="Q133" i="32"/>
  <c r="R133" i="32"/>
  <c r="P133" i="32"/>
  <c r="M133" i="32"/>
  <c r="N133" i="32"/>
  <c r="V132" i="32"/>
  <c r="AC132" i="32"/>
  <c r="P131" i="32"/>
  <c r="Q131" i="32"/>
  <c r="R131" i="32"/>
  <c r="M131" i="32"/>
  <c r="N131" i="32"/>
  <c r="V130" i="32"/>
  <c r="AC130" i="32"/>
  <c r="P129" i="32"/>
  <c r="Q129" i="32"/>
  <c r="R129" i="32"/>
  <c r="M129" i="32"/>
  <c r="N129" i="32"/>
  <c r="V128" i="32"/>
  <c r="AC128" i="32"/>
  <c r="P127" i="32"/>
  <c r="Q127" i="32"/>
  <c r="R127" i="32"/>
  <c r="M127" i="32"/>
  <c r="N127" i="32"/>
  <c r="V126" i="32"/>
  <c r="AC126" i="32"/>
  <c r="P125" i="32"/>
  <c r="Q125" i="32"/>
  <c r="R125" i="32"/>
  <c r="M125" i="32"/>
  <c r="N125" i="32"/>
  <c r="V124" i="32"/>
  <c r="AC124" i="32"/>
  <c r="P123" i="32"/>
  <c r="Q123" i="32"/>
  <c r="R123" i="32"/>
  <c r="M123" i="32"/>
  <c r="N123" i="32"/>
  <c r="V122" i="32"/>
  <c r="AC122" i="32"/>
  <c r="P121" i="32"/>
  <c r="Q121" i="32"/>
  <c r="R121" i="32"/>
  <c r="M121" i="32"/>
  <c r="N121" i="32"/>
  <c r="V120" i="32"/>
  <c r="AC120" i="32"/>
  <c r="P119" i="32"/>
  <c r="Q119" i="32"/>
  <c r="R119" i="32"/>
  <c r="M119" i="32"/>
  <c r="N119" i="32"/>
  <c r="V118" i="32"/>
  <c r="AC118" i="32"/>
  <c r="P117" i="32"/>
  <c r="Q117" i="32"/>
  <c r="R117" i="32"/>
  <c r="M117" i="32"/>
  <c r="N117" i="32"/>
  <c r="V116" i="32"/>
  <c r="AC116" i="32"/>
  <c r="P115" i="32"/>
  <c r="Q115" i="32"/>
  <c r="R115" i="32"/>
  <c r="M115" i="32"/>
  <c r="N115" i="32"/>
  <c r="V114" i="32"/>
  <c r="AC114" i="32"/>
  <c r="P113" i="32"/>
  <c r="Q113" i="32"/>
  <c r="R113" i="32"/>
  <c r="M113" i="32"/>
  <c r="N113" i="32"/>
  <c r="V112" i="32"/>
  <c r="AC112" i="32"/>
  <c r="P111" i="32"/>
  <c r="Q111" i="32"/>
  <c r="R111" i="32"/>
  <c r="M111" i="32"/>
  <c r="N111" i="32"/>
  <c r="V110" i="32"/>
  <c r="AC110" i="32"/>
  <c r="P109" i="32"/>
  <c r="Q109" i="32"/>
  <c r="R109" i="32"/>
  <c r="M109" i="32"/>
  <c r="N109" i="32"/>
  <c r="V108" i="32"/>
  <c r="AC108" i="32"/>
  <c r="P107" i="32"/>
  <c r="Q107" i="32"/>
  <c r="R107" i="32"/>
  <c r="M107" i="32"/>
  <c r="N107" i="32"/>
  <c r="V106" i="32"/>
  <c r="AC106" i="32"/>
  <c r="P105" i="32"/>
  <c r="Q105" i="32"/>
  <c r="R105" i="32"/>
  <c r="N105" i="32"/>
  <c r="M105" i="32"/>
  <c r="AC104" i="32"/>
  <c r="V104" i="32"/>
  <c r="P103" i="32"/>
  <c r="Q103" i="32"/>
  <c r="R103" i="32"/>
  <c r="M103" i="32"/>
  <c r="N103" i="32"/>
  <c r="V102" i="32"/>
  <c r="AC102" i="32"/>
  <c r="P101" i="32"/>
  <c r="Q101" i="32"/>
  <c r="R101" i="32"/>
  <c r="M101" i="32"/>
  <c r="N101" i="32"/>
  <c r="V100" i="32"/>
  <c r="AC100" i="32"/>
  <c r="P99" i="32"/>
  <c r="Q99" i="32"/>
  <c r="R99" i="32"/>
  <c r="M99" i="32"/>
  <c r="N99" i="32"/>
  <c r="V98" i="32"/>
  <c r="AC98" i="32"/>
  <c r="P97" i="32"/>
  <c r="Q97" i="32"/>
  <c r="R97" i="32"/>
  <c r="M97" i="32"/>
  <c r="N97" i="32"/>
  <c r="V96" i="32"/>
  <c r="AC96" i="32"/>
  <c r="P95" i="32"/>
  <c r="Q95" i="32"/>
  <c r="R95" i="32"/>
  <c r="M95" i="32"/>
  <c r="N95" i="32"/>
  <c r="V94" i="32"/>
  <c r="AC94" i="32"/>
  <c r="P93" i="32"/>
  <c r="Q93" i="32"/>
  <c r="R93" i="32"/>
  <c r="M93" i="32"/>
  <c r="N93" i="32"/>
  <c r="V92" i="32"/>
  <c r="AC92" i="32"/>
  <c r="P91" i="32"/>
  <c r="Q91" i="32"/>
  <c r="R91" i="32"/>
  <c r="M91" i="32"/>
  <c r="N91" i="32"/>
  <c r="V90" i="32"/>
  <c r="AC90" i="32"/>
  <c r="P89" i="32"/>
  <c r="Q89" i="32"/>
  <c r="R89" i="32"/>
  <c r="M89" i="32"/>
  <c r="N89" i="32"/>
  <c r="V88" i="32"/>
  <c r="AC88" i="32"/>
  <c r="P87" i="32"/>
  <c r="Q87" i="32"/>
  <c r="R87" i="32"/>
  <c r="M87" i="32"/>
  <c r="N87" i="32"/>
  <c r="V86" i="32"/>
  <c r="AC86" i="32"/>
  <c r="P85" i="32"/>
  <c r="Q85" i="32"/>
  <c r="R85" i="32"/>
  <c r="M85" i="32"/>
  <c r="N85" i="32"/>
  <c r="V84" i="32"/>
  <c r="AC84" i="32"/>
  <c r="P83" i="32"/>
  <c r="Q83" i="32"/>
  <c r="R83" i="32"/>
  <c r="M83" i="32"/>
  <c r="N83" i="32"/>
  <c r="V82" i="32"/>
  <c r="AC82" i="32"/>
  <c r="P81" i="32"/>
  <c r="Q81" i="32"/>
  <c r="R81" i="32"/>
  <c r="M81" i="32"/>
  <c r="N81" i="32"/>
  <c r="V80" i="32"/>
  <c r="AC80" i="32"/>
  <c r="P79" i="32"/>
  <c r="Q79" i="32"/>
  <c r="R79" i="32"/>
  <c r="M79" i="32"/>
  <c r="N79" i="32"/>
  <c r="V78" i="32"/>
  <c r="AC78" i="32"/>
  <c r="P77" i="32"/>
  <c r="Q77" i="32"/>
  <c r="R77" i="32"/>
  <c r="M77" i="32"/>
  <c r="N77" i="32"/>
  <c r="V76" i="32"/>
  <c r="AC76" i="32"/>
  <c r="P75" i="32"/>
  <c r="Q75" i="32"/>
  <c r="R75" i="32"/>
  <c r="M75" i="32"/>
  <c r="N75" i="32"/>
  <c r="V74" i="32"/>
  <c r="AC74" i="32"/>
  <c r="R73" i="32"/>
  <c r="P73" i="32"/>
  <c r="Q73" i="32"/>
  <c r="N73" i="32"/>
  <c r="M73" i="32"/>
  <c r="V72" i="32"/>
  <c r="AC72" i="32"/>
  <c r="R71" i="32"/>
  <c r="P71" i="32"/>
  <c r="Q71" i="32"/>
  <c r="N71" i="32"/>
  <c r="M71" i="32"/>
  <c r="V70" i="32"/>
  <c r="AC70" i="32"/>
  <c r="R69" i="32"/>
  <c r="P69" i="32"/>
  <c r="Q69" i="32"/>
  <c r="N69" i="32"/>
  <c r="M69" i="32"/>
  <c r="V68" i="32"/>
  <c r="AC68" i="32"/>
  <c r="R67" i="32"/>
  <c r="P67" i="32"/>
  <c r="Q67" i="32"/>
  <c r="N67" i="32"/>
  <c r="M67" i="32"/>
  <c r="V66" i="32"/>
  <c r="AC66" i="32"/>
  <c r="R65" i="32"/>
  <c r="P65" i="32"/>
  <c r="Q65" i="32"/>
  <c r="N65" i="32"/>
  <c r="M65" i="32"/>
  <c r="V64" i="32"/>
  <c r="AC64" i="32"/>
  <c r="R63" i="32"/>
  <c r="P63" i="32"/>
  <c r="Q63" i="32"/>
  <c r="N63" i="32"/>
  <c r="M63" i="32"/>
  <c r="V62" i="32"/>
  <c r="AC62" i="32"/>
  <c r="R61" i="32"/>
  <c r="P61" i="32"/>
  <c r="Q61" i="32"/>
  <c r="N61" i="32"/>
  <c r="M61" i="32"/>
  <c r="V60" i="32"/>
  <c r="AC60" i="32"/>
  <c r="R59" i="32"/>
  <c r="P59" i="32"/>
  <c r="Q59" i="32"/>
  <c r="N59" i="32"/>
  <c r="M59" i="32"/>
  <c r="V58" i="32"/>
  <c r="AC58" i="32"/>
  <c r="R57" i="32"/>
  <c r="P57" i="32"/>
  <c r="Q57" i="32"/>
  <c r="N57" i="32"/>
  <c r="M57" i="32"/>
  <c r="V56" i="32"/>
  <c r="AC56" i="32"/>
  <c r="R55" i="32"/>
  <c r="P55" i="32"/>
  <c r="Q55" i="32"/>
  <c r="N55" i="32"/>
  <c r="M55" i="32"/>
  <c r="V54" i="32"/>
  <c r="AC54" i="32"/>
  <c r="R53" i="32"/>
  <c r="P53" i="32"/>
  <c r="Q53" i="32"/>
  <c r="N53" i="32"/>
  <c r="M53" i="32"/>
  <c r="V52" i="32"/>
  <c r="AC52" i="32"/>
  <c r="R51" i="32"/>
  <c r="P51" i="32"/>
  <c r="Q51" i="32"/>
  <c r="N51" i="32"/>
  <c r="M51" i="32"/>
  <c r="V50" i="32"/>
  <c r="AC50" i="32"/>
  <c r="R49" i="32"/>
  <c r="P49" i="32"/>
  <c r="Q49" i="32"/>
  <c r="N49" i="32"/>
  <c r="M49" i="32"/>
  <c r="V48" i="32"/>
  <c r="AC48" i="32"/>
  <c r="Y48" i="32"/>
  <c r="J48" i="32"/>
  <c r="R47" i="32"/>
  <c r="P47" i="32"/>
  <c r="Q47" i="32"/>
  <c r="N47" i="32"/>
  <c r="M47" i="32"/>
  <c r="V46" i="32"/>
  <c r="AC46" i="32"/>
  <c r="AB45" i="32"/>
  <c r="R45" i="32"/>
  <c r="P45" i="32"/>
  <c r="Q45" i="32"/>
  <c r="N45" i="32"/>
  <c r="M45" i="32"/>
  <c r="G45" i="32"/>
  <c r="V44" i="32"/>
  <c r="AC44" i="32"/>
  <c r="Y44" i="32"/>
  <c r="J44" i="32"/>
  <c r="AB43" i="32"/>
  <c r="P43" i="32"/>
  <c r="R43" i="32"/>
  <c r="Q43" i="32"/>
  <c r="M43" i="32"/>
  <c r="N43" i="32"/>
  <c r="G43" i="32"/>
  <c r="V42" i="32"/>
  <c r="AC42" i="32"/>
  <c r="Y42" i="32"/>
  <c r="J42" i="32"/>
  <c r="P41" i="32"/>
  <c r="Q41" i="32"/>
  <c r="R41" i="32"/>
  <c r="M41" i="32"/>
  <c r="N41" i="32"/>
  <c r="V40" i="32"/>
  <c r="AC40" i="32"/>
  <c r="P39" i="32"/>
  <c r="Q39" i="32"/>
  <c r="R39" i="32"/>
  <c r="M39" i="32"/>
  <c r="N39" i="32"/>
  <c r="V38" i="32"/>
  <c r="AC38" i="32"/>
  <c r="P37" i="32"/>
  <c r="Q37" i="32"/>
  <c r="R37" i="32"/>
  <c r="M37" i="32"/>
  <c r="N37" i="32"/>
  <c r="V36" i="32"/>
  <c r="AC36" i="32"/>
  <c r="P35" i="32"/>
  <c r="Q35" i="32"/>
  <c r="R35" i="32"/>
  <c r="M35" i="32"/>
  <c r="N35" i="32"/>
  <c r="V34" i="32"/>
  <c r="AC34" i="32"/>
  <c r="P33" i="32"/>
  <c r="Q33" i="32"/>
  <c r="R33" i="32"/>
  <c r="M33" i="32"/>
  <c r="N33" i="32"/>
  <c r="V32" i="32"/>
  <c r="AC32" i="32"/>
  <c r="P31" i="32"/>
  <c r="Q31" i="32"/>
  <c r="R31" i="32"/>
  <c r="M31" i="32"/>
  <c r="N31" i="32"/>
  <c r="V30" i="32"/>
  <c r="AC30" i="32"/>
  <c r="P29" i="32"/>
  <c r="Q29" i="32"/>
  <c r="R29" i="32"/>
  <c r="M29" i="32"/>
  <c r="N29" i="32"/>
  <c r="V28" i="32"/>
  <c r="AC28" i="32"/>
  <c r="K27" i="32"/>
  <c r="L27" i="32"/>
  <c r="T26" i="32"/>
  <c r="U26" i="32"/>
  <c r="S26" i="32"/>
  <c r="H26" i="32"/>
  <c r="I26" i="32"/>
  <c r="K25" i="32"/>
  <c r="L25" i="32"/>
  <c r="T24" i="32"/>
  <c r="U24" i="32"/>
  <c r="S24" i="32"/>
  <c r="H24" i="32"/>
  <c r="I24" i="32"/>
  <c r="K23" i="32"/>
  <c r="L23" i="32"/>
  <c r="T22" i="32"/>
  <c r="U22" i="32"/>
  <c r="S22" i="32"/>
  <c r="H22" i="32"/>
  <c r="I22" i="32"/>
  <c r="K21" i="32"/>
  <c r="L21" i="32"/>
  <c r="T20" i="32"/>
  <c r="U20" i="32"/>
  <c r="S20" i="32"/>
  <c r="H20" i="32"/>
  <c r="I20" i="32"/>
  <c r="K19" i="32"/>
  <c r="L19" i="32"/>
  <c r="T18" i="32"/>
  <c r="U18" i="32"/>
  <c r="S18" i="32"/>
  <c r="H18" i="32"/>
  <c r="I18" i="32"/>
  <c r="K17" i="32"/>
  <c r="L17" i="32"/>
  <c r="T16" i="32"/>
  <c r="U16" i="32"/>
  <c r="S16" i="32"/>
  <c r="H16" i="32"/>
  <c r="I16" i="32"/>
  <c r="K15" i="32"/>
  <c r="L15" i="32"/>
  <c r="T14" i="32"/>
  <c r="U14" i="32"/>
  <c r="S14" i="32"/>
  <c r="H14" i="32"/>
  <c r="I14" i="32"/>
  <c r="AA13" i="32"/>
  <c r="Z13" i="32"/>
  <c r="K13" i="32"/>
  <c r="L13" i="32"/>
  <c r="AD12" i="32"/>
  <c r="S12" i="32"/>
  <c r="T12" i="32"/>
  <c r="U12" i="32"/>
  <c r="O12" i="32"/>
  <c r="H12" i="32"/>
  <c r="I12" i="32"/>
  <c r="AA11" i="32"/>
  <c r="Z11" i="32"/>
  <c r="K11" i="32"/>
  <c r="L11" i="32"/>
  <c r="J10" i="32"/>
  <c r="AB10" i="32"/>
  <c r="P10" i="32"/>
  <c r="R10" i="32"/>
  <c r="Q10" i="32"/>
  <c r="AD164" i="32"/>
  <c r="T164" i="32"/>
  <c r="U164" i="32"/>
  <c r="S164" i="32"/>
  <c r="O164" i="32"/>
  <c r="H164" i="32"/>
  <c r="I164" i="32"/>
  <c r="AA163" i="32"/>
  <c r="Z163" i="32"/>
  <c r="K163" i="32"/>
  <c r="L163" i="32"/>
  <c r="AD162" i="32"/>
  <c r="T162" i="32"/>
  <c r="U162" i="32"/>
  <c r="S162" i="32"/>
  <c r="O162" i="32"/>
  <c r="H162" i="32"/>
  <c r="I162" i="32"/>
  <c r="AA161" i="32"/>
  <c r="Z161" i="32"/>
  <c r="K161" i="32"/>
  <c r="L161" i="32"/>
  <c r="AD160" i="32"/>
  <c r="T160" i="32"/>
  <c r="U160" i="32"/>
  <c r="S160" i="32"/>
  <c r="O160" i="32"/>
  <c r="H160" i="32"/>
  <c r="I160" i="32"/>
  <c r="AA159" i="32"/>
  <c r="Z159" i="32"/>
  <c r="K159" i="32"/>
  <c r="L159" i="32"/>
  <c r="AD158" i="32"/>
  <c r="T158" i="32"/>
  <c r="U158" i="32"/>
  <c r="S158" i="32"/>
  <c r="O158" i="32"/>
  <c r="H158" i="32"/>
  <c r="I158" i="32"/>
  <c r="AA157" i="32"/>
  <c r="Z157" i="32"/>
  <c r="K157" i="32"/>
  <c r="L157" i="32"/>
  <c r="AD156" i="32"/>
  <c r="T156" i="32"/>
  <c r="U156" i="32"/>
  <c r="S156" i="32"/>
  <c r="O156" i="32"/>
  <c r="H156" i="32"/>
  <c r="I156" i="32"/>
  <c r="AA155" i="32"/>
  <c r="Z155" i="32"/>
  <c r="K155" i="32"/>
  <c r="L155" i="32"/>
  <c r="AD154" i="32"/>
  <c r="T154" i="32"/>
  <c r="U154" i="32"/>
  <c r="S154" i="32"/>
  <c r="O154" i="32"/>
  <c r="H154" i="32"/>
  <c r="I154" i="32"/>
  <c r="AA153" i="32"/>
  <c r="Z153" i="32"/>
  <c r="K153" i="32"/>
  <c r="L153" i="32"/>
  <c r="AD152" i="32"/>
  <c r="T152" i="32"/>
  <c r="U152" i="32"/>
  <c r="S152" i="32"/>
  <c r="O152" i="32"/>
  <c r="H152" i="32"/>
  <c r="I152" i="32"/>
  <c r="AA151" i="32"/>
  <c r="Z151" i="32"/>
  <c r="K151" i="32"/>
  <c r="L151" i="32"/>
  <c r="AD150" i="32"/>
  <c r="T150" i="32"/>
  <c r="U150" i="32"/>
  <c r="S150" i="32"/>
  <c r="O150" i="32"/>
  <c r="H150" i="32"/>
  <c r="I150" i="32"/>
  <c r="K149" i="32"/>
  <c r="L149" i="32"/>
  <c r="T148" i="32"/>
  <c r="U148" i="32"/>
  <c r="S148" i="32"/>
  <c r="H148" i="32"/>
  <c r="I148" i="32"/>
  <c r="K147" i="32"/>
  <c r="L147" i="32"/>
  <c r="T146" i="32"/>
  <c r="U146" i="32"/>
  <c r="S146" i="32"/>
  <c r="H146" i="32"/>
  <c r="I146" i="32"/>
  <c r="K145" i="32"/>
  <c r="L145" i="32"/>
  <c r="T144" i="32"/>
  <c r="U144" i="32"/>
  <c r="S144" i="32"/>
  <c r="H144" i="32"/>
  <c r="I144" i="32"/>
  <c r="K143" i="32"/>
  <c r="L143" i="32"/>
  <c r="T142" i="32"/>
  <c r="U142" i="32"/>
  <c r="S142" i="32"/>
  <c r="H142" i="32"/>
  <c r="I142" i="32"/>
  <c r="K141" i="32"/>
  <c r="L141" i="32"/>
  <c r="T140" i="32"/>
  <c r="U140" i="32"/>
  <c r="S140" i="32"/>
  <c r="H140" i="32"/>
  <c r="I140" i="32"/>
  <c r="K139" i="32"/>
  <c r="L139" i="32"/>
  <c r="T138" i="32"/>
  <c r="U138" i="32"/>
  <c r="S138" i="32"/>
  <c r="H138" i="32"/>
  <c r="I138" i="32"/>
  <c r="K137" i="32"/>
  <c r="L137" i="32"/>
  <c r="T136" i="32"/>
  <c r="U136" i="32"/>
  <c r="S136" i="32"/>
  <c r="H136" i="32"/>
  <c r="I136" i="32"/>
  <c r="K135" i="32"/>
  <c r="L135" i="32"/>
  <c r="S134" i="32"/>
  <c r="T134" i="32"/>
  <c r="U134" i="32"/>
  <c r="H134" i="32"/>
  <c r="I134" i="32"/>
  <c r="K133" i="32"/>
  <c r="L133" i="32"/>
  <c r="U132" i="32"/>
  <c r="S132" i="32"/>
  <c r="T132" i="32"/>
  <c r="I132" i="32"/>
  <c r="H132" i="32"/>
  <c r="K131" i="32"/>
  <c r="L131" i="32"/>
  <c r="U130" i="32"/>
  <c r="S130" i="32"/>
  <c r="T130" i="32"/>
  <c r="I130" i="32"/>
  <c r="H130" i="32"/>
  <c r="K129" i="32"/>
  <c r="L129" i="32"/>
  <c r="U128" i="32"/>
  <c r="S128" i="32"/>
  <c r="T128" i="32"/>
  <c r="I128" i="32"/>
  <c r="H128" i="32"/>
  <c r="K127" i="32"/>
  <c r="L127" i="32"/>
  <c r="U126" i="32"/>
  <c r="S126" i="32"/>
  <c r="T126" i="32"/>
  <c r="I126" i="32"/>
  <c r="H126" i="32"/>
  <c r="K125" i="32"/>
  <c r="L125" i="32"/>
  <c r="U124" i="32"/>
  <c r="S124" i="32"/>
  <c r="T124" i="32"/>
  <c r="I124" i="32"/>
  <c r="H124" i="32"/>
  <c r="K123" i="32"/>
  <c r="L123" i="32"/>
  <c r="U122" i="32"/>
  <c r="S122" i="32"/>
  <c r="T122" i="32"/>
  <c r="I122" i="32"/>
  <c r="H122" i="32"/>
  <c r="K121" i="32"/>
  <c r="L121" i="32"/>
  <c r="U120" i="32"/>
  <c r="S120" i="32"/>
  <c r="T120" i="32"/>
  <c r="I120" i="32"/>
  <c r="H120" i="32"/>
  <c r="K119" i="32"/>
  <c r="L119" i="32"/>
  <c r="U118" i="32"/>
  <c r="S118" i="32"/>
  <c r="T118" i="32"/>
  <c r="I118" i="32"/>
  <c r="H118" i="32"/>
  <c r="K117" i="32"/>
  <c r="L117" i="32"/>
  <c r="U116" i="32"/>
  <c r="S116" i="32"/>
  <c r="T116" i="32"/>
  <c r="I116" i="32"/>
  <c r="H116" i="32"/>
  <c r="K115" i="32"/>
  <c r="L115" i="32"/>
  <c r="U114" i="32"/>
  <c r="S114" i="32"/>
  <c r="T114" i="32"/>
  <c r="I114" i="32"/>
  <c r="H114" i="32"/>
  <c r="K113" i="32"/>
  <c r="L113" i="32"/>
  <c r="U112" i="32"/>
  <c r="S112" i="32"/>
  <c r="T112" i="32"/>
  <c r="I112" i="32"/>
  <c r="H112" i="32"/>
  <c r="K111" i="32"/>
  <c r="L111" i="32"/>
  <c r="U110" i="32"/>
  <c r="S110" i="32"/>
  <c r="T110" i="32"/>
  <c r="I110" i="32"/>
  <c r="H110" i="32"/>
  <c r="K109" i="32"/>
  <c r="L109" i="32"/>
  <c r="U108" i="32"/>
  <c r="S108" i="32"/>
  <c r="T108" i="32"/>
  <c r="I108" i="32"/>
  <c r="H108" i="32"/>
  <c r="K107" i="32"/>
  <c r="L107" i="32"/>
  <c r="U106" i="32"/>
  <c r="S106" i="32"/>
  <c r="T106" i="32"/>
  <c r="I106" i="32"/>
  <c r="H106" i="32"/>
  <c r="K105" i="32"/>
  <c r="L105" i="32"/>
  <c r="T104" i="32"/>
  <c r="U104" i="32"/>
  <c r="S104" i="32"/>
  <c r="H104" i="32"/>
  <c r="I104" i="32"/>
  <c r="L103" i="32"/>
  <c r="K103" i="32"/>
  <c r="S102" i="32"/>
  <c r="T102" i="32"/>
  <c r="U102" i="32"/>
  <c r="H102" i="32"/>
  <c r="I102" i="32"/>
  <c r="L101" i="32"/>
  <c r="K101" i="32"/>
  <c r="S100" i="32"/>
  <c r="T100" i="32"/>
  <c r="U100" i="32"/>
  <c r="H100" i="32"/>
  <c r="I100" i="32"/>
  <c r="L99" i="32"/>
  <c r="K99" i="32"/>
  <c r="S98" i="32"/>
  <c r="T98" i="32"/>
  <c r="U98" i="32"/>
  <c r="H98" i="32"/>
  <c r="I98" i="32"/>
  <c r="L97" i="32"/>
  <c r="K97" i="32"/>
  <c r="S96" i="32"/>
  <c r="T96" i="32"/>
  <c r="U96" i="32"/>
  <c r="H96" i="32"/>
  <c r="I96" i="32"/>
  <c r="L95" i="32"/>
  <c r="K95" i="32"/>
  <c r="S94" i="32"/>
  <c r="T94" i="32"/>
  <c r="U94" i="32"/>
  <c r="H94" i="32"/>
  <c r="I94" i="32"/>
  <c r="L93" i="32"/>
  <c r="K93" i="32"/>
  <c r="S92" i="32"/>
  <c r="T92" i="32"/>
  <c r="U92" i="32"/>
  <c r="H92" i="32"/>
  <c r="I92" i="32"/>
  <c r="L91" i="32"/>
  <c r="K91" i="32"/>
  <c r="S90" i="32"/>
  <c r="T90" i="32"/>
  <c r="U90" i="32"/>
  <c r="H90" i="32"/>
  <c r="I90" i="32"/>
  <c r="L89" i="32"/>
  <c r="K89" i="32"/>
  <c r="S88" i="32"/>
  <c r="T88" i="32"/>
  <c r="U88" i="32"/>
  <c r="H88" i="32"/>
  <c r="I88" i="32"/>
  <c r="L87" i="32"/>
  <c r="K87" i="32"/>
  <c r="S86" i="32"/>
  <c r="T86" i="32"/>
  <c r="U86" i="32"/>
  <c r="H86" i="32"/>
  <c r="I86" i="32"/>
  <c r="L85" i="32"/>
  <c r="K85" i="32"/>
  <c r="S84" i="32"/>
  <c r="T84" i="32"/>
  <c r="U84" i="32"/>
  <c r="H84" i="32"/>
  <c r="I84" i="32"/>
  <c r="L83" i="32"/>
  <c r="K83" i="32"/>
  <c r="S82" i="32"/>
  <c r="T82" i="32"/>
  <c r="U82" i="32"/>
  <c r="H82" i="32"/>
  <c r="I82" i="32"/>
  <c r="L81" i="32"/>
  <c r="K81" i="32"/>
  <c r="S80" i="32"/>
  <c r="T80" i="32"/>
  <c r="U80" i="32"/>
  <c r="H80" i="32"/>
  <c r="I80" i="32"/>
  <c r="L79" i="32"/>
  <c r="K79" i="32"/>
  <c r="S78" i="32"/>
  <c r="T78" i="32"/>
  <c r="U78" i="32"/>
  <c r="H78" i="32"/>
  <c r="I78" i="32"/>
  <c r="L77" i="32"/>
  <c r="K77" i="32"/>
  <c r="S76" i="32"/>
  <c r="T76" i="32"/>
  <c r="U76" i="32"/>
  <c r="H76" i="32"/>
  <c r="I76" i="32"/>
  <c r="L75" i="32"/>
  <c r="K75" i="32"/>
  <c r="S74" i="32"/>
  <c r="T74" i="32"/>
  <c r="U74" i="32"/>
  <c r="H74" i="32"/>
  <c r="I74" i="32"/>
  <c r="K73" i="32"/>
  <c r="L73" i="32"/>
  <c r="T72" i="32"/>
  <c r="U72" i="32"/>
  <c r="S72" i="32"/>
  <c r="H72" i="32"/>
  <c r="I72" i="32"/>
  <c r="K71" i="32"/>
  <c r="L71" i="32"/>
  <c r="T70" i="32"/>
  <c r="U70" i="32"/>
  <c r="S70" i="32"/>
  <c r="H70" i="32"/>
  <c r="I70" i="32"/>
  <c r="K69" i="32"/>
  <c r="L69" i="32"/>
  <c r="T68" i="32"/>
  <c r="U68" i="32"/>
  <c r="S68" i="32"/>
  <c r="H68" i="32"/>
  <c r="I68" i="32"/>
  <c r="K67" i="32"/>
  <c r="L67" i="32"/>
  <c r="T66" i="32"/>
  <c r="U66" i="32"/>
  <c r="S66" i="32"/>
  <c r="H66" i="32"/>
  <c r="I66" i="32"/>
  <c r="K65" i="32"/>
  <c r="L65" i="32"/>
  <c r="T64" i="32"/>
  <c r="U64" i="32"/>
  <c r="S64" i="32"/>
  <c r="H64" i="32"/>
  <c r="I64" i="32"/>
  <c r="K63" i="32"/>
  <c r="L63" i="32"/>
  <c r="T62" i="32"/>
  <c r="U62" i="32"/>
  <c r="S62" i="32"/>
  <c r="H62" i="32"/>
  <c r="I62" i="32"/>
  <c r="K61" i="32"/>
  <c r="L61" i="32"/>
  <c r="T60" i="32"/>
  <c r="U60" i="32"/>
  <c r="S60" i="32"/>
  <c r="H60" i="32"/>
  <c r="I60" i="32"/>
  <c r="K59" i="32"/>
  <c r="L59" i="32"/>
  <c r="T58" i="32"/>
  <c r="U58" i="32"/>
  <c r="S58" i="32"/>
  <c r="H58" i="32"/>
  <c r="I58" i="32"/>
  <c r="K57" i="32"/>
  <c r="L57" i="32"/>
  <c r="T56" i="32"/>
  <c r="U56" i="32"/>
  <c r="S56" i="32"/>
  <c r="H56" i="32"/>
  <c r="I56" i="32"/>
  <c r="K55" i="32"/>
  <c r="L55" i="32"/>
  <c r="T54" i="32"/>
  <c r="U54" i="32"/>
  <c r="S54" i="32"/>
  <c r="H54" i="32"/>
  <c r="I54" i="32"/>
  <c r="K53" i="32"/>
  <c r="L53" i="32"/>
  <c r="T52" i="32"/>
  <c r="U52" i="32"/>
  <c r="S52" i="32"/>
  <c r="H52" i="32"/>
  <c r="I52" i="32"/>
  <c r="K51" i="32"/>
  <c r="L51" i="32"/>
  <c r="T50" i="32"/>
  <c r="U50" i="32"/>
  <c r="S50" i="32"/>
  <c r="H50" i="32"/>
  <c r="I50" i="32"/>
  <c r="K49" i="32"/>
  <c r="L49" i="32"/>
  <c r="AD48" i="32"/>
  <c r="T48" i="32"/>
  <c r="U48" i="32"/>
  <c r="S48" i="32"/>
  <c r="O48" i="32"/>
  <c r="H48" i="32"/>
  <c r="I48" i="32"/>
  <c r="K47" i="32"/>
  <c r="L47" i="32"/>
  <c r="T46" i="32"/>
  <c r="U46" i="32"/>
  <c r="S46" i="32"/>
  <c r="H46" i="32"/>
  <c r="I46" i="32"/>
  <c r="AA45" i="32"/>
  <c r="Z45" i="32"/>
  <c r="K45" i="32"/>
  <c r="L45" i="32"/>
  <c r="AD44" i="32"/>
  <c r="T44" i="32"/>
  <c r="U44" i="32"/>
  <c r="S44" i="32"/>
  <c r="O44" i="32"/>
  <c r="H44" i="32"/>
  <c r="I44" i="32"/>
  <c r="AA43" i="32"/>
  <c r="Z43" i="32"/>
  <c r="L43" i="32"/>
  <c r="K43" i="32"/>
  <c r="AD42" i="32"/>
  <c r="S42" i="32"/>
  <c r="T42" i="32"/>
  <c r="U42" i="32"/>
  <c r="O42" i="32"/>
  <c r="H42" i="32"/>
  <c r="I42" i="32"/>
  <c r="L41" i="32"/>
  <c r="K41" i="32"/>
  <c r="S40" i="32"/>
  <c r="T40" i="32"/>
  <c r="U40" i="32"/>
  <c r="H40" i="32"/>
  <c r="I40" i="32"/>
  <c r="L39" i="32"/>
  <c r="K39" i="32"/>
  <c r="S38" i="32"/>
  <c r="T38" i="32"/>
  <c r="U38" i="32"/>
  <c r="H38" i="32"/>
  <c r="I38" i="32"/>
  <c r="L37" i="32"/>
  <c r="K37" i="32"/>
  <c r="S36" i="32"/>
  <c r="T36" i="32"/>
  <c r="U36" i="32"/>
  <c r="H36" i="32"/>
  <c r="I36" i="32"/>
  <c r="L35" i="32"/>
  <c r="K35" i="32"/>
  <c r="S34" i="32"/>
  <c r="T34" i="32"/>
  <c r="U34" i="32"/>
  <c r="H34" i="32"/>
  <c r="I34" i="32"/>
  <c r="L33" i="32"/>
  <c r="K33" i="32"/>
  <c r="S32" i="32"/>
  <c r="T32" i="32"/>
  <c r="U32" i="32"/>
  <c r="H32" i="32"/>
  <c r="I32" i="32"/>
  <c r="L31" i="32"/>
  <c r="K31" i="32"/>
  <c r="S30" i="32"/>
  <c r="T30" i="32"/>
  <c r="U30" i="32"/>
  <c r="H30" i="32"/>
  <c r="I30" i="32"/>
  <c r="L29" i="32"/>
  <c r="K29" i="32"/>
  <c r="S28" i="32"/>
  <c r="T28" i="32"/>
  <c r="U28" i="32"/>
  <c r="H28" i="32"/>
  <c r="I28" i="32"/>
  <c r="V27" i="32"/>
  <c r="AC27" i="32"/>
  <c r="P26" i="32"/>
  <c r="Q26" i="32"/>
  <c r="R26" i="32"/>
  <c r="M26" i="32"/>
  <c r="N26" i="32"/>
  <c r="V25" i="32"/>
  <c r="AC25" i="32"/>
  <c r="P24" i="32"/>
  <c r="Q24" i="32"/>
  <c r="R24" i="32"/>
  <c r="M24" i="32"/>
  <c r="N24" i="32"/>
  <c r="V23" i="32"/>
  <c r="AC23" i="32"/>
  <c r="P22" i="32"/>
  <c r="Q22" i="32"/>
  <c r="R22" i="32"/>
  <c r="M22" i="32"/>
  <c r="N22" i="32"/>
  <c r="V21" i="32"/>
  <c r="AC21" i="32"/>
  <c r="P20" i="32"/>
  <c r="Q20" i="32"/>
  <c r="R20" i="32"/>
  <c r="M20" i="32"/>
  <c r="N20" i="32"/>
  <c r="V19" i="32"/>
  <c r="AC19" i="32"/>
  <c r="P18" i="32"/>
  <c r="Q18" i="32"/>
  <c r="R18" i="32"/>
  <c r="M18" i="32"/>
  <c r="N18" i="32"/>
  <c r="V17" i="32"/>
  <c r="AC17" i="32"/>
  <c r="P16" i="32"/>
  <c r="Q16" i="32"/>
  <c r="R16" i="32"/>
  <c r="M16" i="32"/>
  <c r="N16" i="32"/>
  <c r="V15" i="32"/>
  <c r="AC15" i="32"/>
  <c r="P14" i="32"/>
  <c r="Q14" i="32"/>
  <c r="R14" i="32"/>
  <c r="M14" i="32"/>
  <c r="N14" i="32"/>
  <c r="V13" i="32"/>
  <c r="AC13" i="32"/>
  <c r="Y13" i="32"/>
  <c r="J13" i="32"/>
  <c r="AB12" i="32"/>
  <c r="P12" i="32"/>
  <c r="R12" i="32"/>
  <c r="Q12" i="32"/>
  <c r="M12" i="32"/>
  <c r="N12" i="32"/>
  <c r="G12" i="32"/>
  <c r="V11" i="32"/>
  <c r="AC11" i="32"/>
  <c r="Y11" i="32"/>
  <c r="J11" i="32"/>
  <c r="T163" i="21"/>
  <c r="T161" i="21"/>
  <c r="T159" i="21"/>
  <c r="T157" i="21"/>
  <c r="T155" i="21"/>
  <c r="T153" i="21"/>
  <c r="T151" i="21"/>
  <c r="T149" i="21"/>
  <c r="T147" i="21"/>
  <c r="T145" i="21"/>
  <c r="T143" i="21"/>
  <c r="T141" i="21"/>
  <c r="T139" i="21"/>
  <c r="T137" i="21"/>
  <c r="T135" i="21"/>
  <c r="T133" i="21"/>
  <c r="T131" i="21"/>
  <c r="T129" i="21"/>
  <c r="T127" i="21"/>
  <c r="T125" i="21"/>
  <c r="T123" i="21"/>
  <c r="T121" i="21"/>
  <c r="T119" i="21"/>
  <c r="T117" i="21"/>
  <c r="T115" i="21"/>
  <c r="T113" i="21"/>
  <c r="T111" i="21"/>
  <c r="T109" i="21"/>
  <c r="T107" i="21"/>
  <c r="T105" i="21"/>
  <c r="T103" i="21"/>
  <c r="T101" i="21"/>
  <c r="T99" i="21"/>
  <c r="T97" i="21"/>
  <c r="T95" i="21"/>
  <c r="T93" i="21"/>
  <c r="T91" i="21"/>
  <c r="T89" i="21"/>
  <c r="T87" i="21"/>
  <c r="T85" i="21"/>
  <c r="T83" i="21"/>
  <c r="T81" i="21"/>
  <c r="T79" i="21"/>
  <c r="T77" i="21"/>
  <c r="T75" i="21"/>
  <c r="T73" i="21"/>
  <c r="T71" i="21"/>
  <c r="T69" i="21"/>
  <c r="T67" i="21"/>
  <c r="T65" i="21"/>
  <c r="T63" i="21"/>
  <c r="T61" i="21"/>
  <c r="T59" i="21"/>
  <c r="T57" i="21"/>
  <c r="T55" i="21"/>
  <c r="T53" i="21"/>
  <c r="T51" i="21"/>
  <c r="T49" i="21"/>
  <c r="T47" i="21"/>
  <c r="T45" i="21"/>
  <c r="T43" i="21"/>
  <c r="T41" i="21"/>
  <c r="T39" i="21"/>
  <c r="T37" i="21"/>
  <c r="T35" i="21"/>
  <c r="T33" i="21"/>
  <c r="T31" i="21"/>
  <c r="T29" i="21"/>
  <c r="T27" i="21"/>
  <c r="T25" i="21"/>
  <c r="T23" i="21"/>
  <c r="T21" i="21"/>
  <c r="T19" i="21"/>
  <c r="T17" i="21"/>
  <c r="T15" i="21"/>
  <c r="T13" i="21"/>
  <c r="T11" i="21"/>
  <c r="T9" i="21"/>
  <c r="T162" i="21"/>
  <c r="T160" i="21"/>
  <c r="T158" i="21"/>
  <c r="T156" i="21"/>
  <c r="T154" i="21"/>
  <c r="T152" i="21"/>
  <c r="T150" i="21"/>
  <c r="T148" i="21"/>
  <c r="T146" i="21"/>
  <c r="T144" i="21"/>
  <c r="T142" i="21"/>
  <c r="T140" i="21"/>
  <c r="T138" i="21"/>
  <c r="T136" i="21"/>
  <c r="T134" i="21"/>
  <c r="T132" i="21"/>
  <c r="T130" i="21"/>
  <c r="T128" i="21"/>
  <c r="T126" i="21"/>
  <c r="T124" i="21"/>
  <c r="T122" i="21"/>
  <c r="T120" i="21"/>
  <c r="T118" i="21"/>
  <c r="T116" i="21"/>
  <c r="T114" i="21"/>
  <c r="T112" i="21"/>
  <c r="T110" i="21"/>
  <c r="T108" i="21"/>
  <c r="T106" i="21"/>
  <c r="T104" i="21"/>
  <c r="T102" i="21"/>
  <c r="T100" i="21"/>
  <c r="T98" i="21"/>
  <c r="T96" i="21"/>
  <c r="T94" i="21"/>
  <c r="T92" i="21"/>
  <c r="T90" i="21"/>
  <c r="T88" i="21"/>
  <c r="T86" i="21"/>
  <c r="T84" i="21"/>
  <c r="T82" i="21"/>
  <c r="T80" i="21"/>
  <c r="T78" i="21"/>
  <c r="T76" i="21"/>
  <c r="T74" i="21"/>
  <c r="T72" i="21"/>
  <c r="T70" i="21"/>
  <c r="T68" i="21"/>
  <c r="T66" i="21"/>
  <c r="T64" i="21"/>
  <c r="T62" i="21"/>
  <c r="T60" i="21"/>
  <c r="T58" i="21"/>
  <c r="T56" i="21"/>
  <c r="T54" i="21"/>
  <c r="T52" i="21"/>
  <c r="T50" i="21"/>
  <c r="T48" i="21"/>
  <c r="T46" i="21"/>
  <c r="T44" i="21"/>
  <c r="T42" i="21"/>
  <c r="T40" i="21"/>
  <c r="T38" i="21"/>
  <c r="T36" i="21"/>
  <c r="T34" i="21"/>
  <c r="T32" i="21"/>
  <c r="T30" i="21"/>
  <c r="T28" i="21"/>
  <c r="T26" i="21"/>
  <c r="T24" i="21"/>
  <c r="T22" i="21"/>
  <c r="T20" i="21"/>
  <c r="T18" i="21"/>
  <c r="T16" i="21"/>
  <c r="T12" i="21"/>
  <c r="T10" i="21"/>
  <c r="S32" i="22"/>
  <c r="S40" i="22"/>
  <c r="T40" i="22"/>
  <c r="AE101" i="32"/>
  <c r="AH101" i="32"/>
  <c r="S37" i="22"/>
  <c r="S36" i="22"/>
  <c r="AE77" i="32"/>
  <c r="AG77" i="32"/>
  <c r="AE93" i="32"/>
  <c r="AG93" i="32"/>
  <c r="AE85" i="32"/>
  <c r="AH85" i="32"/>
  <c r="S34" i="22"/>
  <c r="T34" i="22"/>
  <c r="S33" i="22"/>
  <c r="U33" i="22"/>
  <c r="S30" i="22"/>
  <c r="S38" i="22"/>
  <c r="S29" i="22"/>
  <c r="S28" i="22"/>
  <c r="AE19" i="32"/>
  <c r="AG19" i="32"/>
  <c r="AE27" i="32"/>
  <c r="AH27" i="32"/>
  <c r="AE35" i="32"/>
  <c r="AG35" i="32"/>
  <c r="AF47" i="32"/>
  <c r="AF51" i="32"/>
  <c r="AF59" i="32"/>
  <c r="AF67" i="32"/>
  <c r="AF75" i="32"/>
  <c r="AF83" i="32"/>
  <c r="AF91" i="32"/>
  <c r="AF99" i="32"/>
  <c r="AF107" i="32"/>
  <c r="AF115" i="32"/>
  <c r="AF123" i="32"/>
  <c r="AF131" i="32"/>
  <c r="AF139" i="32"/>
  <c r="AF147" i="32"/>
  <c r="AE24" i="32"/>
  <c r="AG24" i="32"/>
  <c r="AF18" i="32"/>
  <c r="AE53" i="32"/>
  <c r="AE61" i="32"/>
  <c r="AH61" i="32"/>
  <c r="AE69" i="32"/>
  <c r="AH69" i="32"/>
  <c r="AE109" i="32"/>
  <c r="AG109" i="32"/>
  <c r="AE117" i="32"/>
  <c r="AG117" i="32"/>
  <c r="AE125" i="32"/>
  <c r="AH125" i="32"/>
  <c r="AE133" i="32"/>
  <c r="AG133" i="32"/>
  <c r="AE141" i="32"/>
  <c r="AG141" i="32"/>
  <c r="AE149" i="32"/>
  <c r="AE17" i="32"/>
  <c r="AH17" i="32"/>
  <c r="AE25" i="32"/>
  <c r="AH25" i="32"/>
  <c r="AF14" i="32"/>
  <c r="AE16" i="32"/>
  <c r="AG16" i="32"/>
  <c r="AF26" i="32"/>
  <c r="AF32" i="32"/>
  <c r="AF33" i="32"/>
  <c r="AF40" i="32"/>
  <c r="AF41" i="32"/>
  <c r="AE49" i="32"/>
  <c r="AE54" i="32"/>
  <c r="AG54" i="32"/>
  <c r="AE56" i="32"/>
  <c r="AG56" i="32"/>
  <c r="AE57" i="32"/>
  <c r="AH57" i="32"/>
  <c r="AE62" i="32"/>
  <c r="AG62" i="32"/>
  <c r="AE64" i="32"/>
  <c r="AH64" i="32"/>
  <c r="AE70" i="32"/>
  <c r="AE72" i="32"/>
  <c r="AH72" i="32"/>
  <c r="AE78" i="32"/>
  <c r="AE80" i="32"/>
  <c r="AG80" i="32"/>
  <c r="AE81" i="32"/>
  <c r="AE86" i="32"/>
  <c r="AH86" i="32"/>
  <c r="AE88" i="32"/>
  <c r="AG88" i="32"/>
  <c r="AE89" i="32"/>
  <c r="AH89" i="32"/>
  <c r="AE94" i="32"/>
  <c r="AE96" i="32"/>
  <c r="AH96" i="32"/>
  <c r="AE97" i="32"/>
  <c r="AE102" i="32"/>
  <c r="AG102" i="32"/>
  <c r="AE104" i="32"/>
  <c r="AH104" i="32"/>
  <c r="AE110" i="32"/>
  <c r="AH110" i="32"/>
  <c r="AE118" i="32"/>
  <c r="AG118" i="32"/>
  <c r="AE126" i="32"/>
  <c r="AG126" i="32"/>
  <c r="AE136" i="32"/>
  <c r="AE144" i="32"/>
  <c r="AH144" i="32"/>
  <c r="AH77" i="32"/>
  <c r="AG85" i="32"/>
  <c r="AG53" i="32"/>
  <c r="AH53" i="32"/>
  <c r="AG61" i="32"/>
  <c r="AG69" i="32"/>
  <c r="AH109" i="32"/>
  <c r="AG149" i="32"/>
  <c r="AH149" i="32"/>
  <c r="AG17" i="32"/>
  <c r="AG25" i="32"/>
  <c r="AG49" i="32"/>
  <c r="AH49" i="32"/>
  <c r="AH54" i="32"/>
  <c r="AG70" i="32"/>
  <c r="AH70" i="32"/>
  <c r="AG78" i="32"/>
  <c r="AH78" i="32"/>
  <c r="AH80" i="32"/>
  <c r="AG81" i="32"/>
  <c r="AH81" i="32"/>
  <c r="AG86" i="32"/>
  <c r="AG89" i="32"/>
  <c r="AG94" i="32"/>
  <c r="AH94" i="32"/>
  <c r="AG97" i="32"/>
  <c r="AH97" i="32"/>
  <c r="AH102" i="32"/>
  <c r="AG104" i="32"/>
  <c r="AG136" i="32"/>
  <c r="AH136" i="32"/>
  <c r="AG144" i="32"/>
  <c r="AE18" i="32"/>
  <c r="AE20" i="32"/>
  <c r="AE26" i="32"/>
  <c r="AF24" i="32"/>
  <c r="AE30" i="32"/>
  <c r="AE38" i="32"/>
  <c r="AF54" i="32"/>
  <c r="AF62" i="32"/>
  <c r="AE65" i="32"/>
  <c r="AF70" i="32"/>
  <c r="AE73" i="32"/>
  <c r="AF78" i="32"/>
  <c r="AF86" i="32"/>
  <c r="AF94" i="32"/>
  <c r="AF102" i="32"/>
  <c r="AE105" i="32"/>
  <c r="AF108" i="32"/>
  <c r="AE113" i="32"/>
  <c r="AF116" i="32"/>
  <c r="AE121" i="32"/>
  <c r="AF124" i="32"/>
  <c r="AE129" i="32"/>
  <c r="AF132" i="32"/>
  <c r="AE134" i="32"/>
  <c r="AE137" i="32"/>
  <c r="AE142" i="32"/>
  <c r="AE145" i="32"/>
  <c r="AE10" i="32"/>
  <c r="AF10" i="32"/>
  <c r="AH19" i="32"/>
  <c r="AF22" i="32"/>
  <c r="AF29" i="32"/>
  <c r="AE36" i="32"/>
  <c r="AF37" i="32"/>
  <c r="AF52" i="32"/>
  <c r="AF60" i="32"/>
  <c r="AF68" i="32"/>
  <c r="AF76" i="32"/>
  <c r="AF84" i="32"/>
  <c r="AF92" i="32"/>
  <c r="AF100" i="32"/>
  <c r="AE106" i="32"/>
  <c r="AE114" i="32"/>
  <c r="AE122" i="32"/>
  <c r="AE130" i="32"/>
  <c r="AF140" i="32"/>
  <c r="AF148" i="32"/>
  <c r="AF19" i="32"/>
  <c r="AF27" i="32"/>
  <c r="AF16" i="32"/>
  <c r="AE34" i="32"/>
  <c r="AF35" i="32"/>
  <c r="AE46" i="32"/>
  <c r="AE50" i="32"/>
  <c r="AE58" i="32"/>
  <c r="AE66" i="32"/>
  <c r="AE74" i="32"/>
  <c r="AE75" i="32"/>
  <c r="AE82" i="32"/>
  <c r="AE83" i="32"/>
  <c r="AE90" i="32"/>
  <c r="AE91" i="32"/>
  <c r="AE98" i="32"/>
  <c r="AE99" i="32"/>
  <c r="AE112" i="32"/>
  <c r="AE120" i="32"/>
  <c r="AE128" i="32"/>
  <c r="AE138" i="32"/>
  <c r="AE146" i="32"/>
  <c r="AF17" i="32"/>
  <c r="AF25" i="32"/>
  <c r="AE31" i="32"/>
  <c r="AE33" i="32"/>
  <c r="AE39" i="32"/>
  <c r="AE41" i="32"/>
  <c r="AF53" i="32"/>
  <c r="AF55" i="32"/>
  <c r="AF61" i="32"/>
  <c r="AF63" i="32"/>
  <c r="AF69" i="32"/>
  <c r="AF71" i="32"/>
  <c r="AF77" i="32"/>
  <c r="AF79" i="32"/>
  <c r="AF85" i="32"/>
  <c r="AF87" i="32"/>
  <c r="AF93" i="32"/>
  <c r="AF95" i="32"/>
  <c r="AF101" i="32"/>
  <c r="AF103" i="32"/>
  <c r="AF109" i="32"/>
  <c r="AF111" i="32"/>
  <c r="AF117" i="32"/>
  <c r="AF119" i="32"/>
  <c r="AF125" i="32"/>
  <c r="AF127" i="32"/>
  <c r="AF133" i="32"/>
  <c r="AF135" i="32"/>
  <c r="AF141" i="32"/>
  <c r="AF143" i="32"/>
  <c r="AF149" i="32"/>
  <c r="AF15" i="32"/>
  <c r="AE21" i="32"/>
  <c r="AF23" i="32"/>
  <c r="S31" i="22"/>
  <c r="AE14" i="32"/>
  <c r="AE22" i="32"/>
  <c r="AF31" i="32"/>
  <c r="AF39" i="32"/>
  <c r="AF45" i="32"/>
  <c r="AE45" i="32"/>
  <c r="AF49" i="32"/>
  <c r="AE51" i="32"/>
  <c r="AF57" i="32"/>
  <c r="AE59" i="32"/>
  <c r="AF65" i="32"/>
  <c r="AE67" i="32"/>
  <c r="AF73" i="32"/>
  <c r="AF81" i="32"/>
  <c r="AF89" i="32"/>
  <c r="AF97" i="32"/>
  <c r="AF105" i="32"/>
  <c r="AE107" i="32"/>
  <c r="AF113" i="32"/>
  <c r="AE115" i="32"/>
  <c r="AF121" i="32"/>
  <c r="AE123" i="32"/>
  <c r="AF129" i="32"/>
  <c r="AE131" i="32"/>
  <c r="AF137" i="32"/>
  <c r="AE139" i="32"/>
  <c r="AF145" i="32"/>
  <c r="AE147" i="32"/>
  <c r="AE11" i="32"/>
  <c r="AF11" i="32"/>
  <c r="AE15" i="32"/>
  <c r="AE23" i="32"/>
  <c r="AE32" i="32"/>
  <c r="AF34" i="32"/>
  <c r="AE40" i="32"/>
  <c r="AE42" i="32"/>
  <c r="AF42" i="32"/>
  <c r="AF46" i="32"/>
  <c r="AE52" i="32"/>
  <c r="AE60" i="32"/>
  <c r="AE68" i="32"/>
  <c r="AE76" i="32"/>
  <c r="AE84" i="32"/>
  <c r="AE92" i="32"/>
  <c r="AE100" i="32"/>
  <c r="AE108" i="32"/>
  <c r="AF110" i="32"/>
  <c r="AE116" i="32"/>
  <c r="AF118" i="32"/>
  <c r="AE124" i="32"/>
  <c r="AF126" i="32"/>
  <c r="AE132" i="32"/>
  <c r="AF134" i="32"/>
  <c r="AE140" i="32"/>
  <c r="AF142" i="32"/>
  <c r="AE148" i="32"/>
  <c r="AE150" i="32"/>
  <c r="AF150" i="32"/>
  <c r="AE154" i="32"/>
  <c r="AF154" i="32"/>
  <c r="AE158" i="32"/>
  <c r="AF158" i="32"/>
  <c r="AF162" i="32"/>
  <c r="AE162" i="32"/>
  <c r="AE47" i="32"/>
  <c r="AF153" i="32"/>
  <c r="AE153" i="32"/>
  <c r="AF157" i="32"/>
  <c r="AE157" i="32"/>
  <c r="AF161" i="32"/>
  <c r="AE161" i="32"/>
  <c r="AF36" i="32"/>
  <c r="AF50" i="32"/>
  <c r="AF56" i="32"/>
  <c r="AF64" i="32"/>
  <c r="AF72" i="32"/>
  <c r="AF80" i="32"/>
  <c r="AF88" i="32"/>
  <c r="AF96" i="32"/>
  <c r="AF104" i="32"/>
  <c r="AF112" i="32"/>
  <c r="AF120" i="32"/>
  <c r="AF128" i="32"/>
  <c r="AF136" i="32"/>
  <c r="AF144" i="32"/>
  <c r="AE12" i="32"/>
  <c r="AF12" i="32"/>
  <c r="S35" i="22"/>
  <c r="T35" i="22"/>
  <c r="S39" i="22"/>
  <c r="T39" i="22"/>
  <c r="AF20" i="32"/>
  <c r="AE29" i="32"/>
  <c r="AE37" i="32"/>
  <c r="AF43" i="32"/>
  <c r="AE43" i="32"/>
  <c r="AE55" i="32"/>
  <c r="AE63" i="32"/>
  <c r="AE71" i="32"/>
  <c r="AE79" i="32"/>
  <c r="AE87" i="32"/>
  <c r="AE95" i="32"/>
  <c r="AE103" i="32"/>
  <c r="AE111" i="32"/>
  <c r="AE119" i="32"/>
  <c r="AE127" i="32"/>
  <c r="AE135" i="32"/>
  <c r="AE143" i="32"/>
  <c r="AE13" i="32"/>
  <c r="AF13" i="32"/>
  <c r="AF21" i="32"/>
  <c r="AF30" i="32"/>
  <c r="AF38" i="32"/>
  <c r="AE44" i="32"/>
  <c r="AF44" i="32"/>
  <c r="AF58" i="32"/>
  <c r="AF66" i="32"/>
  <c r="AF74" i="32"/>
  <c r="AF82" i="32"/>
  <c r="AF90" i="32"/>
  <c r="AF98" i="32"/>
  <c r="AF106" i="32"/>
  <c r="AF114" i="32"/>
  <c r="AF122" i="32"/>
  <c r="AF130" i="32"/>
  <c r="AF138" i="32"/>
  <c r="AF146" i="32"/>
  <c r="AE152" i="32"/>
  <c r="AF152" i="32"/>
  <c r="AE156" i="32"/>
  <c r="AF156" i="32"/>
  <c r="AE160" i="32"/>
  <c r="AF160" i="32"/>
  <c r="AF164" i="32"/>
  <c r="AE164" i="32"/>
  <c r="S27" i="22"/>
  <c r="U27" i="22"/>
  <c r="AE28" i="32"/>
  <c r="AF28" i="32"/>
  <c r="AF151" i="32"/>
  <c r="AE151" i="32"/>
  <c r="AF155" i="32"/>
  <c r="AE155" i="32"/>
  <c r="AF159" i="32"/>
  <c r="AE159" i="32"/>
  <c r="AE163" i="32"/>
  <c r="AF163" i="32"/>
  <c r="AE48" i="32"/>
  <c r="AF48" i="32"/>
  <c r="U30" i="22"/>
  <c r="T30" i="22"/>
  <c r="T38" i="22"/>
  <c r="U38" i="22"/>
  <c r="T41" i="22"/>
  <c r="U41" i="22"/>
  <c r="U32" i="22"/>
  <c r="T32" i="22"/>
  <c r="T27" i="22"/>
  <c r="U29" i="22"/>
  <c r="T29" i="22"/>
  <c r="U31" i="22"/>
  <c r="T31" i="22"/>
  <c r="U28" i="22"/>
  <c r="T28" i="22"/>
  <c r="T36" i="22"/>
  <c r="U36" i="22"/>
  <c r="U37" i="22"/>
  <c r="T37" i="22"/>
  <c r="T10" i="22"/>
  <c r="T13" i="22"/>
  <c r="U36" i="21"/>
  <c r="V36" i="21"/>
  <c r="V30" i="21"/>
  <c r="U30" i="21"/>
  <c r="V46" i="21"/>
  <c r="U46" i="21"/>
  <c r="U16" i="21"/>
  <c r="V16" i="21"/>
  <c r="U24" i="21"/>
  <c r="V24" i="21"/>
  <c r="U32" i="21"/>
  <c r="V32" i="21"/>
  <c r="U40" i="21"/>
  <c r="V40" i="21"/>
  <c r="U48" i="21"/>
  <c r="V48" i="21"/>
  <c r="V56" i="21"/>
  <c r="U56" i="21"/>
  <c r="V64" i="21"/>
  <c r="U64" i="21"/>
  <c r="V72" i="21"/>
  <c r="U72" i="21"/>
  <c r="V80" i="21"/>
  <c r="U80" i="21"/>
  <c r="V88" i="21"/>
  <c r="U88" i="21"/>
  <c r="V96" i="21"/>
  <c r="U96" i="21"/>
  <c r="V104" i="21"/>
  <c r="U104" i="21"/>
  <c r="V112" i="21"/>
  <c r="U112" i="21"/>
  <c r="V120" i="21"/>
  <c r="U120" i="21"/>
  <c r="V128" i="21"/>
  <c r="U128" i="21"/>
  <c r="V136" i="21"/>
  <c r="U136" i="21"/>
  <c r="V144" i="21"/>
  <c r="U144" i="21"/>
  <c r="U152" i="21"/>
  <c r="V152" i="21"/>
  <c r="U160" i="21"/>
  <c r="V160" i="21"/>
  <c r="V13" i="21"/>
  <c r="U13" i="21"/>
  <c r="V21" i="21"/>
  <c r="U21" i="21"/>
  <c r="V29" i="21"/>
  <c r="U29" i="21"/>
  <c r="V37" i="21"/>
  <c r="U37" i="21"/>
  <c r="V45" i="21"/>
  <c r="U45" i="21"/>
  <c r="V53" i="21"/>
  <c r="U53" i="21"/>
  <c r="V61" i="21"/>
  <c r="U61" i="21"/>
  <c r="V69" i="21"/>
  <c r="U69" i="21"/>
  <c r="V77" i="21"/>
  <c r="U77" i="21"/>
  <c r="V85" i="21"/>
  <c r="U85" i="21"/>
  <c r="V93" i="21"/>
  <c r="U93" i="21"/>
  <c r="V101" i="21"/>
  <c r="U101" i="21"/>
  <c r="V109" i="21"/>
  <c r="U109" i="21"/>
  <c r="V117" i="21"/>
  <c r="U117" i="21"/>
  <c r="V125" i="21"/>
  <c r="U125" i="21"/>
  <c r="V133" i="21"/>
  <c r="U133" i="21"/>
  <c r="V141" i="21"/>
  <c r="U141" i="21"/>
  <c r="V149" i="21"/>
  <c r="U149" i="21"/>
  <c r="V157" i="21"/>
  <c r="U157" i="21"/>
  <c r="U12" i="21"/>
  <c r="V12" i="21"/>
  <c r="U28" i="21"/>
  <c r="V28" i="21"/>
  <c r="V14" i="21"/>
  <c r="V38" i="21"/>
  <c r="U38" i="21"/>
  <c r="V62" i="21"/>
  <c r="U62" i="21"/>
  <c r="V10" i="21"/>
  <c r="U10" i="21"/>
  <c r="V18" i="21"/>
  <c r="U18" i="21"/>
  <c r="V26" i="21"/>
  <c r="U26" i="21"/>
  <c r="V34" i="21"/>
  <c r="U34" i="21"/>
  <c r="V42" i="21"/>
  <c r="U42" i="21"/>
  <c r="V50" i="21"/>
  <c r="U50" i="21"/>
  <c r="V58" i="21"/>
  <c r="U58" i="21"/>
  <c r="V66" i="21"/>
  <c r="U66" i="21"/>
  <c r="V74" i="21"/>
  <c r="U74" i="21"/>
  <c r="V82" i="21"/>
  <c r="U82" i="21"/>
  <c r="V90" i="21"/>
  <c r="U90" i="21"/>
  <c r="V98" i="21"/>
  <c r="U98" i="21"/>
  <c r="V106" i="21"/>
  <c r="U106" i="21"/>
  <c r="V114" i="21"/>
  <c r="U114" i="21"/>
  <c r="V122" i="21"/>
  <c r="U122" i="21"/>
  <c r="V130" i="21"/>
  <c r="U130" i="21"/>
  <c r="V138" i="21"/>
  <c r="U138" i="21"/>
  <c r="V146" i="21"/>
  <c r="U146" i="21"/>
  <c r="V154" i="21"/>
  <c r="U154" i="21"/>
  <c r="V162" i="21"/>
  <c r="U162" i="21"/>
  <c r="V15" i="21"/>
  <c r="U15" i="21"/>
  <c r="V23" i="21"/>
  <c r="U23" i="21"/>
  <c r="U31" i="21"/>
  <c r="V31" i="21"/>
  <c r="V39" i="21"/>
  <c r="U39" i="21"/>
  <c r="U47" i="21"/>
  <c r="V47" i="21"/>
  <c r="U55" i="21"/>
  <c r="V55" i="21"/>
  <c r="U63" i="21"/>
  <c r="V63" i="21"/>
  <c r="U71" i="21"/>
  <c r="V71" i="21"/>
  <c r="V79" i="21"/>
  <c r="U79" i="21"/>
  <c r="V87" i="21"/>
  <c r="U87" i="21"/>
  <c r="V95" i="21"/>
  <c r="U95" i="21"/>
  <c r="V103" i="21"/>
  <c r="U103" i="21"/>
  <c r="V111" i="21"/>
  <c r="U111" i="21"/>
  <c r="V119" i="21"/>
  <c r="U119" i="21"/>
  <c r="V127" i="21"/>
  <c r="U127" i="21"/>
  <c r="V135" i="21"/>
  <c r="U135" i="21"/>
  <c r="V143" i="21"/>
  <c r="U143" i="21"/>
  <c r="U151" i="21"/>
  <c r="V151" i="21"/>
  <c r="U159" i="21"/>
  <c r="V159" i="21"/>
  <c r="U20" i="21"/>
  <c r="V20" i="21"/>
  <c r="U44" i="21"/>
  <c r="V44" i="21"/>
  <c r="V52" i="21"/>
  <c r="U52" i="21"/>
  <c r="V60" i="21"/>
  <c r="U60" i="21"/>
  <c r="V68" i="21"/>
  <c r="U68" i="21"/>
  <c r="V76" i="21"/>
  <c r="U76" i="21"/>
  <c r="V84" i="21"/>
  <c r="U84" i="21"/>
  <c r="V92" i="21"/>
  <c r="U92" i="21"/>
  <c r="V100" i="21"/>
  <c r="U100" i="21"/>
  <c r="V108" i="21"/>
  <c r="U108" i="21"/>
  <c r="V116" i="21"/>
  <c r="U116" i="21"/>
  <c r="V124" i="21"/>
  <c r="U124" i="21"/>
  <c r="V132" i="21"/>
  <c r="U132" i="21"/>
  <c r="V140" i="21"/>
  <c r="U140" i="21"/>
  <c r="V148" i="21"/>
  <c r="U148" i="21"/>
  <c r="U156" i="21"/>
  <c r="V156" i="21"/>
  <c r="U9" i="21"/>
  <c r="V9" i="21"/>
  <c r="V17" i="21"/>
  <c r="U17" i="21"/>
  <c r="V25" i="21"/>
  <c r="U25" i="21"/>
  <c r="V33" i="21"/>
  <c r="U33" i="21"/>
  <c r="V41" i="21"/>
  <c r="U41" i="21"/>
  <c r="V49" i="21"/>
  <c r="U49" i="21"/>
  <c r="V57" i="21"/>
  <c r="U57" i="21"/>
  <c r="V65" i="21"/>
  <c r="U65" i="21"/>
  <c r="V73" i="21"/>
  <c r="U73" i="21"/>
  <c r="V81" i="21"/>
  <c r="U81" i="21"/>
  <c r="V89" i="21"/>
  <c r="U89" i="21"/>
  <c r="V97" i="21"/>
  <c r="U97" i="21"/>
  <c r="V105" i="21"/>
  <c r="U105" i="21"/>
  <c r="V113" i="21"/>
  <c r="U113" i="21"/>
  <c r="V121" i="21"/>
  <c r="U121" i="21"/>
  <c r="V129" i="21"/>
  <c r="U129" i="21"/>
  <c r="V137" i="21"/>
  <c r="U137" i="21"/>
  <c r="V145" i="21"/>
  <c r="U145" i="21"/>
  <c r="V153" i="21"/>
  <c r="U153" i="21"/>
  <c r="V161" i="21"/>
  <c r="U161" i="21"/>
  <c r="V22" i="21"/>
  <c r="U22" i="21"/>
  <c r="V54" i="21"/>
  <c r="U54" i="21"/>
  <c r="V70" i="21"/>
  <c r="U70" i="21"/>
  <c r="V78" i="21"/>
  <c r="U78" i="21"/>
  <c r="V86" i="21"/>
  <c r="U86" i="21"/>
  <c r="V94" i="21"/>
  <c r="U94" i="21"/>
  <c r="V102" i="21"/>
  <c r="U102" i="21"/>
  <c r="V110" i="21"/>
  <c r="U110" i="21"/>
  <c r="V118" i="21"/>
  <c r="U118" i="21"/>
  <c r="V126" i="21"/>
  <c r="U126" i="21"/>
  <c r="V134" i="21"/>
  <c r="U134" i="21"/>
  <c r="V142" i="21"/>
  <c r="U142" i="21"/>
  <c r="U150" i="21"/>
  <c r="V150" i="21"/>
  <c r="V158" i="21"/>
  <c r="U158" i="21"/>
  <c r="V11" i="21"/>
  <c r="U11" i="21"/>
  <c r="U19" i="21"/>
  <c r="V19" i="21"/>
  <c r="V27" i="21"/>
  <c r="U27" i="21"/>
  <c r="U35" i="21"/>
  <c r="V35" i="21"/>
  <c r="V43" i="21"/>
  <c r="U43" i="21"/>
  <c r="V51" i="21"/>
  <c r="U51" i="21"/>
  <c r="V59" i="21"/>
  <c r="U59" i="21"/>
  <c r="V67" i="21"/>
  <c r="U67" i="21"/>
  <c r="V75" i="21"/>
  <c r="U75" i="21"/>
  <c r="V83" i="21"/>
  <c r="U83" i="21"/>
  <c r="V91" i="21"/>
  <c r="U91" i="21"/>
  <c r="V99" i="21"/>
  <c r="U99" i="21"/>
  <c r="V107" i="21"/>
  <c r="U107" i="21"/>
  <c r="V115" i="21"/>
  <c r="U115" i="21"/>
  <c r="V123" i="21"/>
  <c r="U123" i="21"/>
  <c r="V131" i="21"/>
  <c r="U131" i="21"/>
  <c r="V139" i="21"/>
  <c r="U139" i="21"/>
  <c r="V147" i="21"/>
  <c r="U147" i="21"/>
  <c r="U155" i="21"/>
  <c r="V155" i="21"/>
  <c r="U163" i="21"/>
  <c r="V163" i="21"/>
  <c r="AG64" i="32"/>
  <c r="T33" i="22"/>
  <c r="U39" i="22"/>
  <c r="AH126" i="32"/>
  <c r="AG96" i="32"/>
  <c r="AG57" i="32"/>
  <c r="AH117" i="32"/>
  <c r="AH35" i="32"/>
  <c r="U40" i="22"/>
  <c r="AH56" i="32"/>
  <c r="AG125" i="32"/>
  <c r="AG110" i="32"/>
  <c r="AH141" i="32"/>
  <c r="AG72" i="32"/>
  <c r="AH16" i="32"/>
  <c r="AH24" i="32"/>
  <c r="U34" i="22"/>
  <c r="AG101" i="32"/>
  <c r="AG27" i="32"/>
  <c r="U35" i="22"/>
  <c r="AH118" i="32"/>
  <c r="AH88" i="32"/>
  <c r="AH62" i="32"/>
  <c r="AH133" i="32"/>
  <c r="AH93" i="32"/>
  <c r="U11" i="22"/>
  <c r="AG156" i="32"/>
  <c r="AH156" i="32"/>
  <c r="AG44" i="32"/>
  <c r="AH44" i="32"/>
  <c r="AG127" i="32"/>
  <c r="AH127" i="32"/>
  <c r="AG95" i="32"/>
  <c r="AH95" i="32"/>
  <c r="AG63" i="32"/>
  <c r="AH63" i="32"/>
  <c r="AG37" i="32"/>
  <c r="AH37" i="32"/>
  <c r="AG12" i="32"/>
  <c r="AH12" i="32"/>
  <c r="AG140" i="32"/>
  <c r="AH140" i="32"/>
  <c r="AG124" i="32"/>
  <c r="AH124" i="32"/>
  <c r="AG108" i="32"/>
  <c r="AH108" i="32"/>
  <c r="AG76" i="32"/>
  <c r="AH76" i="32"/>
  <c r="AG139" i="32"/>
  <c r="AH139" i="32"/>
  <c r="AG123" i="32"/>
  <c r="AH123" i="32"/>
  <c r="AG107" i="32"/>
  <c r="AH107" i="32"/>
  <c r="AG59" i="32"/>
  <c r="AH59" i="32"/>
  <c r="AG45" i="32"/>
  <c r="AH45" i="32"/>
  <c r="AG22" i="32"/>
  <c r="AH22" i="32"/>
  <c r="AG31" i="32"/>
  <c r="AH31" i="32"/>
  <c r="AG138" i="32"/>
  <c r="AH138" i="32"/>
  <c r="AG99" i="32"/>
  <c r="AH99" i="32"/>
  <c r="AG83" i="32"/>
  <c r="AH83" i="32"/>
  <c r="AG66" i="32"/>
  <c r="AH66" i="32"/>
  <c r="AG130" i="32"/>
  <c r="AH130" i="32"/>
  <c r="AG36" i="32"/>
  <c r="AH36" i="32"/>
  <c r="AG142" i="32"/>
  <c r="AH142" i="32"/>
  <c r="AG129" i="32"/>
  <c r="AH129" i="32"/>
  <c r="AG113" i="32"/>
  <c r="AH113" i="32"/>
  <c r="AG38" i="32"/>
  <c r="AH38" i="32"/>
  <c r="AG20" i="32"/>
  <c r="AH20" i="32"/>
  <c r="AG155" i="32"/>
  <c r="AH155" i="32"/>
  <c r="AG13" i="32"/>
  <c r="AH13" i="32"/>
  <c r="AG119" i="32"/>
  <c r="AH119" i="32"/>
  <c r="AG87" i="32"/>
  <c r="AH87" i="32"/>
  <c r="AG55" i="32"/>
  <c r="AH55" i="32"/>
  <c r="AG29" i="32"/>
  <c r="AH29" i="32"/>
  <c r="AG157" i="32"/>
  <c r="AH157" i="32"/>
  <c r="AG47" i="32"/>
  <c r="AH47" i="32"/>
  <c r="AG158" i="32"/>
  <c r="AH158" i="32"/>
  <c r="AG150" i="32"/>
  <c r="AH150" i="32"/>
  <c r="AG100" i="32"/>
  <c r="AH100" i="32"/>
  <c r="AG68" i="32"/>
  <c r="AH68" i="32"/>
  <c r="AG32" i="32"/>
  <c r="AH32" i="32"/>
  <c r="AG11" i="32"/>
  <c r="AH11" i="32"/>
  <c r="AG14" i="32"/>
  <c r="AH14" i="32"/>
  <c r="AG41" i="32"/>
  <c r="AH41" i="32"/>
  <c r="AG128" i="32"/>
  <c r="AH128" i="32"/>
  <c r="AG98" i="32"/>
  <c r="AH98" i="32"/>
  <c r="AG82" i="32"/>
  <c r="AH82" i="32"/>
  <c r="AG58" i="32"/>
  <c r="AH58" i="32"/>
  <c r="AG34" i="32"/>
  <c r="AH34" i="32"/>
  <c r="AG122" i="32"/>
  <c r="AH122" i="32"/>
  <c r="AG137" i="32"/>
  <c r="AH137" i="32"/>
  <c r="AG65" i="32"/>
  <c r="AH65" i="32"/>
  <c r="AG30" i="32"/>
  <c r="AH30" i="32"/>
  <c r="AG18" i="32"/>
  <c r="AH18" i="32"/>
  <c r="AG163" i="32"/>
  <c r="AH163" i="32"/>
  <c r="AG28" i="32"/>
  <c r="AH28" i="32"/>
  <c r="AG160" i="32"/>
  <c r="AH160" i="32"/>
  <c r="AG152" i="32"/>
  <c r="AH152" i="32"/>
  <c r="AG143" i="32"/>
  <c r="AH143" i="32"/>
  <c r="AG111" i="32"/>
  <c r="AH111" i="32"/>
  <c r="AG79" i="32"/>
  <c r="AH79" i="32"/>
  <c r="AG43" i="32"/>
  <c r="AH43" i="32"/>
  <c r="AG162" i="32"/>
  <c r="AH162" i="32"/>
  <c r="AG148" i="32"/>
  <c r="AH148" i="32"/>
  <c r="AG132" i="32"/>
  <c r="AH132" i="32"/>
  <c r="AG116" i="32"/>
  <c r="AH116" i="32"/>
  <c r="AG92" i="32"/>
  <c r="AH92" i="32"/>
  <c r="AG60" i="32"/>
  <c r="AH60" i="32"/>
  <c r="AG42" i="32"/>
  <c r="AH42" i="32"/>
  <c r="AG23" i="32"/>
  <c r="AH23" i="32"/>
  <c r="AG147" i="32"/>
  <c r="AH147" i="32"/>
  <c r="AG131" i="32"/>
  <c r="AH131" i="32"/>
  <c r="AG115" i="32"/>
  <c r="AH115" i="32"/>
  <c r="AG67" i="32"/>
  <c r="AH67" i="32"/>
  <c r="AG51" i="32"/>
  <c r="AH51" i="32"/>
  <c r="AG21" i="32"/>
  <c r="AH21" i="32"/>
  <c r="AG39" i="32"/>
  <c r="AH39" i="32"/>
  <c r="AG120" i="32"/>
  <c r="AH120" i="32"/>
  <c r="AG91" i="32"/>
  <c r="AH91" i="32"/>
  <c r="AG75" i="32"/>
  <c r="AH75" i="32"/>
  <c r="AG50" i="32"/>
  <c r="AH50" i="32"/>
  <c r="AG114" i="32"/>
  <c r="AH114" i="32"/>
  <c r="AH10" i="32"/>
  <c r="AG10" i="32"/>
  <c r="AG134" i="32"/>
  <c r="AH134" i="32"/>
  <c r="AG121" i="32"/>
  <c r="AH121" i="32"/>
  <c r="AG105" i="32"/>
  <c r="AH105" i="32"/>
  <c r="AG48" i="32"/>
  <c r="AH48" i="32"/>
  <c r="AG159" i="32"/>
  <c r="AH159" i="32"/>
  <c r="AG151" i="32"/>
  <c r="AH151" i="32"/>
  <c r="AG164" i="32"/>
  <c r="AH164" i="32"/>
  <c r="AG135" i="32"/>
  <c r="AH135" i="32"/>
  <c r="AG103" i="32"/>
  <c r="AH103" i="32"/>
  <c r="AG71" i="32"/>
  <c r="AH71" i="32"/>
  <c r="AG161" i="32"/>
  <c r="AH161" i="32"/>
  <c r="AG153" i="32"/>
  <c r="AH153" i="32"/>
  <c r="AG154" i="32"/>
  <c r="AH154" i="32"/>
  <c r="AG84" i="32"/>
  <c r="AH84" i="32"/>
  <c r="AG52" i="32"/>
  <c r="AH52" i="32"/>
  <c r="AG40" i="32"/>
  <c r="AH40" i="32"/>
  <c r="AG15" i="32"/>
  <c r="AH15" i="32"/>
  <c r="AG33" i="32"/>
  <c r="AH33" i="32"/>
  <c r="AG146" i="32"/>
  <c r="AH146" i="32"/>
  <c r="AG112" i="32"/>
  <c r="AH112" i="32"/>
  <c r="AG90" i="32"/>
  <c r="AH90" i="32"/>
  <c r="AG74" i="32"/>
  <c r="AH74" i="32"/>
  <c r="AG46" i="32"/>
  <c r="AH46" i="32"/>
  <c r="AG106" i="32"/>
  <c r="AH106" i="32"/>
  <c r="AG145" i="32"/>
  <c r="AH145" i="32"/>
  <c r="AG73" i="32"/>
  <c r="AH73" i="32"/>
  <c r="AG26" i="32"/>
  <c r="AH26" i="32"/>
  <c r="U10" i="22"/>
  <c r="U13" i="22"/>
  <c r="T11" i="22"/>
  <c r="U12" i="22"/>
  <c r="T12" i="22"/>
</calcChain>
</file>

<file path=xl/sharedStrings.xml><?xml version="1.0" encoding="utf-8"?>
<sst xmlns="http://schemas.openxmlformats.org/spreadsheetml/2006/main" count="6625" uniqueCount="438">
  <si>
    <t xml:space="preserve">ELECTRICITY INFORMATION (2009 Edition)  PART II  - </t>
  </si>
  <si>
    <t xml:space="preserve"> II.5</t>
  </si>
  <si>
    <t>(TWh)</t>
  </si>
  <si>
    <t>Supply</t>
  </si>
  <si>
    <t xml:space="preserve">Algeria       </t>
  </si>
  <si>
    <t xml:space="preserve">- </t>
  </si>
  <si>
    <t xml:space="preserve">Angola        </t>
  </si>
  <si>
    <t>Benin</t>
  </si>
  <si>
    <t>Botswana</t>
  </si>
  <si>
    <t>Cameroon</t>
  </si>
  <si>
    <t>Congo</t>
  </si>
  <si>
    <t>DR of Congo</t>
  </si>
  <si>
    <t>Côte d'Ivoire</t>
  </si>
  <si>
    <t>Egypt</t>
  </si>
  <si>
    <t>Eritrea</t>
  </si>
  <si>
    <t>Ethiopia</t>
  </si>
  <si>
    <t>Gabon</t>
  </si>
  <si>
    <t>Ghana</t>
  </si>
  <si>
    <t>Kenya</t>
  </si>
  <si>
    <t>Libya</t>
  </si>
  <si>
    <t>Morocco</t>
  </si>
  <si>
    <t>Mozambique</t>
  </si>
  <si>
    <t>Namibia</t>
  </si>
  <si>
    <t>Nigeria</t>
  </si>
  <si>
    <t>Senegal</t>
  </si>
  <si>
    <t>South Africa</t>
  </si>
  <si>
    <t>Sudan</t>
  </si>
  <si>
    <t>UR of Tanzania</t>
  </si>
  <si>
    <t>Togo</t>
  </si>
  <si>
    <t>Tunisia</t>
  </si>
  <si>
    <t>Zambia</t>
  </si>
  <si>
    <t>Zimbabwe</t>
  </si>
  <si>
    <t>Other Africa</t>
  </si>
  <si>
    <t>Africa</t>
  </si>
  <si>
    <t>Argentina</t>
  </si>
  <si>
    <t>Bolivia</t>
  </si>
  <si>
    <t>Brazil</t>
  </si>
  <si>
    <t>Chile</t>
  </si>
  <si>
    <t>Colombia</t>
  </si>
  <si>
    <t>Costa Rica</t>
  </si>
  <si>
    <t>Cuba</t>
  </si>
  <si>
    <t>Dominican Rep.</t>
  </si>
  <si>
    <t>Ecuador</t>
  </si>
  <si>
    <t>El Salvador</t>
  </si>
  <si>
    <t>Guatemala</t>
  </si>
  <si>
    <t>Source:</t>
  </si>
  <si>
    <t>(1)  Gross production refers to total main activity producers and autoproducers production, including production from pumped storage.</t>
  </si>
  <si>
    <t>(2)  Other use refers to used for heat pumps, electric boilers and pumped storage.</t>
  </si>
  <si>
    <t>(3)  Includes distribution losses.</t>
  </si>
  <si>
    <t>(4)  Electricity consumed by transformation industries for heating, traction and lighting purposes; excludes own and other use.</t>
  </si>
  <si>
    <t>(5)  Calculated Final Consumption may differ from Observed Final Consumption due to statistical difference.</t>
  </si>
  <si>
    <t>INTERNATIONAL ENERGY AGENCY</t>
  </si>
  <si>
    <t xml:space="preserve"> </t>
  </si>
  <si>
    <t>Gross production (1)</t>
  </si>
  <si>
    <t>Imports</t>
  </si>
  <si>
    <t>Exports</t>
  </si>
  <si>
    <t>Own use</t>
  </si>
  <si>
    <t>Other use (2)</t>
  </si>
  <si>
    <t>Transm. Losses (3)</t>
  </si>
  <si>
    <t>Energy sector (4)</t>
  </si>
  <si>
    <t>Calc. Consumption (5)</t>
  </si>
  <si>
    <t>Table 1.1.  ELECTRICITY PRODUCTION, IMPORTS, EXPORTS, FINAL CONSUMPTION, 2007 (continued)</t>
  </si>
  <si>
    <t>-</t>
  </si>
  <si>
    <t xml:space="preserve">  IEA/OECD Energy Statistics of OECD Countries and IEA/OECD Energy Statistics of Non-OECD Countries.</t>
  </si>
  <si>
    <t>Total</t>
  </si>
  <si>
    <t>World</t>
  </si>
  <si>
    <t>Australia</t>
  </si>
  <si>
    <t>Austria</t>
  </si>
  <si>
    <t>Belgium</t>
  </si>
  <si>
    <t>Canada</t>
  </si>
  <si>
    <t>Denmark</t>
  </si>
  <si>
    <t>Finland</t>
  </si>
  <si>
    <t>France</t>
  </si>
  <si>
    <t>Germany</t>
  </si>
  <si>
    <t>Greece</t>
  </si>
  <si>
    <t>Hungary</t>
  </si>
  <si>
    <t>Iceland</t>
  </si>
  <si>
    <t>Ireland</t>
  </si>
  <si>
    <t>Italy</t>
  </si>
  <si>
    <t>Japan</t>
  </si>
  <si>
    <t>Korea</t>
  </si>
  <si>
    <t>Luxembourg</t>
  </si>
  <si>
    <t>Mexico</t>
  </si>
  <si>
    <t>Netherlands</t>
  </si>
  <si>
    <t>Norway</t>
  </si>
  <si>
    <t>Poland</t>
  </si>
  <si>
    <t>Portugal</t>
  </si>
  <si>
    <t>Spain</t>
  </si>
  <si>
    <t>Sweden</t>
  </si>
  <si>
    <t>Switzerland</t>
  </si>
  <si>
    <t>Turkey</t>
  </si>
  <si>
    <t xml:space="preserve">OECD Total     </t>
  </si>
  <si>
    <t xml:space="preserve">Non-OECD Total </t>
  </si>
  <si>
    <t>Czech Republic</t>
  </si>
  <si>
    <t>New Zealand</t>
  </si>
  <si>
    <t>Slovak Republic</t>
  </si>
  <si>
    <t>United Kingdom</t>
  </si>
  <si>
    <t>United States</t>
  </si>
  <si>
    <t>OECD Total</t>
  </si>
  <si>
    <t>OECD Europe</t>
  </si>
  <si>
    <t>OECD Pacific</t>
  </si>
  <si>
    <t>OECD N. America</t>
  </si>
  <si>
    <t>Table 1.1.  ELECTRICITY PRODUCTION, IMPORTS, EXPORTS, FINAL CONSUMPTION, 2007</t>
  </si>
  <si>
    <t xml:space="preserve"> II.4</t>
  </si>
  <si>
    <t xml:space="preserve">Haiti             </t>
  </si>
  <si>
    <t xml:space="preserve">Honduras          </t>
  </si>
  <si>
    <t>Jamaica</t>
  </si>
  <si>
    <t>N. Antilles</t>
  </si>
  <si>
    <t>Nicaragua</t>
  </si>
  <si>
    <t>Panama</t>
  </si>
  <si>
    <t>Paraguay</t>
  </si>
  <si>
    <t>Peru</t>
  </si>
  <si>
    <t>Trinidad and T.</t>
  </si>
  <si>
    <t>Uruguay</t>
  </si>
  <si>
    <t>Venezuela</t>
  </si>
  <si>
    <t>Oth. Lat. America</t>
  </si>
  <si>
    <t>Latin America</t>
  </si>
  <si>
    <t>Bangladesh</t>
  </si>
  <si>
    <t>Brunei Darussalam</t>
  </si>
  <si>
    <t>Cambodia</t>
  </si>
  <si>
    <t>India</t>
  </si>
  <si>
    <t>Indonesia</t>
  </si>
  <si>
    <t>DPR of Korea</t>
  </si>
  <si>
    <t>Malaysia</t>
  </si>
  <si>
    <t>Mongolia</t>
  </si>
  <si>
    <t>Myanmar</t>
  </si>
  <si>
    <t>Nepal</t>
  </si>
  <si>
    <t>Pakistan</t>
  </si>
  <si>
    <t>Philippines</t>
  </si>
  <si>
    <t>Singapore</t>
  </si>
  <si>
    <t>Sri Lanka</t>
  </si>
  <si>
    <t>Chinese Taipei</t>
  </si>
  <si>
    <t>Thailand</t>
  </si>
  <si>
    <t>Vietnam</t>
  </si>
  <si>
    <t>Other Asia</t>
  </si>
  <si>
    <t>Asia (excl. China)</t>
  </si>
  <si>
    <t>PR of China</t>
  </si>
  <si>
    <t>Hong Kong</t>
  </si>
  <si>
    <t>China (Region)</t>
  </si>
  <si>
    <t>Albania</t>
  </si>
  <si>
    <t>Bosnia and H.</t>
  </si>
  <si>
    <t>Bulgaria</t>
  </si>
  <si>
    <t>Croatia</t>
  </si>
  <si>
    <t>Cyprus</t>
  </si>
  <si>
    <t xml:space="preserve"> II.6</t>
  </si>
  <si>
    <t xml:space="preserve"> II.7</t>
  </si>
  <si>
    <t>F.Y.R. Macedonia</t>
  </si>
  <si>
    <t xml:space="preserve">Gibraltar       </t>
  </si>
  <si>
    <t>Malta</t>
  </si>
  <si>
    <t>Romania</t>
  </si>
  <si>
    <t>Serbia</t>
  </si>
  <si>
    <t>Slovenia</t>
  </si>
  <si>
    <t>Non-OECD Europe</t>
  </si>
  <si>
    <t>Armenia</t>
  </si>
  <si>
    <t>Azerbaijan</t>
  </si>
  <si>
    <t>Belarus</t>
  </si>
  <si>
    <t>Estonia</t>
  </si>
  <si>
    <t>Georgia</t>
  </si>
  <si>
    <t>Kazakhstan</t>
  </si>
  <si>
    <t>Kyrgyzstan</t>
  </si>
  <si>
    <t>Latvia</t>
  </si>
  <si>
    <t>Lithuania</t>
  </si>
  <si>
    <t>Rep. of Moldova</t>
  </si>
  <si>
    <t>Russia</t>
  </si>
  <si>
    <t>Tajikistan</t>
  </si>
  <si>
    <t>Turkmenistan</t>
  </si>
  <si>
    <t>Ukraine</t>
  </si>
  <si>
    <t>Uzbekistan</t>
  </si>
  <si>
    <t>FSU</t>
  </si>
  <si>
    <t>Bahrain</t>
  </si>
  <si>
    <t>IR of Iran</t>
  </si>
  <si>
    <t>Iraq</t>
  </si>
  <si>
    <t>Israel</t>
  </si>
  <si>
    <t>Jordan</t>
  </si>
  <si>
    <t>Kuwait</t>
  </si>
  <si>
    <t>Lebanon</t>
  </si>
  <si>
    <t>Oman</t>
  </si>
  <si>
    <t>Qatar</t>
  </si>
  <si>
    <t>Saudi Arabia</t>
  </si>
  <si>
    <t>Syria</t>
  </si>
  <si>
    <t>UAE</t>
  </si>
  <si>
    <t>Yemen</t>
  </si>
  <si>
    <t>Middle East</t>
  </si>
  <si>
    <t>Non-OECD Total</t>
  </si>
  <si>
    <t xml:space="preserve"> II.8</t>
  </si>
  <si>
    <t>Table 1.2. GROSS ELECTRICITY PRODUCTION, BY COUNTRY, BY SOURCE, 2007</t>
  </si>
  <si>
    <t>Nuclear</t>
  </si>
  <si>
    <t>Hydro</t>
  </si>
  <si>
    <t>Geothermal</t>
  </si>
  <si>
    <t xml:space="preserve">Solar/Wind (1) </t>
  </si>
  <si>
    <t>Fossil fuels (2)</t>
  </si>
  <si>
    <t>Comb.renew &amp; Waste</t>
  </si>
  <si>
    <t>(1)  Includes tide, wave, ocean and other (fuel cells etc).</t>
  </si>
  <si>
    <t>(2)  Includes hard coal, brown coal, peat, coal gases, oil products and natural gas.</t>
  </si>
  <si>
    <t>(3)  Includes wood/wood waste/other solid waste, industrial and municipal waste, biogas and liquid biofuels.</t>
  </si>
  <si>
    <t>Note:  Including electricity production from pumped storage.</t>
  </si>
  <si>
    <t xml:space="preserve"> II.9</t>
  </si>
  <si>
    <t>Table 1.2. GROSS ELECTRICITY PRODUCTION, BY COUNTRY, BY SOURCE, 2007 (continued)</t>
  </si>
  <si>
    <t xml:space="preserve"> II.10</t>
  </si>
  <si>
    <t xml:space="preserve"> II.11</t>
  </si>
  <si>
    <t xml:space="preserve"> II.12</t>
  </si>
  <si>
    <t>Hard Coal</t>
  </si>
  <si>
    <t>Brown Coal</t>
  </si>
  <si>
    <t>Peat</t>
  </si>
  <si>
    <t>Gases</t>
  </si>
  <si>
    <t>Oil</t>
  </si>
  <si>
    <t xml:space="preserve">Gas </t>
  </si>
  <si>
    <t>Wood</t>
  </si>
  <si>
    <t>Indust. Waste</t>
  </si>
  <si>
    <t>Municip. Waste</t>
  </si>
  <si>
    <t>Biogas liq. Biof.</t>
  </si>
  <si>
    <t xml:space="preserve"> II.13</t>
  </si>
  <si>
    <t>Table 1.3. GROSS ELECTRICITY PRODUCTION FROM combustible fuels, by country, 2007 (continued)</t>
  </si>
  <si>
    <t xml:space="preserve">Table 1.3. GROSS ELECTRICITY PRODUCTION FROM combustible fuels, by country, 2007 </t>
  </si>
  <si>
    <t xml:space="preserve"> II.14</t>
  </si>
  <si>
    <t xml:space="preserve"> II.15</t>
  </si>
  <si>
    <t xml:space="preserve"> II.4-7</t>
  </si>
  <si>
    <t>p. 70-73</t>
  </si>
  <si>
    <t xml:space="preserve"> II.8-11</t>
  </si>
  <si>
    <t>p. 74-77</t>
  </si>
  <si>
    <t>p. 78-81</t>
  </si>
  <si>
    <t xml:space="preserve"> II.12-15</t>
  </si>
  <si>
    <t>Nr.</t>
  </si>
  <si>
    <t>REU</t>
  </si>
  <si>
    <t>NOA</t>
  </si>
  <si>
    <t>RAF</t>
  </si>
  <si>
    <t>RAM</t>
  </si>
  <si>
    <t>RAS</t>
  </si>
  <si>
    <t>OCE</t>
  </si>
  <si>
    <t>AUT</t>
  </si>
  <si>
    <t>MEA</t>
  </si>
  <si>
    <t>BNX</t>
  </si>
  <si>
    <t>BRZ</t>
  </si>
  <si>
    <t>EUE</t>
  </si>
  <si>
    <t>NAF</t>
  </si>
  <si>
    <t>EUS</t>
  </si>
  <si>
    <t>EUN</t>
  </si>
  <si>
    <t>OPC</t>
  </si>
  <si>
    <t>DEU</t>
  </si>
  <si>
    <t>CHI</t>
  </si>
  <si>
    <t>EFT</t>
  </si>
  <si>
    <t>IND</t>
  </si>
  <si>
    <t>UKI</t>
  </si>
  <si>
    <t>JAK</t>
  </si>
  <si>
    <t>RUS</t>
  </si>
  <si>
    <t>RSA</t>
  </si>
  <si>
    <t>SWZ</t>
  </si>
  <si>
    <t>USA</t>
  </si>
  <si>
    <t>= Taiwan</t>
  </si>
  <si>
    <t xml:space="preserve">FRA </t>
  </si>
  <si>
    <t>TOTAL</t>
  </si>
  <si>
    <t>FOSSIL FUELS</t>
  </si>
  <si>
    <t>COMBUSTIBLE RENEWABLES &amp; WASTE</t>
  </si>
  <si>
    <t>COAL</t>
  </si>
  <si>
    <t>see Table 1.2</t>
  </si>
  <si>
    <t>= Row sums of Table 1.3</t>
  </si>
  <si>
    <t>RENEWABLES</t>
  </si>
  <si>
    <t>NUCLEAR</t>
  </si>
  <si>
    <t>COMBUSTIBLE FUELS</t>
  </si>
  <si>
    <t>GROSS ELECTRICITY PRODUCTION</t>
  </si>
  <si>
    <t>= Gross production</t>
  </si>
  <si>
    <t>[Table 1.1, column B]</t>
  </si>
  <si>
    <t>Code</t>
  </si>
  <si>
    <t>comments</t>
  </si>
  <si>
    <t>Country</t>
  </si>
  <si>
    <t>Check code</t>
  </si>
  <si>
    <t>Zusammensetzung Gross Electricity Production</t>
  </si>
  <si>
    <t>Table 1.2</t>
  </si>
  <si>
    <t>Table 1.3</t>
  </si>
  <si>
    <t>Table 1.1</t>
  </si>
  <si>
    <t>TEST</t>
  </si>
  <si>
    <t>Table 1.2 - Table 1.1</t>
  </si>
  <si>
    <t>GROSS ELECTRICITY PRODUCTION, TWh, 2007</t>
  </si>
  <si>
    <t>Table 1.1 - 1.3</t>
  </si>
  <si>
    <t>Part II</t>
  </si>
  <si>
    <t>NEWAGE CODE</t>
  </si>
  <si>
    <t>sort by code</t>
  </si>
  <si>
    <t>zAfrica</t>
  </si>
  <si>
    <t>zAsia (excl. China)</t>
  </si>
  <si>
    <t>zChina (Region)</t>
  </si>
  <si>
    <t>zFSU</t>
  </si>
  <si>
    <t>zLatin America</t>
  </si>
  <si>
    <t>zMiddle East</t>
  </si>
  <si>
    <t>zNon-OECD Europe</t>
  </si>
  <si>
    <t>zNon-OECD Total</t>
  </si>
  <si>
    <t xml:space="preserve">zNon-OECD Total </t>
  </si>
  <si>
    <t>zOECD Europe</t>
  </si>
  <si>
    <t>zOECD N. America</t>
  </si>
  <si>
    <t>zOECD Pacific</t>
  </si>
  <si>
    <t>zOECD Total</t>
  </si>
  <si>
    <t xml:space="preserve">zOECD Total     </t>
  </si>
  <si>
    <t>zWorld</t>
  </si>
  <si>
    <t>bNUC</t>
  </si>
  <si>
    <t>bHYDRO + pHYDRO</t>
  </si>
  <si>
    <t>bGEO</t>
  </si>
  <si>
    <t>mSOLAR + mWIND</t>
  </si>
  <si>
    <t>bBC</t>
  </si>
  <si>
    <t>bOIL + mOIL + pOIL</t>
  </si>
  <si>
    <t>bGAS + mGAS + pGAS</t>
  </si>
  <si>
    <t>bBIO</t>
  </si>
  <si>
    <t>bHC + mHC + bCCS + mCCS</t>
  </si>
  <si>
    <t>?</t>
  </si>
  <si>
    <t>ok</t>
  </si>
  <si>
    <t>TOTAL - Table 1.1</t>
  </si>
  <si>
    <t>TOTAL - Table 1.2</t>
  </si>
  <si>
    <t>Zu UK</t>
  </si>
  <si>
    <t>Gibraltar</t>
  </si>
  <si>
    <t>Gas?</t>
  </si>
  <si>
    <t>bBC?</t>
  </si>
  <si>
    <t>Peat + Gases + Waste &lt; 1,13 % of TOTAL</t>
  </si>
  <si>
    <t>bHYDRO</t>
  </si>
  <si>
    <t xml:space="preserve"> pHYDRO</t>
  </si>
  <si>
    <t>mSOLAR</t>
  </si>
  <si>
    <t>mWIND</t>
  </si>
  <si>
    <t>mHC</t>
  </si>
  <si>
    <t>CCS</t>
  </si>
  <si>
    <t>bCCS</t>
  </si>
  <si>
    <t>mCCS</t>
  </si>
  <si>
    <t>bHC</t>
  </si>
  <si>
    <t>mOIL</t>
  </si>
  <si>
    <t>pOIL</t>
  </si>
  <si>
    <t>bGAS</t>
  </si>
  <si>
    <t>mGAS</t>
  </si>
  <si>
    <t>pGAS</t>
  </si>
  <si>
    <t>bOIL</t>
  </si>
  <si>
    <t>TOTAL (E - Z)</t>
  </si>
  <si>
    <t>Hydro (1/2)</t>
  </si>
  <si>
    <t xml:space="preserve">Solar/Wind (1/2) </t>
  </si>
  <si>
    <t>Hard Coal (1/2)</t>
  </si>
  <si>
    <t>Oil (1/3)</t>
  </si>
  <si>
    <t>Gas (1/3)</t>
  </si>
  <si>
    <t>Summe:</t>
  </si>
  <si>
    <t>pHYDRO</t>
  </si>
  <si>
    <t>wind/solar</t>
  </si>
  <si>
    <t>Anteil Wind</t>
  </si>
  <si>
    <t>EURelectric\EURelectric (2010) - PowerStatistics2010_fullreport.pdf</t>
  </si>
  <si>
    <t>includes 2007 data</t>
  </si>
  <si>
    <t>2007, TWh</t>
  </si>
  <si>
    <t>Regionen gewichtet mit Gesamtproduktion einzelner Länder</t>
  </si>
  <si>
    <t>Anteil Total</t>
  </si>
  <si>
    <t>Summe</t>
  </si>
  <si>
    <t>ELECTRICITY INFORMATION (2009 Edition)  PART II  -</t>
  </si>
  <si>
    <t>FOSSIL FUELS (w/o CCS, Peat &amp; Gases)</t>
  </si>
  <si>
    <t>COMBUSTIBLE RENEWABLES &amp; WASTE (plus CCS, Peat &amp; Gases)</t>
  </si>
  <si>
    <t>Jahr 2000</t>
  </si>
  <si>
    <t>wie Norwegen</t>
  </si>
  <si>
    <r>
      <rPr>
        <b/>
        <sz val="11"/>
        <color rgb="FFC00000"/>
        <rFont val="Calibri"/>
        <family val="2"/>
        <scheme val="minor"/>
      </rPr>
      <t>differenzierte</t>
    </r>
    <r>
      <rPr>
        <b/>
        <sz val="11"/>
        <color theme="1"/>
        <rFont val="Calibri"/>
        <family val="2"/>
        <scheme val="minor"/>
      </rPr>
      <t xml:space="preserve"> Lastaufteilung</t>
    </r>
  </si>
  <si>
    <t>Anteile bezogen auf die effektive Summe (H-W) ohne Z, AA, AB und AC</t>
  </si>
  <si>
    <t>middle: rest</t>
  </si>
  <si>
    <t>Vorgabe: Base-middle-peak: 70-25-5</t>
  </si>
  <si>
    <t>TOTAL (ohne peat, gases und waste)</t>
  </si>
  <si>
    <t>Test</t>
  </si>
  <si>
    <t>base prio: NUC, BC, Geo, Bio</t>
  </si>
  <si>
    <t>Kommentar</t>
  </si>
  <si>
    <t>CCS?</t>
  </si>
  <si>
    <t>Sind die Anteile bzw. die Produktion von Null ein Problem?</t>
  </si>
  <si>
    <t>Anteil pumpspeicher an Hydropower</t>
  </si>
  <si>
    <t>ENTSO-E\Statistical_Yearbook_2007.pdf [p. 12: 80% von "consumption of pumps"=8,975 TWh  sind Pumpspeicher-Spitzenlast --&gt; dieser Wert dann anteilig an "hydraulic net generation" (365,971) TWh)]</t>
  </si>
  <si>
    <t>ENTSO-E\Statistical_Yearbook_2007.pdf [p. 12: 80% von "consumption of pumps"=7,683 TWh sind Pumpspeicher-Spitzenlast --&gt; dieser Wert dann anteilig an "hydraulic net generation" (63,154 TWh)]</t>
  </si>
  <si>
    <t>ENTSO-E\Statistical_Yearbook_2007.pdf [p. 12: (80% von "consumption of pumps"=2,986 TWh sind Pumpspeicher-Spitzenlast) --&gt; dieser Wert dann anteilig an "hydraulic net generation" (34,793 TWh)]</t>
  </si>
  <si>
    <t>hydraulic net generation</t>
  </si>
  <si>
    <t>consumption of pumps</t>
  </si>
  <si>
    <t>ENTSO-E\Statistical_Yearbook_2007.pdf [p. 12: (80% von "consumption of pumps" sind Pumpspeicher-Spitzenlast) --&gt; dieser Wert dann anteilig an "hydraulic net generation"]</t>
  </si>
  <si>
    <t>80% von pumps</t>
  </si>
  <si>
    <t>Table 3.3.1A Annual Electricity Production by primary energy (TWh)</t>
  </si>
  <si>
    <t>Annahme</t>
  </si>
  <si>
    <t>wie Serbien</t>
  </si>
  <si>
    <t>EURelectric</t>
  </si>
  <si>
    <t>Kommentare</t>
  </si>
  <si>
    <t>HYDRO: Jürgen [18.3.2013: ca. 80% der "consumption of pumps" sind auf Spitzenlast-Pumpspeicher-Betrieb zurückzuführen (ENTSO-E Daten)]</t>
  </si>
  <si>
    <t>G-AB</t>
  </si>
  <si>
    <t>Part II, Table 1.1 - 1.3, 2007 (TWh)</t>
  </si>
  <si>
    <t>Hydro power (TWh)</t>
  </si>
  <si>
    <t xml:space="preserve">Pumped storage </t>
  </si>
  <si>
    <t>Wind</t>
  </si>
  <si>
    <t>IEA\IEA Electricity Information 2009.pdf</t>
  </si>
  <si>
    <t>CHP-Oil</t>
  </si>
  <si>
    <t>CHP-Gas</t>
  </si>
  <si>
    <t>CHP-HardCoal</t>
  </si>
  <si>
    <r>
      <rPr>
        <u/>
        <sz val="11"/>
        <color rgb="FFC00000"/>
        <rFont val="Calibri"/>
        <family val="2"/>
        <scheme val="minor"/>
      </rPr>
      <t>100%</t>
    </r>
    <r>
      <rPr>
        <u/>
        <sz val="11"/>
        <color rgb="FFFF0000"/>
        <rFont val="Calibri"/>
        <family val="2"/>
        <scheme val="minor"/>
      </rPr>
      <t xml:space="preserve"> </t>
    </r>
    <r>
      <rPr>
        <u/>
        <sz val="11"/>
        <color theme="10"/>
        <rFont val="Calibri"/>
        <family val="2"/>
        <scheme val="minor"/>
      </rPr>
      <t>ENTSO-E\Statistical_Yearbook_2007.pdf [p. 12: (</t>
    </r>
    <r>
      <rPr>
        <u/>
        <sz val="11"/>
        <color rgb="FFC00000"/>
        <rFont val="Calibri"/>
        <family val="2"/>
        <scheme val="minor"/>
      </rPr>
      <t>100%</t>
    </r>
    <r>
      <rPr>
        <u/>
        <sz val="11"/>
        <color theme="10"/>
        <rFont val="Calibri"/>
        <family val="2"/>
        <scheme val="minor"/>
      </rPr>
      <t xml:space="preserve"> von "consumption of pumps"=2,104 TWh sind pHYDRO) --&gt; dieser Wert dann anteilig an "hydraulic net generation" (36,373 TWh)]</t>
    </r>
  </si>
  <si>
    <t>TIMES-PanEU Results Table 36 (N549:O551)</t>
  </si>
  <si>
    <t>Country Info, Table III.9</t>
  </si>
  <si>
    <t>Country Info, Table III.3</t>
  </si>
  <si>
    <t>Gewichtung</t>
  </si>
  <si>
    <t>pHYDRO und mWIND gemäß IEA, Table III.3; COAL: m=100%; OIL: b=m=0, p=100%; GAS: b=0, m=25%, p=75%) --&gt; keine KWKs gemäß IEA Table III.9, weil sonst baseload überrepräsentiert</t>
  </si>
  <si>
    <t>Solar/Wind</t>
  </si>
  <si>
    <t xml:space="preserve">Hard Coal </t>
  </si>
  <si>
    <t xml:space="preserve">Oil </t>
  </si>
  <si>
    <t>Gas</t>
  </si>
  <si>
    <t>pHYDRO und mWIND gemäß IEA, Table III.3; COAL: b=m=0; OIL: b=m=0, p=100%; GAS: b=0, m=70%, p=30%) --&gt; keine KWKs gemäß IEA Table III.9, weil sonst baseload überrepräsentiert wäre</t>
  </si>
  <si>
    <t>pHYDRO und mWIND gemäß IEA, Table III.3; COAL: b =75% von IEA Table III.9, m=Rest; OIL: b = 75% von IEA Table III.9, m=0, p=Rest; GAS: b = 75% von IEA Table III.9, m=Rest, p=1%) --&gt; KWKs gemäß IEA Table III.9 nur zu 75%, weil sonst baseload überrepräsentiert</t>
  </si>
  <si>
    <t>0,4 TWh CHP-Oil in TIMES 2010</t>
  </si>
  <si>
    <t>0,6 TWh CHP-Oil in TIMES 2005</t>
  </si>
  <si>
    <t>??</t>
  </si>
  <si>
    <t>pHYDRO und mWIND gemäß IEA, Table III.3 sowie TIMES; COAL: b=25% von IEA Table III.9 und EURelectric Table 3.3.2 (=5% von COAL), m=Rest; OIL:  b=10% von IEA Table III.9 und EURelectric Table 3.3.2 (=6% von OIL), m=Rest, p=50%; GAS: b=10% von IEA Table III.9 und EURelectric Table 3.3.2 (=6% von OIL), m=Rest, p=50%) --&gt; keine KWKs gemäß IEA Table III.9 und EURelectric Table 3.3.2 (lediglich bHC=25% von Coal un bOIL=bGAS=10%), weil baseload sonst überrepräsentiert wäre</t>
  </si>
  <si>
    <t>pHYDRO und mWIND gemäß IEA, Table III.3; COAL: b = 200% von IEA Table III.9 (CHP), m=Rest; OIL: b = IEA Table III.9 (CHP), m=0%, p=Rest; GAS: b = IEA Table III.9 (CHP), p=25%, m=Rest) --&gt; bHC wurde verdoppelt, um die baseload etwas anzuheben (d.h. die Hälfte von bHC wird für KWK, die andere Hälfte für "normale" Kraftwerke verwendet)</t>
  </si>
  <si>
    <t>pHYDRO und mWIND gemäß IEA, Table III.3; COAL: b=75%, m=Rest; OIL:  b = IEA Table III.9 (entspricht 24% von Gesamt-OIL), p=20%, m=Rest; GAS:  b = IEA Table III.9 (entspricht 23% von Gesamt-GAS), p=20%, m=Rest;  --&gt; auf Basis von IEA Table 2.12 (capacities) ergab, dass Kohle im Schnitt bei 6000, Gas bei 2000 und Öl bei 1200 Volllaststunden liegt. Zudem ist der Braunkohle-Anteil in der Kohle-Verstromung sehr gering (nämlich 4%; in DEU 56%). Daher wird der Hauptanteil des Steinkohlestroms der Grundlastproduktion zugeordnet (75%) und der KWK-Strom aus Öl und Gas als jeweils einzige Grundlastquelle beibehalten</t>
  </si>
  <si>
    <t>Anteile wie Korea</t>
  </si>
  <si>
    <t>Annahme: 5% pHYDRO und 95% mWIND;  COAL: b=0, m=100%; OIL: b=0, p=10%, m=Rest; GAS: b=0, p=10%, m=Rest; --&gt; Öl und Gas werden in Brasilien etwa gleich viel eingesetzt, so dass hier eine gleiche Verteilung auf die Lastbereiche angenommen wurde --&gt; Problem: zu viel hydro baseload, mit der Kapazität von ca. 81 TW HYDRO (http://www.brasil.gov.br/energia-en/power-sector/generation) kommt man auf 4600 Volllaststd. .... (Zusatzinfo: http://www.eia.gov); Eigentlich hat Brasilien hohe Volllaststunden in Hydropower, so dass pHYDRO geringer als 5% sein sollte, aber die Annahme wurde beibehalten, weil sonst die baseload überrepräsentiert wäre.</t>
  </si>
  <si>
    <t>Annahmen: 1% pHYDRO; 50% mWIND; OIL: b=20%, p=10%, m=Rest; GAS: b=20%, p=15%, m=Rest;</t>
  </si>
  <si>
    <t xml:space="preserve">Annahme: 1% pHYDRO und 95% mWIND; COAL: b=60% m=Rest; OIL: b=10%, p=50%, m=Rest; GAS: b=50%, p=10%, m=Rest; --&gt; 55% des gesamten Energieverbrauchs wird durch Gas erzeugt, daher wurde viel Gas in der Grundlast angenommen (CHP). Öl wurde dagegen hauptsächlich als peak angenommen. Russland hat nur ein bedeutendes Pumpspeicher-KW, daher pHYDRO=1% (vgl. http://en.wikipedia.org/wiki/List_of_power_stations_in_Russia )... (Zusatzinfo: http://www.eia.gov) </t>
  </si>
  <si>
    <t>Annahme: 20% pHYDRO und 95% mWIND; COAL: b=70% m=Rest; OIL: b=0, p=95%, m=Rest; GAS: b=1% (CHP potential), p=95%, m=Rest; --&gt; China hat von den Fossil Fuels hauptsächlich Kohle, so dass Kohle auch den Hauptgrundlastanteil leisten sollte (Annahme); KWK-Potential könnte eher bei Gas liegen als bei Öl, so dass bGAS mit 1% angenommen wird. China hat zudem relativ wenig Volllaststunden von HYDRO (ca. 3300h, vgl. Hydropower economics4.pdf sowie VLSTD.xls) und allgemein viele große Pumpspeicher-KW (http://en.wikipedia.org/wiki/List_of_pumped-storage_hydroelectric_power_stations),  so dass hier von erhöhter pHYDRO-Nutzung ausgegangen wird [20%]... (Zusatzinfo: http://www.eia.gov)</t>
  </si>
  <si>
    <t>peak prio: Öl, Gas (pHydro gemäß installierter Pumpspeicher-Kapazität, soweit einsehbar)</t>
  </si>
  <si>
    <t>Annahme: 1% pHYDRO und 95% mWIND; COAL: b=60% m=Rest; OIL: b=5%, p=75%, m=Rest; GAS: b=5%, p=15%, m=Rest; --&gt; Indien hat von den Fossil Fuels hauptsächlich Kohle, so dass Kohle auch den Hauptgrundlastanteil leisten sollte (Annahme); zudem hat es mehr Gas als Öl, so dass Gas verstärkt im Mittellast-, und Öl hauptsächlich im Spitzenlastbereich eingesetzt wird (Annahme). pHYDRO: 2% der installierten Leistung machen pYHDRO aus (http://www.indiaenergyportal.org/subthemes_link.php?text=hydro&amp;themeid=11), und es gibt nur ein gelistetes PS-KW (http://en.wikipedia.org/wiki/List_of_power_stations_in_India)... (Zusatzinfo: http://www.eia.gov)</t>
  </si>
  <si>
    <t>Hydropower economics4.xlsx</t>
  </si>
  <si>
    <t>Hydropower economics4.pdf</t>
  </si>
  <si>
    <t>Annahme: 90% pHYDRO und 50% mWIND; COAL: b=75%, m=Rest; OIL: p=100%, b=m=0; GAS: b=m=p=0; --&gt; RSA plant viel Solar und Windenergie (vgl. Ordner Strom RSA (TT)), daher Annahme, dass Wind=Solar=50%.  HYDRO: Installierte Kapazität gemäß Platts2008-Datenbank in 2008 (status: OPR) = 2,262 GW, davon 1,59 Pumped Storage (vgl. Ordner Platts2008 (OK)), ergibt Volllaststunden = 1728 --&gt; lässt darauf schließen, dass HYDRO hauptsächlich für peakload eingesetzt wurde, auch aufgrund des hohen (baseload?)-Kohleanteils ... (Zusatzinfo: http://www.microhydropower.net/rsa/, http://www.eia.gov, http://www.eoearth.org/article/Energy_profile_of_Southern_Africa)</t>
  </si>
  <si>
    <t>Annahmen: 5% pHYDRO; 50% mWIND; COAL: b=70%, m=Rest; OIL: b=5%, p=25%, m=Rest; GAS: b=70%, p=5%, m=Rest; --&gt; Rest-Asien hat zwei große (&gt; 1GW) Pumpspeicher-Kraftwerke in Taiwan (http://en.wikipedia.org/wiki/List_of_pumped-storage_hydroelectric_power_stations). Da Taiwan 22% des Gesamtstromverbrauchs ausmacht wird die Annahme pHYDRO=5% getroffen. Das Gas der größte fossile Energieträger ist, wird hier viel in die Grundlast geschoben. Ähnliches gilt für Kohle. Öl wird  hauptsächlich in der Mittellast benötigt.</t>
  </si>
  <si>
    <t>Hauptregel: base-middle-peak: 70-25-5%</t>
  </si>
  <si>
    <t>Quellen:</t>
  </si>
  <si>
    <t>ENTSO-E\Statistical_Yearbook_2007.pdf</t>
  </si>
  <si>
    <t>http://en.wikipedia.org/wiki/List_of_pumped-storage_hydroelectric_power_stations</t>
  </si>
  <si>
    <t>peak</t>
  </si>
  <si>
    <t>middle</t>
  </si>
  <si>
    <t>base</t>
  </si>
  <si>
    <t>Anteile der Lastbereiche</t>
  </si>
  <si>
    <t>0,1% der fossilen Baseload-Anlagen</t>
  </si>
  <si>
    <t>0,1% der fossilen Middleload-Anlagen</t>
  </si>
  <si>
    <t>differenzierte Lastaufteilung (incl. CCS)</t>
  </si>
  <si>
    <t>Gross Electricity Production, TWh, 2007 (excl. peat, gases and waste)</t>
  </si>
  <si>
    <t>OEC</t>
  </si>
  <si>
    <t>OPE</t>
  </si>
  <si>
    <t>ARB</t>
  </si>
  <si>
    <t>ROW</t>
  </si>
  <si>
    <t>pHYDRO und mWIND gemäß TIMES und IEA, Table III.3; mWIND gemäß IEA, Table III.3 sowie TIMES; COAL: b= 5 * (CHP gemäß IEA Table III.9), m=Rest; OIL: b= (CHP gemäß IEA Table III.9), m=0, p=Rest; GAS: b=CHP, p=10%, m=Rest) --&gt; Übertreffung der Kohle-KWKs gemäß IEA Table III.9 und EURelectric Table 3.3.2, um baseload anzuheben</t>
  </si>
  <si>
    <t>pHYDRO und mWIND gemäß IEA, Table III.3 sowie TIMES; COAL: b=20*CHP, m=Rest; OIL: b=2*CHP, m=Rest, p=15%; GAS: b=1,5*CHP, m=Rest, p=5%) --&gt; Übertreffung der KWKs gemäß IEA Table III.9 und EURelectric Table 3.3.2, um baseload anzuheben</t>
  </si>
  <si>
    <t xml:space="preserve">pHYDRO und mWIND gemäß IEA, Table III.3; COAL: b=50*CHP, m=Rest; OIL:  b=CHP, m=Rest, p=15%; GAS: b=CHP, m=Rest, p=15%; --&gt; KWKs gemäß IEA Table III.9 angehoben, weil baseload sonst unterrepräsentiert wäre. </t>
  </si>
  <si>
    <t>Annahmen: 1% pHYDRO; 50% mWIND; COAL: b=20%, m=80%; OIL: b=70%, m=Rest,  p=5%,; GAS: b=70%, m=Rest, p=5%;</t>
  </si>
  <si>
    <t>CCS-Anteil von b- und m-HC/BC/GAS:</t>
  </si>
  <si>
    <t>Abzug von CCS in fossilen b/m-load-Anlagen (GAS+COL):</t>
  </si>
  <si>
    <t>EUN+UKI+BNX</t>
  </si>
  <si>
    <t>+HRV+SLV</t>
  </si>
  <si>
    <t>-HRV-SLV</t>
  </si>
  <si>
    <t>-IDN</t>
  </si>
  <si>
    <t>+IDN</t>
  </si>
  <si>
    <t>+NOA+MEA</t>
  </si>
  <si>
    <t>+REU+RAM+RAS+RAF</t>
  </si>
  <si>
    <t>DIFFERENZ ZUM ALTEN MAPPING (26x18x4)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</si>
</sst>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"/>
    <numFmt numFmtId="165" formatCode="0.0%"/>
    <numFmt numFmtId="166" formatCode="0.0"/>
    <numFmt numFmtId="167" formatCode="0.000"/>
  </numFmts>
  <fonts count="4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2"/>
      <color rgb="FFC00000"/>
      <name val="Calibri"/>
      <family val="2"/>
      <scheme val="minor"/>
    </font>
    <font>
      <sz val="12"/>
      <color rgb="FFC00000"/>
      <name val="Calibri"/>
      <family val="2"/>
      <scheme val="minor"/>
    </font>
    <font>
      <b/>
      <sz val="11"/>
      <color theme="8" tint="-0.499984740745262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  <font>
      <b/>
      <i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u/>
      <sz val="11"/>
      <color rgb="FFFF0000"/>
      <name val="Calibri"/>
      <family val="2"/>
      <scheme val="minor"/>
    </font>
    <font>
      <u/>
      <sz val="11"/>
      <color rgb="FFC00000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b/>
      <sz val="11"/>
      <color theme="1" tint="0.499984740745262"/>
      <name val="Calibri"/>
      <family val="2"/>
      <scheme val="minor"/>
    </font>
    <font>
      <i/>
      <sz val="11"/>
      <color theme="1" tint="0.499984740745262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6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1" tint="0.34998626667073579"/>
        <bgColor indexed="64"/>
      </patternFill>
    </fill>
  </fills>
  <borders count="6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3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1022">
    <xf numFmtId="0" fontId="0" fillId="0" borderId="0" xfId="0"/>
    <xf numFmtId="0" fontId="16" fillId="0" borderId="0" xfId="0" applyFont="1"/>
    <xf numFmtId="0" fontId="18" fillId="0" borderId="0" xfId="0" applyFont="1" applyFill="1"/>
    <xf numFmtId="0" fontId="19" fillId="0" borderId="0" xfId="0" applyFont="1"/>
    <xf numFmtId="0" fontId="16" fillId="33" borderId="11" xfId="0" applyFont="1" applyFill="1" applyBorder="1"/>
    <xf numFmtId="0" fontId="16" fillId="33" borderId="12" xfId="0" applyFont="1" applyFill="1" applyBorder="1"/>
    <xf numFmtId="0" fontId="0" fillId="33" borderId="12" xfId="0" applyFill="1" applyBorder="1"/>
    <xf numFmtId="0" fontId="0" fillId="33" borderId="13" xfId="0" applyFill="1" applyBorder="1"/>
    <xf numFmtId="0" fontId="0" fillId="33" borderId="0" xfId="0" applyFill="1" applyBorder="1"/>
    <xf numFmtId="0" fontId="16" fillId="33" borderId="16" xfId="0" applyFont="1" applyFill="1" applyBorder="1"/>
    <xf numFmtId="0" fontId="16" fillId="33" borderId="17" xfId="0" applyFont="1" applyFill="1" applyBorder="1"/>
    <xf numFmtId="0" fontId="0" fillId="33" borderId="17" xfId="0" applyFill="1" applyBorder="1"/>
    <xf numFmtId="0" fontId="0" fillId="33" borderId="18" xfId="0" applyFill="1" applyBorder="1"/>
    <xf numFmtId="0" fontId="0" fillId="35" borderId="19" xfId="0" applyFill="1" applyBorder="1"/>
    <xf numFmtId="0" fontId="0" fillId="35" borderId="20" xfId="0" applyFill="1" applyBorder="1"/>
    <xf numFmtId="0" fontId="19" fillId="33" borderId="12" xfId="0" applyFont="1" applyFill="1" applyBorder="1"/>
    <xf numFmtId="0" fontId="19" fillId="33" borderId="13" xfId="0" applyFont="1" applyFill="1" applyBorder="1"/>
    <xf numFmtId="0" fontId="19" fillId="33" borderId="14" xfId="0" applyFont="1" applyFill="1" applyBorder="1"/>
    <xf numFmtId="0" fontId="19" fillId="33" borderId="0" xfId="0" applyFont="1" applyFill="1" applyBorder="1"/>
    <xf numFmtId="0" fontId="19" fillId="33" borderId="15" xfId="0" applyFont="1" applyFill="1" applyBorder="1"/>
    <xf numFmtId="0" fontId="19" fillId="33" borderId="17" xfId="0" applyFont="1" applyFill="1" applyBorder="1"/>
    <xf numFmtId="0" fontId="19" fillId="33" borderId="18" xfId="0" applyFont="1" applyFill="1" applyBorder="1"/>
    <xf numFmtId="0" fontId="18" fillId="34" borderId="10" xfId="0" applyFont="1" applyFill="1" applyBorder="1" applyAlignment="1">
      <alignment horizontal="right"/>
    </xf>
    <xf numFmtId="164" fontId="0" fillId="0" borderId="19" xfId="0" applyNumberFormat="1" applyBorder="1" applyAlignment="1">
      <alignment horizontal="right"/>
    </xf>
    <xf numFmtId="164" fontId="0" fillId="0" borderId="20" xfId="0" applyNumberFormat="1" applyBorder="1" applyAlignment="1">
      <alignment horizontal="right"/>
    </xf>
    <xf numFmtId="0" fontId="20" fillId="33" borderId="14" xfId="0" applyFont="1" applyFill="1" applyBorder="1"/>
    <xf numFmtId="0" fontId="20" fillId="33" borderId="0" xfId="0" applyFont="1" applyFill="1" applyBorder="1"/>
    <xf numFmtId="0" fontId="21" fillId="33" borderId="0" xfId="0" applyFont="1" applyFill="1" applyBorder="1"/>
    <xf numFmtId="0" fontId="21" fillId="33" borderId="15" xfId="0" applyFont="1" applyFill="1" applyBorder="1"/>
    <xf numFmtId="0" fontId="19" fillId="35" borderId="20" xfId="0" applyFont="1" applyFill="1" applyBorder="1"/>
    <xf numFmtId="164" fontId="19" fillId="0" borderId="20" xfId="0" applyNumberFormat="1" applyFont="1" applyBorder="1" applyAlignment="1">
      <alignment horizontal="right"/>
    </xf>
    <xf numFmtId="0" fontId="18" fillId="35" borderId="20" xfId="0" applyFont="1" applyFill="1" applyBorder="1"/>
    <xf numFmtId="164" fontId="18" fillId="0" borderId="20" xfId="0" applyNumberFormat="1" applyFont="1" applyBorder="1" applyAlignment="1">
      <alignment horizontal="right"/>
    </xf>
    <xf numFmtId="0" fontId="18" fillId="33" borderId="11" xfId="0" applyFont="1" applyFill="1" applyBorder="1"/>
    <xf numFmtId="0" fontId="18" fillId="33" borderId="14" xfId="0" applyFont="1" applyFill="1" applyBorder="1"/>
    <xf numFmtId="0" fontId="16" fillId="35" borderId="20" xfId="0" applyFont="1" applyFill="1" applyBorder="1"/>
    <xf numFmtId="164" fontId="16" fillId="0" borderId="20" xfId="0" applyNumberFormat="1" applyFont="1" applyBorder="1" applyAlignment="1">
      <alignment horizontal="right"/>
    </xf>
    <xf numFmtId="0" fontId="0" fillId="0" borderId="0" xfId="0" applyFont="1"/>
    <xf numFmtId="0" fontId="18" fillId="33" borderId="16" xfId="0" applyFont="1" applyFill="1" applyBorder="1"/>
    <xf numFmtId="0" fontId="22" fillId="33" borderId="12" xfId="0" applyFont="1" applyFill="1" applyBorder="1"/>
    <xf numFmtId="0" fontId="0" fillId="35" borderId="20" xfId="0" applyFont="1" applyFill="1" applyBorder="1"/>
    <xf numFmtId="164" fontId="0" fillId="0" borderId="20" xfId="0" applyNumberFormat="1" applyFont="1" applyBorder="1" applyAlignment="1">
      <alignment horizontal="right"/>
    </xf>
    <xf numFmtId="0" fontId="16" fillId="35" borderId="19" xfId="0" applyFont="1" applyFill="1" applyBorder="1"/>
    <xf numFmtId="4" fontId="16" fillId="0" borderId="19" xfId="0" applyNumberFormat="1" applyFont="1" applyBorder="1" applyAlignment="1">
      <alignment horizontal="right"/>
    </xf>
    <xf numFmtId="4" fontId="16" fillId="0" borderId="20" xfId="0" applyNumberFormat="1" applyFont="1" applyBorder="1" applyAlignment="1">
      <alignment horizontal="right"/>
    </xf>
    <xf numFmtId="4" fontId="0" fillId="0" borderId="20" xfId="0" applyNumberFormat="1" applyFont="1" applyBorder="1" applyAlignment="1">
      <alignment horizontal="right"/>
    </xf>
    <xf numFmtId="4" fontId="18" fillId="0" borderId="20" xfId="0" applyNumberFormat="1" applyFont="1" applyBorder="1" applyAlignment="1">
      <alignment horizontal="right"/>
    </xf>
    <xf numFmtId="0" fontId="0" fillId="35" borderId="19" xfId="0" applyFont="1" applyFill="1" applyBorder="1"/>
    <xf numFmtId="4" fontId="0" fillId="0" borderId="19" xfId="0" applyNumberFormat="1" applyFont="1" applyBorder="1" applyAlignment="1">
      <alignment horizontal="right"/>
    </xf>
    <xf numFmtId="4" fontId="19" fillId="0" borderId="20" xfId="0" applyNumberFormat="1" applyFont="1" applyBorder="1" applyAlignment="1">
      <alignment horizontal="right"/>
    </xf>
    <xf numFmtId="0" fontId="23" fillId="33" borderId="12" xfId="42" applyFill="1" applyBorder="1"/>
    <xf numFmtId="0" fontId="0" fillId="42" borderId="20" xfId="0" applyFill="1" applyBorder="1"/>
    <xf numFmtId="0" fontId="18" fillId="34" borderId="10" xfId="0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0" fontId="18" fillId="34" borderId="10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19" fillId="0" borderId="0" xfId="0" applyFont="1" applyAlignment="1">
      <alignment horizontal="left"/>
    </xf>
    <xf numFmtId="0" fontId="0" fillId="0" borderId="0" xfId="0" applyAlignment="1">
      <alignment horizontal="right"/>
    </xf>
    <xf numFmtId="0" fontId="18" fillId="34" borderId="24" xfId="0" applyFont="1" applyFill="1" applyBorder="1" applyAlignment="1">
      <alignment horizontal="left"/>
    </xf>
    <xf numFmtId="0" fontId="16" fillId="34" borderId="19" xfId="0" applyFont="1" applyFill="1" applyBorder="1" applyAlignment="1">
      <alignment horizontal="center"/>
    </xf>
    <xf numFmtId="0" fontId="16" fillId="34" borderId="10" xfId="0" applyFont="1" applyFill="1" applyBorder="1" applyAlignment="1">
      <alignment horizontal="center"/>
    </xf>
    <xf numFmtId="0" fontId="18" fillId="34" borderId="22" xfId="0" applyFont="1" applyFill="1" applyBorder="1" applyAlignment="1">
      <alignment horizontal="left"/>
    </xf>
    <xf numFmtId="0" fontId="18" fillId="34" borderId="16" xfId="0" applyFont="1" applyFill="1" applyBorder="1" applyAlignment="1">
      <alignment horizontal="left"/>
    </xf>
    <xf numFmtId="0" fontId="18" fillId="34" borderId="18" xfId="0" applyFont="1" applyFill="1" applyBorder="1" applyAlignment="1">
      <alignment horizontal="left"/>
    </xf>
    <xf numFmtId="0" fontId="18" fillId="34" borderId="23" xfId="0" applyFont="1" applyFill="1" applyBorder="1" applyAlignment="1">
      <alignment horizontal="center"/>
    </xf>
    <xf numFmtId="0" fontId="25" fillId="33" borderId="14" xfId="0" applyFont="1" applyFill="1" applyBorder="1"/>
    <xf numFmtId="0" fontId="16" fillId="34" borderId="10" xfId="0" applyFont="1" applyFill="1" applyBorder="1"/>
    <xf numFmtId="0" fontId="18" fillId="54" borderId="10" xfId="0" applyFont="1" applyFill="1" applyBorder="1" applyAlignment="1">
      <alignment horizontal="left"/>
    </xf>
    <xf numFmtId="0" fontId="20" fillId="34" borderId="24" xfId="0" quotePrefix="1" applyFont="1" applyFill="1" applyBorder="1" applyAlignment="1">
      <alignment horizontal="center"/>
    </xf>
    <xf numFmtId="0" fontId="20" fillId="34" borderId="19" xfId="0" quotePrefix="1" applyFont="1" applyFill="1" applyBorder="1" applyAlignment="1">
      <alignment horizontal="center"/>
    </xf>
    <xf numFmtId="0" fontId="18" fillId="34" borderId="22" xfId="0" applyFont="1" applyFill="1" applyBorder="1" applyAlignment="1">
      <alignment horizontal="center"/>
    </xf>
    <xf numFmtId="0" fontId="16" fillId="42" borderId="10" xfId="0" applyFont="1" applyFill="1" applyBorder="1" applyAlignment="1">
      <alignment horizontal="left"/>
    </xf>
    <xf numFmtId="3" fontId="0" fillId="42" borderId="20" xfId="0" applyNumberFormat="1" applyFill="1" applyBorder="1" applyAlignment="1">
      <alignment horizontal="right"/>
    </xf>
    <xf numFmtId="0" fontId="0" fillId="42" borderId="20" xfId="0" applyFont="1" applyFill="1" applyBorder="1"/>
    <xf numFmtId="3" fontId="16" fillId="42" borderId="20" xfId="0" applyNumberFormat="1" applyFont="1" applyFill="1" applyBorder="1" applyAlignment="1">
      <alignment horizontal="right"/>
    </xf>
    <xf numFmtId="0" fontId="16" fillId="42" borderId="20" xfId="0" applyFont="1" applyFill="1" applyBorder="1"/>
    <xf numFmtId="0" fontId="16" fillId="45" borderId="10" xfId="0" applyFont="1" applyFill="1" applyBorder="1"/>
    <xf numFmtId="0" fontId="16" fillId="42" borderId="20" xfId="0" applyFont="1" applyFill="1" applyBorder="1" applyAlignment="1">
      <alignment horizontal="left"/>
    </xf>
    <xf numFmtId="164" fontId="0" fillId="42" borderId="20" xfId="0" applyNumberFormat="1" applyFill="1" applyBorder="1" applyAlignment="1">
      <alignment horizontal="left"/>
    </xf>
    <xf numFmtId="0" fontId="0" fillId="42" borderId="20" xfId="0" quotePrefix="1" applyFill="1" applyBorder="1"/>
    <xf numFmtId="3" fontId="16" fillId="42" borderId="24" xfId="0" applyNumberFormat="1" applyFont="1" applyFill="1" applyBorder="1" applyAlignment="1">
      <alignment horizontal="right"/>
    </xf>
    <xf numFmtId="0" fontId="16" fillId="42" borderId="24" xfId="0" applyFont="1" applyFill="1" applyBorder="1"/>
    <xf numFmtId="0" fontId="0" fillId="42" borderId="24" xfId="0" applyFill="1" applyBorder="1"/>
    <xf numFmtId="0" fontId="0" fillId="42" borderId="19" xfId="0" applyFill="1" applyBorder="1"/>
    <xf numFmtId="4" fontId="16" fillId="0" borderId="24" xfId="0" applyNumberFormat="1" applyFont="1" applyBorder="1" applyAlignment="1">
      <alignment horizontal="right"/>
    </xf>
    <xf numFmtId="3" fontId="0" fillId="59" borderId="0" xfId="0" applyNumberFormat="1" applyFill="1" applyBorder="1" applyAlignment="1">
      <alignment horizontal="right"/>
    </xf>
    <xf numFmtId="0" fontId="0" fillId="59" borderId="0" xfId="0" applyFill="1"/>
    <xf numFmtId="0" fontId="16" fillId="59" borderId="11" xfId="0" applyFont="1" applyFill="1" applyBorder="1"/>
    <xf numFmtId="4" fontId="16" fillId="59" borderId="12" xfId="0" applyNumberFormat="1" applyFont="1" applyFill="1" applyBorder="1" applyAlignment="1">
      <alignment horizontal="right"/>
    </xf>
    <xf numFmtId="3" fontId="0" fillId="59" borderId="12" xfId="0" applyNumberFormat="1" applyFill="1" applyBorder="1" applyAlignment="1">
      <alignment horizontal="right"/>
    </xf>
    <xf numFmtId="0" fontId="0" fillId="59" borderId="12" xfId="0" applyFill="1" applyBorder="1"/>
    <xf numFmtId="4" fontId="0" fillId="0" borderId="24" xfId="0" applyNumberFormat="1" applyFont="1" applyBorder="1" applyAlignment="1">
      <alignment horizontal="right"/>
    </xf>
    <xf numFmtId="0" fontId="0" fillId="42" borderId="24" xfId="0" applyFont="1" applyFill="1" applyBorder="1"/>
    <xf numFmtId="0" fontId="0" fillId="59" borderId="0" xfId="0" applyFill="1" applyAlignment="1">
      <alignment horizontal="right"/>
    </xf>
    <xf numFmtId="164" fontId="16" fillId="59" borderId="21" xfId="0" applyNumberFormat="1" applyFont="1" applyFill="1" applyBorder="1" applyAlignment="1">
      <alignment horizontal="right"/>
    </xf>
    <xf numFmtId="0" fontId="16" fillId="59" borderId="0" xfId="0" applyFont="1" applyFill="1" applyBorder="1"/>
    <xf numFmtId="0" fontId="0" fillId="59" borderId="0" xfId="0" applyFill="1" applyBorder="1"/>
    <xf numFmtId="164" fontId="0" fillId="0" borderId="24" xfId="0" applyNumberFormat="1" applyBorder="1" applyAlignment="1">
      <alignment horizontal="right"/>
    </xf>
    <xf numFmtId="0" fontId="24" fillId="45" borderId="19" xfId="0" applyFont="1" applyFill="1" applyBorder="1" applyAlignment="1">
      <alignment horizontal="center"/>
    </xf>
    <xf numFmtId="0" fontId="0" fillId="45" borderId="20" xfId="0" applyFill="1" applyBorder="1" applyAlignment="1">
      <alignment horizontal="left"/>
    </xf>
    <xf numFmtId="0" fontId="0" fillId="45" borderId="20" xfId="0" applyFill="1" applyBorder="1" applyAlignment="1">
      <alignment horizontal="center"/>
    </xf>
    <xf numFmtId="0" fontId="24" fillId="45" borderId="20" xfId="0" applyFont="1" applyFill="1" applyBorder="1" applyAlignment="1">
      <alignment horizontal="center"/>
    </xf>
    <xf numFmtId="0" fontId="24" fillId="45" borderId="24" xfId="0" applyFont="1" applyFill="1" applyBorder="1" applyAlignment="1">
      <alignment horizontal="center"/>
    </xf>
    <xf numFmtId="0" fontId="24" fillId="45" borderId="20" xfId="0" applyFont="1" applyFill="1" applyBorder="1"/>
    <xf numFmtId="0" fontId="24" fillId="45" borderId="19" xfId="0" applyFont="1" applyFill="1" applyBorder="1"/>
    <xf numFmtId="0" fontId="24" fillId="45" borderId="24" xfId="0" applyFont="1" applyFill="1" applyBorder="1"/>
    <xf numFmtId="164" fontId="0" fillId="33" borderId="20" xfId="0" applyNumberFormat="1" applyFill="1" applyBorder="1"/>
    <xf numFmtId="164" fontId="16" fillId="33" borderId="20" xfId="0" applyNumberFormat="1" applyFont="1" applyFill="1" applyBorder="1"/>
    <xf numFmtId="164" fontId="16" fillId="33" borderId="24" xfId="0" applyNumberFormat="1" applyFont="1" applyFill="1" applyBorder="1"/>
    <xf numFmtId="4" fontId="0" fillId="0" borderId="20" xfId="0" applyNumberFormat="1" applyBorder="1"/>
    <xf numFmtId="4" fontId="16" fillId="0" borderId="20" xfId="0" applyNumberFormat="1" applyFont="1" applyBorder="1"/>
    <xf numFmtId="4" fontId="16" fillId="0" borderId="24" xfId="0" applyNumberFormat="1" applyFont="1" applyBorder="1"/>
    <xf numFmtId="0" fontId="18" fillId="33" borderId="10" xfId="0" applyFont="1" applyFill="1" applyBorder="1" applyAlignment="1">
      <alignment horizontal="center"/>
    </xf>
    <xf numFmtId="4" fontId="0" fillId="33" borderId="20" xfId="0" applyNumberFormat="1" applyFill="1" applyBorder="1"/>
    <xf numFmtId="4" fontId="16" fillId="33" borderId="20" xfId="0" applyNumberFormat="1" applyFont="1" applyFill="1" applyBorder="1"/>
    <xf numFmtId="4" fontId="16" fillId="33" borderId="24" xfId="0" applyNumberFormat="1" applyFont="1" applyFill="1" applyBorder="1"/>
    <xf numFmtId="0" fontId="0" fillId="36" borderId="20" xfId="0" applyFill="1" applyBorder="1" applyAlignment="1">
      <alignment horizontal="center"/>
    </xf>
    <xf numFmtId="0" fontId="0" fillId="35" borderId="20" xfId="0" applyFill="1" applyBorder="1" applyAlignment="1">
      <alignment horizontal="center"/>
    </xf>
    <xf numFmtId="0" fontId="0" fillId="37" borderId="20" xfId="0" applyFill="1" applyBorder="1" applyAlignment="1">
      <alignment horizontal="center"/>
    </xf>
    <xf numFmtId="0" fontId="0" fillId="38" borderId="20" xfId="0" applyFill="1" applyBorder="1" applyAlignment="1">
      <alignment horizontal="center"/>
    </xf>
    <xf numFmtId="0" fontId="0" fillId="34" borderId="20" xfId="0" applyFill="1" applyBorder="1" applyAlignment="1">
      <alignment horizontal="center"/>
    </xf>
    <xf numFmtId="0" fontId="0" fillId="39" borderId="20" xfId="0" applyFill="1" applyBorder="1" applyAlignment="1">
      <alignment horizontal="center"/>
    </xf>
    <xf numFmtId="0" fontId="0" fillId="40" borderId="20" xfId="0" applyFill="1" applyBorder="1" applyAlignment="1">
      <alignment horizontal="center"/>
    </xf>
    <xf numFmtId="0" fontId="0" fillId="41" borderId="20" xfId="0" applyFill="1" applyBorder="1" applyAlignment="1">
      <alignment horizontal="center"/>
    </xf>
    <xf numFmtId="0" fontId="0" fillId="42" borderId="20" xfId="0" applyFill="1" applyBorder="1" applyAlignment="1">
      <alignment horizontal="center"/>
    </xf>
    <xf numFmtId="0" fontId="0" fillId="43" borderId="20" xfId="0" applyFill="1" applyBorder="1" applyAlignment="1">
      <alignment horizontal="center"/>
    </xf>
    <xf numFmtId="0" fontId="0" fillId="44" borderId="20" xfId="0" applyFill="1" applyBorder="1" applyAlignment="1">
      <alignment horizontal="center"/>
    </xf>
    <xf numFmtId="0" fontId="0" fillId="46" borderId="20" xfId="0" applyFill="1" applyBorder="1" applyAlignment="1">
      <alignment horizontal="center"/>
    </xf>
    <xf numFmtId="0" fontId="0" fillId="47" borderId="20" xfId="0" applyFill="1" applyBorder="1" applyAlignment="1">
      <alignment horizontal="center"/>
    </xf>
    <xf numFmtId="0" fontId="0" fillId="48" borderId="20" xfId="0" applyFill="1" applyBorder="1" applyAlignment="1">
      <alignment horizontal="center"/>
    </xf>
    <xf numFmtId="0" fontId="0" fillId="49" borderId="20" xfId="0" applyFill="1" applyBorder="1" applyAlignment="1">
      <alignment horizontal="center"/>
    </xf>
    <xf numFmtId="0" fontId="0" fillId="50" borderId="20" xfId="0" applyFill="1" applyBorder="1" applyAlignment="1">
      <alignment horizontal="center"/>
    </xf>
    <xf numFmtId="0" fontId="0" fillId="51" borderId="20" xfId="0" applyFill="1" applyBorder="1" applyAlignment="1">
      <alignment horizontal="center"/>
    </xf>
    <xf numFmtId="0" fontId="0" fillId="52" borderId="20" xfId="0" applyFill="1" applyBorder="1" applyAlignment="1">
      <alignment horizontal="center"/>
    </xf>
    <xf numFmtId="0" fontId="0" fillId="53" borderId="20" xfId="0" applyFill="1" applyBorder="1" applyAlignment="1">
      <alignment horizontal="center"/>
    </xf>
    <xf numFmtId="0" fontId="0" fillId="54" borderId="20" xfId="0" applyFill="1" applyBorder="1" applyAlignment="1">
      <alignment horizontal="center"/>
    </xf>
    <xf numFmtId="0" fontId="0" fillId="55" borderId="20" xfId="0" applyFill="1" applyBorder="1" applyAlignment="1">
      <alignment horizontal="center"/>
    </xf>
    <xf numFmtId="0" fontId="0" fillId="33" borderId="20" xfId="0" applyFill="1" applyBorder="1" applyAlignment="1">
      <alignment horizontal="center"/>
    </xf>
    <xf numFmtId="0" fontId="0" fillId="56" borderId="20" xfId="0" applyFill="1" applyBorder="1" applyAlignment="1">
      <alignment horizontal="center"/>
    </xf>
    <xf numFmtId="0" fontId="0" fillId="57" borderId="20" xfId="0" applyFill="1" applyBorder="1" applyAlignment="1">
      <alignment horizontal="center"/>
    </xf>
    <xf numFmtId="0" fontId="0" fillId="58" borderId="20" xfId="0" applyFill="1" applyBorder="1" applyAlignment="1">
      <alignment horizontal="center"/>
    </xf>
    <xf numFmtId="0" fontId="0" fillId="53" borderId="24" xfId="0" applyFill="1" applyBorder="1" applyAlignment="1">
      <alignment horizontal="center"/>
    </xf>
    <xf numFmtId="0" fontId="26" fillId="59" borderId="14" xfId="0" applyFont="1" applyFill="1" applyBorder="1" applyAlignment="1">
      <alignment horizontal="right"/>
    </xf>
    <xf numFmtId="0" fontId="26" fillId="59" borderId="0" xfId="0" applyFont="1" applyFill="1" applyBorder="1" applyAlignment="1">
      <alignment horizontal="right"/>
    </xf>
    <xf numFmtId="0" fontId="0" fillId="59" borderId="15" xfId="0" applyFill="1" applyBorder="1"/>
    <xf numFmtId="0" fontId="26" fillId="59" borderId="24" xfId="0" applyFont="1" applyFill="1" applyBorder="1" applyAlignment="1">
      <alignment horizontal="left"/>
    </xf>
    <xf numFmtId="0" fontId="29" fillId="59" borderId="0" xfId="0" applyFont="1" applyFill="1"/>
    <xf numFmtId="0" fontId="30" fillId="59" borderId="0" xfId="0" applyFont="1" applyFill="1" applyAlignment="1">
      <alignment horizontal="right"/>
    </xf>
    <xf numFmtId="0" fontId="31" fillId="34" borderId="22" xfId="0" applyFont="1" applyFill="1" applyBorder="1" applyAlignment="1">
      <alignment horizontal="left"/>
    </xf>
    <xf numFmtId="4" fontId="29" fillId="34" borderId="20" xfId="0" applyNumberFormat="1" applyFont="1" applyFill="1" applyBorder="1"/>
    <xf numFmtId="4" fontId="32" fillId="34" borderId="20" xfId="0" applyNumberFormat="1" applyFont="1" applyFill="1" applyBorder="1"/>
    <xf numFmtId="4" fontId="32" fillId="34" borderId="24" xfId="0" applyNumberFormat="1" applyFont="1" applyFill="1" applyBorder="1"/>
    <xf numFmtId="0" fontId="29" fillId="0" borderId="0" xfId="0" applyFont="1"/>
    <xf numFmtId="0" fontId="0" fillId="59" borderId="0" xfId="0" applyFill="1" applyAlignment="1">
      <alignment horizontal="left"/>
    </xf>
    <xf numFmtId="0" fontId="19" fillId="59" borderId="0" xfId="0" applyFont="1" applyFill="1" applyAlignment="1">
      <alignment horizontal="left"/>
    </xf>
    <xf numFmtId="0" fontId="18" fillId="59" borderId="10" xfId="0" applyFont="1" applyFill="1" applyBorder="1" applyAlignment="1">
      <alignment horizontal="left"/>
    </xf>
    <xf numFmtId="0" fontId="0" fillId="36" borderId="20" xfId="0" applyFill="1" applyBorder="1" applyAlignment="1">
      <alignment horizontal="left"/>
    </xf>
    <xf numFmtId="0" fontId="0" fillId="35" borderId="20" xfId="0" applyFill="1" applyBorder="1" applyAlignment="1">
      <alignment horizontal="left"/>
    </xf>
    <xf numFmtId="0" fontId="0" fillId="37" borderId="20" xfId="0" applyFill="1" applyBorder="1" applyAlignment="1">
      <alignment horizontal="left"/>
    </xf>
    <xf numFmtId="0" fontId="0" fillId="38" borderId="20" xfId="0" applyFill="1" applyBorder="1" applyAlignment="1">
      <alignment horizontal="left"/>
    </xf>
    <xf numFmtId="0" fontId="0" fillId="34" borderId="20" xfId="0" applyFill="1" applyBorder="1" applyAlignment="1">
      <alignment horizontal="left"/>
    </xf>
    <xf numFmtId="0" fontId="0" fillId="39" borderId="20" xfId="0" applyFill="1" applyBorder="1" applyAlignment="1">
      <alignment horizontal="left"/>
    </xf>
    <xf numFmtId="0" fontId="0" fillId="40" borderId="20" xfId="0" applyFill="1" applyBorder="1" applyAlignment="1">
      <alignment horizontal="left"/>
    </xf>
    <xf numFmtId="0" fontId="0" fillId="41" borderId="20" xfId="0" applyFill="1" applyBorder="1" applyAlignment="1">
      <alignment horizontal="left"/>
    </xf>
    <xf numFmtId="0" fontId="0" fillId="42" borderId="20" xfId="0" applyFill="1" applyBorder="1" applyAlignment="1">
      <alignment horizontal="left"/>
    </xf>
    <xf numFmtId="0" fontId="0" fillId="43" borderId="20" xfId="0" applyFill="1" applyBorder="1" applyAlignment="1">
      <alignment horizontal="left"/>
    </xf>
    <xf numFmtId="0" fontId="0" fillId="44" borderId="20" xfId="0" applyFill="1" applyBorder="1" applyAlignment="1">
      <alignment horizontal="left"/>
    </xf>
    <xf numFmtId="0" fontId="0" fillId="46" borderId="20" xfId="0" applyFill="1" applyBorder="1" applyAlignment="1">
      <alignment horizontal="left"/>
    </xf>
    <xf numFmtId="0" fontId="0" fillId="47" borderId="20" xfId="0" applyFill="1" applyBorder="1" applyAlignment="1">
      <alignment horizontal="left"/>
    </xf>
    <xf numFmtId="0" fontId="0" fillId="48" borderId="20" xfId="0" applyFill="1" applyBorder="1" applyAlignment="1">
      <alignment horizontal="left"/>
    </xf>
    <xf numFmtId="0" fontId="0" fillId="49" borderId="20" xfId="0" applyFill="1" applyBorder="1" applyAlignment="1">
      <alignment horizontal="left"/>
    </xf>
    <xf numFmtId="0" fontId="0" fillId="50" borderId="20" xfId="0" applyFill="1" applyBorder="1" applyAlignment="1">
      <alignment horizontal="left"/>
    </xf>
    <xf numFmtId="0" fontId="0" fillId="51" borderId="20" xfId="0" applyFill="1" applyBorder="1" applyAlignment="1">
      <alignment horizontal="left"/>
    </xf>
    <xf numFmtId="0" fontId="0" fillId="52" borderId="20" xfId="0" applyFill="1" applyBorder="1" applyAlignment="1">
      <alignment horizontal="left"/>
    </xf>
    <xf numFmtId="0" fontId="0" fillId="53" borderId="20" xfId="0" applyFill="1" applyBorder="1" applyAlignment="1">
      <alignment horizontal="left"/>
    </xf>
    <xf numFmtId="0" fontId="0" fillId="53" borderId="24" xfId="0" applyFill="1" applyBorder="1" applyAlignment="1">
      <alignment horizontal="left"/>
    </xf>
    <xf numFmtId="0" fontId="0" fillId="54" borderId="20" xfId="0" applyFill="1" applyBorder="1" applyAlignment="1">
      <alignment horizontal="left"/>
    </xf>
    <xf numFmtId="0" fontId="0" fillId="55" borderId="20" xfId="0" applyFill="1" applyBorder="1" applyAlignment="1">
      <alignment horizontal="left"/>
    </xf>
    <xf numFmtId="0" fontId="0" fillId="33" borderId="20" xfId="0" applyFill="1" applyBorder="1" applyAlignment="1">
      <alignment horizontal="left"/>
    </xf>
    <xf numFmtId="0" fontId="0" fillId="56" borderId="20" xfId="0" applyFill="1" applyBorder="1" applyAlignment="1">
      <alignment horizontal="left"/>
    </xf>
    <xf numFmtId="0" fontId="0" fillId="57" borderId="20" xfId="0" applyFill="1" applyBorder="1" applyAlignment="1">
      <alignment horizontal="left"/>
    </xf>
    <xf numFmtId="0" fontId="0" fillId="58" borderId="20" xfId="0" applyFill="1" applyBorder="1" applyAlignment="1">
      <alignment horizontal="left"/>
    </xf>
    <xf numFmtId="0" fontId="18" fillId="35" borderId="20" xfId="0" applyFont="1" applyFill="1" applyBorder="1" applyAlignment="1">
      <alignment horizontal="left"/>
    </xf>
    <xf numFmtId="0" fontId="16" fillId="35" borderId="20" xfId="0" applyFont="1" applyFill="1" applyBorder="1" applyAlignment="1">
      <alignment horizontal="left"/>
    </xf>
    <xf numFmtId="0" fontId="16" fillId="35" borderId="24" xfId="0" applyFont="1" applyFill="1" applyBorder="1" applyAlignment="1">
      <alignment horizontal="left"/>
    </xf>
    <xf numFmtId="0" fontId="16" fillId="42" borderId="24" xfId="0" applyFont="1" applyFill="1" applyBorder="1" applyAlignment="1">
      <alignment horizontal="left"/>
    </xf>
    <xf numFmtId="0" fontId="0" fillId="36" borderId="20" xfId="0" applyFill="1" applyBorder="1" applyAlignment="1">
      <alignment horizontal="right"/>
    </xf>
    <xf numFmtId="0" fontId="0" fillId="35" borderId="20" xfId="0" applyFill="1" applyBorder="1" applyAlignment="1">
      <alignment horizontal="right"/>
    </xf>
    <xf numFmtId="0" fontId="0" fillId="37" borderId="20" xfId="0" applyFill="1" applyBorder="1" applyAlignment="1">
      <alignment horizontal="right"/>
    </xf>
    <xf numFmtId="0" fontId="0" fillId="38" borderId="20" xfId="0" applyFill="1" applyBorder="1" applyAlignment="1">
      <alignment horizontal="right"/>
    </xf>
    <xf numFmtId="0" fontId="0" fillId="34" borderId="20" xfId="0" applyFill="1" applyBorder="1" applyAlignment="1">
      <alignment horizontal="right"/>
    </xf>
    <xf numFmtId="0" fontId="0" fillId="39" borderId="20" xfId="0" applyFill="1" applyBorder="1" applyAlignment="1">
      <alignment horizontal="right"/>
    </xf>
    <xf numFmtId="0" fontId="0" fillId="40" borderId="20" xfId="0" applyFill="1" applyBorder="1" applyAlignment="1">
      <alignment horizontal="right"/>
    </xf>
    <xf numFmtId="0" fontId="0" fillId="41" borderId="20" xfId="0" applyFill="1" applyBorder="1" applyAlignment="1">
      <alignment horizontal="right"/>
    </xf>
    <xf numFmtId="0" fontId="0" fillId="42" borderId="20" xfId="0" applyFill="1" applyBorder="1" applyAlignment="1">
      <alignment horizontal="right"/>
    </xf>
    <xf numFmtId="0" fontId="0" fillId="43" borderId="20" xfId="0" applyFill="1" applyBorder="1" applyAlignment="1">
      <alignment horizontal="right"/>
    </xf>
    <xf numFmtId="0" fontId="0" fillId="44" borderId="20" xfId="0" applyFill="1" applyBorder="1" applyAlignment="1">
      <alignment horizontal="right"/>
    </xf>
    <xf numFmtId="0" fontId="0" fillId="45" borderId="20" xfId="0" applyFill="1" applyBorder="1" applyAlignment="1">
      <alignment horizontal="right"/>
    </xf>
    <xf numFmtId="0" fontId="0" fillId="46" borderId="20" xfId="0" applyFill="1" applyBorder="1" applyAlignment="1">
      <alignment horizontal="right"/>
    </xf>
    <xf numFmtId="0" fontId="0" fillId="47" borderId="20" xfId="0" applyFill="1" applyBorder="1" applyAlignment="1">
      <alignment horizontal="right"/>
    </xf>
    <xf numFmtId="0" fontId="0" fillId="48" borderId="20" xfId="0" applyFill="1" applyBorder="1" applyAlignment="1">
      <alignment horizontal="right"/>
    </xf>
    <xf numFmtId="0" fontId="0" fillId="49" borderId="20" xfId="0" applyFill="1" applyBorder="1" applyAlignment="1">
      <alignment horizontal="right"/>
    </xf>
    <xf numFmtId="0" fontId="0" fillId="50" borderId="20" xfId="0" applyFill="1" applyBorder="1" applyAlignment="1">
      <alignment horizontal="right"/>
    </xf>
    <xf numFmtId="0" fontId="0" fillId="51" borderId="20" xfId="0" applyFill="1" applyBorder="1" applyAlignment="1">
      <alignment horizontal="right"/>
    </xf>
    <xf numFmtId="0" fontId="0" fillId="52" borderId="20" xfId="0" applyFill="1" applyBorder="1" applyAlignment="1">
      <alignment horizontal="right"/>
    </xf>
    <xf numFmtId="0" fontId="0" fillId="53" borderId="20" xfId="0" applyFill="1" applyBorder="1" applyAlignment="1">
      <alignment horizontal="right"/>
    </xf>
    <xf numFmtId="0" fontId="0" fillId="53" borderId="24" xfId="0" applyFill="1" applyBorder="1" applyAlignment="1">
      <alignment horizontal="right"/>
    </xf>
    <xf numFmtId="0" fontId="0" fillId="54" borderId="20" xfId="0" applyFill="1" applyBorder="1" applyAlignment="1">
      <alignment horizontal="right"/>
    </xf>
    <xf numFmtId="0" fontId="0" fillId="55" borderId="20" xfId="0" applyFill="1" applyBorder="1" applyAlignment="1">
      <alignment horizontal="right"/>
    </xf>
    <xf numFmtId="0" fontId="0" fillId="33" borderId="20" xfId="0" applyFill="1" applyBorder="1" applyAlignment="1">
      <alignment horizontal="right"/>
    </xf>
    <xf numFmtId="0" fontId="0" fillId="56" borderId="20" xfId="0" applyFill="1" applyBorder="1" applyAlignment="1">
      <alignment horizontal="right"/>
    </xf>
    <xf numFmtId="0" fontId="0" fillId="57" borderId="20" xfId="0" applyFill="1" applyBorder="1" applyAlignment="1">
      <alignment horizontal="right"/>
    </xf>
    <xf numFmtId="0" fontId="0" fillId="58" borderId="20" xfId="0" applyFill="1" applyBorder="1" applyAlignment="1">
      <alignment horizontal="right"/>
    </xf>
    <xf numFmtId="0" fontId="0" fillId="38" borderId="24" xfId="0" applyFill="1" applyBorder="1" applyAlignment="1">
      <alignment horizontal="left"/>
    </xf>
    <xf numFmtId="0" fontId="0" fillId="52" borderId="24" xfId="0" applyFill="1" applyBorder="1" applyAlignment="1">
      <alignment horizontal="left"/>
    </xf>
    <xf numFmtId="0" fontId="0" fillId="38" borderId="24" xfId="0" applyFill="1" applyBorder="1" applyAlignment="1">
      <alignment horizontal="right"/>
    </xf>
    <xf numFmtId="0" fontId="0" fillId="52" borderId="24" xfId="0" applyFill="1" applyBorder="1" applyAlignment="1">
      <alignment horizontal="right"/>
    </xf>
    <xf numFmtId="0" fontId="0" fillId="38" borderId="24" xfId="0" applyFill="1" applyBorder="1" applyAlignment="1">
      <alignment horizontal="center"/>
    </xf>
    <xf numFmtId="0" fontId="0" fillId="52" borderId="24" xfId="0" applyFill="1" applyBorder="1" applyAlignment="1">
      <alignment horizontal="center"/>
    </xf>
    <xf numFmtId="0" fontId="18" fillId="34" borderId="20" xfId="0" applyFont="1" applyFill="1" applyBorder="1" applyAlignment="1">
      <alignment horizontal="left"/>
    </xf>
    <xf numFmtId="0" fontId="31" fillId="34" borderId="14" xfId="0" applyFont="1" applyFill="1" applyBorder="1" applyAlignment="1">
      <alignment horizontal="left"/>
    </xf>
    <xf numFmtId="0" fontId="18" fillId="33" borderId="20" xfId="0" applyFont="1" applyFill="1" applyBorder="1" applyAlignment="1">
      <alignment horizontal="center"/>
    </xf>
    <xf numFmtId="4" fontId="0" fillId="0" borderId="24" xfId="0" applyNumberFormat="1" applyBorder="1"/>
    <xf numFmtId="4" fontId="29" fillId="34" borderId="24" xfId="0" applyNumberFormat="1" applyFont="1" applyFill="1" applyBorder="1"/>
    <xf numFmtId="164" fontId="0" fillId="33" borderId="24" xfId="0" applyNumberFormat="1" applyFill="1" applyBorder="1"/>
    <xf numFmtId="4" fontId="0" fillId="33" borderId="24" xfId="0" applyNumberFormat="1" applyFill="1" applyBorder="1"/>
    <xf numFmtId="0" fontId="16" fillId="33" borderId="20" xfId="0" applyFont="1" applyFill="1" applyBorder="1"/>
    <xf numFmtId="0" fontId="18" fillId="33" borderId="20" xfId="0" applyFont="1" applyFill="1" applyBorder="1" applyAlignment="1">
      <alignment horizontal="left"/>
    </xf>
    <xf numFmtId="0" fontId="16" fillId="33" borderId="20" xfId="0" applyFont="1" applyFill="1" applyBorder="1" applyAlignment="1">
      <alignment horizontal="left"/>
    </xf>
    <xf numFmtId="0" fontId="16" fillId="33" borderId="24" xfId="0" applyFont="1" applyFill="1" applyBorder="1"/>
    <xf numFmtId="0" fontId="16" fillId="33" borderId="24" xfId="0" applyFont="1" applyFill="1" applyBorder="1" applyAlignment="1">
      <alignment horizontal="left"/>
    </xf>
    <xf numFmtId="0" fontId="33" fillId="59" borderId="0" xfId="0" applyFont="1" applyFill="1"/>
    <xf numFmtId="0" fontId="26" fillId="59" borderId="10" xfId="0" applyFont="1" applyFill="1" applyBorder="1" applyAlignment="1">
      <alignment horizontal="right"/>
    </xf>
    <xf numFmtId="0" fontId="26" fillId="59" borderId="10" xfId="0" applyFont="1" applyFill="1" applyBorder="1" applyAlignment="1">
      <alignment horizontal="left"/>
    </xf>
    <xf numFmtId="0" fontId="34" fillId="42" borderId="20" xfId="0" applyFont="1" applyFill="1" applyBorder="1"/>
    <xf numFmtId="4" fontId="34" fillId="0" borderId="20" xfId="0" applyNumberFormat="1" applyFont="1" applyBorder="1" applyAlignment="1">
      <alignment horizontal="right"/>
    </xf>
    <xf numFmtId="164" fontId="34" fillId="42" borderId="20" xfId="0" applyNumberFormat="1" applyFont="1" applyFill="1" applyBorder="1" applyAlignment="1">
      <alignment horizontal="right"/>
    </xf>
    <xf numFmtId="0" fontId="35" fillId="45" borderId="20" xfId="0" applyFont="1" applyFill="1" applyBorder="1" applyAlignment="1">
      <alignment horizontal="center"/>
    </xf>
    <xf numFmtId="0" fontId="34" fillId="0" borderId="0" xfId="0" applyFont="1"/>
    <xf numFmtId="164" fontId="34" fillId="0" borderId="20" xfId="0" applyNumberFormat="1" applyFont="1" applyBorder="1" applyAlignment="1">
      <alignment horizontal="right"/>
    </xf>
    <xf numFmtId="0" fontId="16" fillId="33" borderId="11" xfId="0" applyFont="1" applyFill="1" applyBorder="1" applyAlignment="1">
      <alignment horizontal="left"/>
    </xf>
    <xf numFmtId="0" fontId="20" fillId="33" borderId="14" xfId="0" applyFont="1" applyFill="1" applyBorder="1" applyAlignment="1">
      <alignment horizontal="left"/>
    </xf>
    <xf numFmtId="0" fontId="25" fillId="33" borderId="14" xfId="0" applyFont="1" applyFill="1" applyBorder="1" applyAlignment="1">
      <alignment horizontal="left"/>
    </xf>
    <xf numFmtId="0" fontId="16" fillId="33" borderId="16" xfId="0" applyFont="1" applyFill="1" applyBorder="1" applyAlignment="1">
      <alignment horizontal="left"/>
    </xf>
    <xf numFmtId="0" fontId="16" fillId="59" borderId="22" xfId="0" applyFont="1" applyFill="1" applyBorder="1" applyAlignment="1">
      <alignment horizontal="left"/>
    </xf>
    <xf numFmtId="0" fontId="18" fillId="33" borderId="11" xfId="0" applyFont="1" applyFill="1" applyBorder="1" applyAlignment="1">
      <alignment horizontal="left"/>
    </xf>
    <xf numFmtId="0" fontId="18" fillId="33" borderId="14" xfId="0" applyFont="1" applyFill="1" applyBorder="1" applyAlignment="1">
      <alignment horizontal="left"/>
    </xf>
    <xf numFmtId="0" fontId="19" fillId="33" borderId="14" xfId="0" applyFont="1" applyFill="1" applyBorder="1" applyAlignment="1">
      <alignment horizontal="left"/>
    </xf>
    <xf numFmtId="0" fontId="18" fillId="33" borderId="16" xfId="0" applyFont="1" applyFill="1" applyBorder="1" applyAlignment="1">
      <alignment horizontal="left"/>
    </xf>
    <xf numFmtId="0" fontId="16" fillId="33" borderId="0" xfId="0" applyFont="1" applyFill="1" applyBorder="1" applyAlignment="1">
      <alignment horizontal="left"/>
    </xf>
    <xf numFmtId="0" fontId="20" fillId="33" borderId="0" xfId="0" applyFont="1" applyFill="1" applyBorder="1" applyAlignment="1">
      <alignment horizontal="left"/>
    </xf>
    <xf numFmtId="0" fontId="16" fillId="59" borderId="11" xfId="0" applyFont="1" applyFill="1" applyBorder="1" applyAlignment="1">
      <alignment horizontal="left"/>
    </xf>
    <xf numFmtId="0" fontId="21" fillId="33" borderId="0" xfId="0" applyFont="1" applyFill="1" applyBorder="1" applyAlignment="1">
      <alignment horizontal="right"/>
    </xf>
    <xf numFmtId="0" fontId="0" fillId="33" borderId="12" xfId="0" applyFill="1" applyBorder="1" applyAlignment="1">
      <alignment horizontal="right"/>
    </xf>
    <xf numFmtId="0" fontId="19" fillId="33" borderId="0" xfId="0" applyFont="1" applyFill="1" applyBorder="1" applyAlignment="1">
      <alignment horizontal="right"/>
    </xf>
    <xf numFmtId="0" fontId="19" fillId="33" borderId="17" xfId="0" applyFont="1" applyFill="1" applyBorder="1" applyAlignment="1">
      <alignment horizontal="right"/>
    </xf>
    <xf numFmtId="0" fontId="21" fillId="33" borderId="0" xfId="0" applyFont="1" applyFill="1" applyBorder="1" applyAlignment="1">
      <alignment horizontal="left"/>
    </xf>
    <xf numFmtId="0" fontId="0" fillId="59" borderId="12" xfId="0" applyFill="1" applyBorder="1" applyAlignment="1">
      <alignment horizontal="left"/>
    </xf>
    <xf numFmtId="0" fontId="0" fillId="33" borderId="12" xfId="0" applyFill="1" applyBorder="1" applyAlignment="1">
      <alignment horizontal="left"/>
    </xf>
    <xf numFmtId="0" fontId="19" fillId="33" borderId="0" xfId="0" applyFont="1" applyFill="1" applyBorder="1" applyAlignment="1">
      <alignment horizontal="left"/>
    </xf>
    <xf numFmtId="0" fontId="19" fillId="33" borderId="17" xfId="0" applyFont="1" applyFill="1" applyBorder="1" applyAlignment="1">
      <alignment horizontal="left"/>
    </xf>
    <xf numFmtId="0" fontId="34" fillId="57" borderId="20" xfId="0" applyFont="1" applyFill="1" applyBorder="1" applyAlignment="1">
      <alignment horizontal="left"/>
    </xf>
    <xf numFmtId="0" fontId="34" fillId="57" borderId="20" xfId="0" applyFont="1" applyFill="1" applyBorder="1" applyAlignment="1">
      <alignment horizontal="right"/>
    </xf>
    <xf numFmtId="0" fontId="34" fillId="57" borderId="20" xfId="0" applyFont="1" applyFill="1" applyBorder="1" applyAlignment="1">
      <alignment horizontal="center"/>
    </xf>
    <xf numFmtId="4" fontId="34" fillId="0" borderId="20" xfId="0" applyNumberFormat="1" applyFont="1" applyBorder="1"/>
    <xf numFmtId="0" fontId="18" fillId="33" borderId="10" xfId="0" applyFont="1" applyFill="1" applyBorder="1" applyAlignment="1">
      <alignment horizontal="left"/>
    </xf>
    <xf numFmtId="0" fontId="18" fillId="42" borderId="20" xfId="0" applyFont="1" applyFill="1" applyBorder="1" applyAlignment="1">
      <alignment horizontal="left"/>
    </xf>
    <xf numFmtId="4" fontId="0" fillId="0" borderId="20" xfId="0" applyNumberFormat="1" applyFill="1" applyBorder="1"/>
    <xf numFmtId="4" fontId="0" fillId="0" borderId="24" xfId="0" applyNumberFormat="1" applyFill="1" applyBorder="1"/>
    <xf numFmtId="0" fontId="24" fillId="33" borderId="20" xfId="0" applyFont="1" applyFill="1" applyBorder="1" applyAlignment="1">
      <alignment horizontal="left"/>
    </xf>
    <xf numFmtId="0" fontId="24" fillId="59" borderId="0" xfId="0" applyFont="1" applyFill="1"/>
    <xf numFmtId="0" fontId="18" fillId="40" borderId="10" xfId="0" applyFont="1" applyFill="1" applyBorder="1" applyAlignment="1">
      <alignment horizontal="left"/>
    </xf>
    <xf numFmtId="0" fontId="24" fillId="33" borderId="10" xfId="0" applyFont="1" applyFill="1" applyBorder="1" applyAlignment="1">
      <alignment horizontal="left"/>
    </xf>
    <xf numFmtId="0" fontId="18" fillId="47" borderId="10" xfId="0" applyFont="1" applyFill="1" applyBorder="1" applyAlignment="1">
      <alignment horizontal="left"/>
    </xf>
    <xf numFmtId="0" fontId="18" fillId="47" borderId="23" xfId="0" applyFont="1" applyFill="1" applyBorder="1" applyAlignment="1">
      <alignment horizontal="left"/>
    </xf>
    <xf numFmtId="4" fontId="0" fillId="33" borderId="15" xfId="0" applyNumberFormat="1" applyFill="1" applyBorder="1"/>
    <xf numFmtId="4" fontId="0" fillId="33" borderId="18" xfId="0" applyNumberFormat="1" applyFill="1" applyBorder="1"/>
    <xf numFmtId="0" fontId="16" fillId="42" borderId="19" xfId="0" applyFont="1" applyFill="1" applyBorder="1" applyAlignment="1">
      <alignment horizontal="left"/>
    </xf>
    <xf numFmtId="0" fontId="18" fillId="34" borderId="19" xfId="0" applyFont="1" applyFill="1" applyBorder="1" applyAlignment="1">
      <alignment horizontal="left"/>
    </xf>
    <xf numFmtId="0" fontId="18" fillId="40" borderId="19" xfId="0" applyFont="1" applyFill="1" applyBorder="1" applyAlignment="1">
      <alignment horizontal="left"/>
    </xf>
    <xf numFmtId="0" fontId="16" fillId="42" borderId="26" xfId="0" applyFont="1" applyFill="1" applyBorder="1" applyAlignment="1">
      <alignment horizontal="left"/>
    </xf>
    <xf numFmtId="0" fontId="18" fillId="34" borderId="27" xfId="0" applyFont="1" applyFill="1" applyBorder="1" applyAlignment="1">
      <alignment horizontal="left"/>
    </xf>
    <xf numFmtId="0" fontId="18" fillId="40" borderId="28" xfId="0" applyFont="1" applyFill="1" applyBorder="1" applyAlignment="1">
      <alignment horizontal="left"/>
    </xf>
    <xf numFmtId="0" fontId="0" fillId="34" borderId="29" xfId="0" applyFill="1" applyBorder="1" applyAlignment="1">
      <alignment horizontal="left"/>
    </xf>
    <xf numFmtId="0" fontId="0" fillId="43" borderId="29" xfId="0" applyFill="1" applyBorder="1" applyAlignment="1">
      <alignment horizontal="left"/>
    </xf>
    <xf numFmtId="0" fontId="0" fillId="36" borderId="29" xfId="0" applyFill="1" applyBorder="1" applyAlignment="1">
      <alignment horizontal="left"/>
    </xf>
    <xf numFmtId="0" fontId="0" fillId="56" borderId="29" xfId="0" applyFill="1" applyBorder="1" applyAlignment="1">
      <alignment horizontal="left"/>
    </xf>
    <xf numFmtId="0" fontId="0" fillId="57" borderId="29" xfId="0" applyFill="1" applyBorder="1" applyAlignment="1">
      <alignment horizontal="left"/>
    </xf>
    <xf numFmtId="0" fontId="0" fillId="41" borderId="29" xfId="0" applyFill="1" applyBorder="1" applyAlignment="1">
      <alignment horizontal="left"/>
    </xf>
    <xf numFmtId="0" fontId="0" fillId="42" borderId="29" xfId="0" applyFill="1" applyBorder="1" applyAlignment="1">
      <alignment horizontal="left"/>
    </xf>
    <xf numFmtId="0" fontId="0" fillId="40" borderId="29" xfId="0" applyFill="1" applyBorder="1" applyAlignment="1">
      <alignment horizontal="left"/>
    </xf>
    <xf numFmtId="0" fontId="0" fillId="39" borderId="29" xfId="0" applyFill="1" applyBorder="1" applyAlignment="1">
      <alignment horizontal="left"/>
    </xf>
    <xf numFmtId="0" fontId="0" fillId="58" borderId="29" xfId="0" applyFill="1" applyBorder="1" applyAlignment="1">
      <alignment horizontal="left"/>
    </xf>
    <xf numFmtId="0" fontId="0" fillId="37" borderId="29" xfId="0" applyFill="1" applyBorder="1" applyAlignment="1">
      <alignment horizontal="left"/>
    </xf>
    <xf numFmtId="0" fontId="0" fillId="33" borderId="29" xfId="0" applyFill="1" applyBorder="1" applyAlignment="1">
      <alignment horizontal="left"/>
    </xf>
    <xf numFmtId="0" fontId="0" fillId="44" borderId="29" xfId="0" applyFill="1" applyBorder="1" applyAlignment="1">
      <alignment horizontal="left"/>
    </xf>
    <xf numFmtId="0" fontId="0" fillId="38" borderId="29" xfId="0" applyFill="1" applyBorder="1" applyAlignment="1">
      <alignment horizontal="left"/>
    </xf>
    <xf numFmtId="0" fontId="0" fillId="55" borderId="29" xfId="0" applyFill="1" applyBorder="1" applyAlignment="1">
      <alignment horizontal="left"/>
    </xf>
    <xf numFmtId="0" fontId="0" fillId="49" borderId="29" xfId="0" applyFill="1" applyBorder="1" applyAlignment="1">
      <alignment horizontal="left"/>
    </xf>
    <xf numFmtId="0" fontId="0" fillId="46" borderId="29" xfId="0" applyFill="1" applyBorder="1" applyAlignment="1">
      <alignment horizontal="left"/>
    </xf>
    <xf numFmtId="0" fontId="0" fillId="53" borderId="31" xfId="0" applyFill="1" applyBorder="1" applyAlignment="1">
      <alignment horizontal="left"/>
    </xf>
    <xf numFmtId="4" fontId="0" fillId="33" borderId="19" xfId="0" applyNumberFormat="1" applyFill="1" applyBorder="1"/>
    <xf numFmtId="4" fontId="0" fillId="0" borderId="30" xfId="0" applyNumberFormat="1" applyFill="1" applyBorder="1"/>
    <xf numFmtId="0" fontId="16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0" fontId="16" fillId="0" borderId="0" xfId="0" applyFont="1" applyAlignment="1">
      <alignment horizontal="right"/>
    </xf>
    <xf numFmtId="0" fontId="16" fillId="0" borderId="0" xfId="0" applyFont="1" applyAlignment="1">
      <alignment horizontal="right" vertical="center"/>
    </xf>
    <xf numFmtId="3" fontId="0" fillId="0" borderId="0" xfId="0" applyNumberFormat="1" applyBorder="1" applyAlignment="1">
      <alignment horizontal="right"/>
    </xf>
    <xf numFmtId="3" fontId="0" fillId="0" borderId="34" xfId="0" applyNumberFormat="1" applyBorder="1" applyAlignment="1">
      <alignment horizontal="right"/>
    </xf>
    <xf numFmtId="3" fontId="0" fillId="0" borderId="35" xfId="0" applyNumberFormat="1" applyBorder="1" applyAlignment="1">
      <alignment horizontal="right"/>
    </xf>
    <xf numFmtId="3" fontId="0" fillId="0" borderId="36" xfId="0" applyNumberFormat="1" applyBorder="1" applyAlignment="1">
      <alignment horizontal="right"/>
    </xf>
    <xf numFmtId="0" fontId="16" fillId="33" borderId="25" xfId="0" applyFont="1" applyFill="1" applyBorder="1"/>
    <xf numFmtId="3" fontId="16" fillId="33" borderId="25" xfId="0" applyNumberFormat="1" applyFont="1" applyFill="1" applyBorder="1" applyAlignment="1">
      <alignment horizontal="right"/>
    </xf>
    <xf numFmtId="3" fontId="16" fillId="0" borderId="34" xfId="0" applyNumberFormat="1" applyFont="1" applyBorder="1" applyAlignment="1">
      <alignment horizontal="right"/>
    </xf>
    <xf numFmtId="3" fontId="16" fillId="0" borderId="35" xfId="0" applyNumberFormat="1" applyFont="1" applyBorder="1" applyAlignment="1">
      <alignment horizontal="right"/>
    </xf>
    <xf numFmtId="0" fontId="16" fillId="0" borderId="25" xfId="0" applyFont="1" applyBorder="1"/>
    <xf numFmtId="0" fontId="24" fillId="0" borderId="0" xfId="0" applyFont="1"/>
    <xf numFmtId="0" fontId="36" fillId="0" borderId="0" xfId="0" applyFont="1"/>
    <xf numFmtId="0" fontId="26" fillId="0" borderId="0" xfId="0" applyFont="1" applyAlignment="1">
      <alignment vertical="center"/>
    </xf>
    <xf numFmtId="0" fontId="26" fillId="0" borderId="0" xfId="0" applyFont="1"/>
    <xf numFmtId="4" fontId="0" fillId="35" borderId="20" xfId="0" applyNumberFormat="1" applyFill="1" applyBorder="1"/>
    <xf numFmtId="4" fontId="0" fillId="34" borderId="20" xfId="0" applyNumberFormat="1" applyFill="1" applyBorder="1"/>
    <xf numFmtId="0" fontId="19" fillId="59" borderId="15" xfId="0" applyFont="1" applyFill="1" applyBorder="1" applyAlignment="1">
      <alignment horizontal="right"/>
    </xf>
    <xf numFmtId="0" fontId="0" fillId="59" borderId="18" xfId="0" applyFill="1" applyBorder="1" applyAlignment="1">
      <alignment horizontal="right"/>
    </xf>
    <xf numFmtId="0" fontId="16" fillId="42" borderId="23" xfId="0" applyFont="1" applyFill="1" applyBorder="1" applyAlignment="1">
      <alignment horizontal="left"/>
    </xf>
    <xf numFmtId="0" fontId="16" fillId="42" borderId="21" xfId="0" applyFont="1" applyFill="1" applyBorder="1" applyAlignment="1">
      <alignment horizontal="left"/>
    </xf>
    <xf numFmtId="0" fontId="0" fillId="34" borderId="0" xfId="0" applyFill="1" applyBorder="1" applyAlignment="1">
      <alignment horizontal="center"/>
    </xf>
    <xf numFmtId="0" fontId="0" fillId="43" borderId="0" xfId="0" applyFill="1" applyBorder="1" applyAlignment="1">
      <alignment horizontal="center"/>
    </xf>
    <xf numFmtId="0" fontId="0" fillId="36" borderId="0" xfId="0" applyFill="1" applyBorder="1" applyAlignment="1">
      <alignment horizontal="center"/>
    </xf>
    <xf numFmtId="0" fontId="0" fillId="56" borderId="0" xfId="0" applyFill="1" applyBorder="1" applyAlignment="1">
      <alignment horizontal="center"/>
    </xf>
    <xf numFmtId="0" fontId="0" fillId="57" borderId="0" xfId="0" applyFill="1" applyBorder="1" applyAlignment="1">
      <alignment horizontal="center"/>
    </xf>
    <xf numFmtId="0" fontId="0" fillId="41" borderId="0" xfId="0" applyFill="1" applyBorder="1" applyAlignment="1">
      <alignment horizontal="center"/>
    </xf>
    <xf numFmtId="0" fontId="0" fillId="42" borderId="0" xfId="0" applyFill="1" applyBorder="1" applyAlignment="1">
      <alignment horizontal="center"/>
    </xf>
    <xf numFmtId="0" fontId="0" fillId="40" borderId="0" xfId="0" applyFill="1" applyBorder="1" applyAlignment="1">
      <alignment horizontal="center"/>
    </xf>
    <xf numFmtId="0" fontId="0" fillId="37" borderId="0" xfId="0" applyFill="1" applyBorder="1" applyAlignment="1">
      <alignment horizontal="center"/>
    </xf>
    <xf numFmtId="0" fontId="0" fillId="33" borderId="0" xfId="0" applyFill="1" applyBorder="1" applyAlignment="1">
      <alignment horizontal="center"/>
    </xf>
    <xf numFmtId="0" fontId="0" fillId="44" borderId="0" xfId="0" applyFill="1" applyBorder="1" applyAlignment="1">
      <alignment horizontal="center"/>
    </xf>
    <xf numFmtId="0" fontId="0" fillId="38" borderId="0" xfId="0" applyFill="1" applyBorder="1" applyAlignment="1">
      <alignment horizontal="center"/>
    </xf>
    <xf numFmtId="0" fontId="0" fillId="46" borderId="0" xfId="0" applyFill="1" applyBorder="1" applyAlignment="1">
      <alignment horizontal="center"/>
    </xf>
    <xf numFmtId="0" fontId="0" fillId="51" borderId="0" xfId="0" applyFill="1" applyBorder="1" applyAlignment="1">
      <alignment horizontal="center"/>
    </xf>
    <xf numFmtId="0" fontId="0" fillId="59" borderId="0" xfId="0" applyFill="1" applyBorder="1" applyAlignment="1">
      <alignment horizontal="right"/>
    </xf>
    <xf numFmtId="0" fontId="0" fillId="59" borderId="17" xfId="0" applyFill="1" applyBorder="1" applyAlignment="1">
      <alignment horizontal="right"/>
    </xf>
    <xf numFmtId="0" fontId="0" fillId="59" borderId="24" xfId="0" applyFill="1" applyBorder="1" applyAlignment="1">
      <alignment horizontal="right"/>
    </xf>
    <xf numFmtId="0" fontId="0" fillId="59" borderId="24" xfId="0" quotePrefix="1" applyFill="1" applyBorder="1" applyAlignment="1">
      <alignment horizontal="right"/>
    </xf>
    <xf numFmtId="9" fontId="0" fillId="59" borderId="15" xfId="43" applyFont="1" applyFill="1" applyBorder="1"/>
    <xf numFmtId="9" fontId="0" fillId="59" borderId="0" xfId="43" applyFont="1" applyFill="1"/>
    <xf numFmtId="165" fontId="19" fillId="59" borderId="15" xfId="43" applyNumberFormat="1" applyFont="1" applyFill="1" applyBorder="1"/>
    <xf numFmtId="165" fontId="19" fillId="61" borderId="15" xfId="43" applyNumberFormat="1" applyFont="1" applyFill="1" applyBorder="1"/>
    <xf numFmtId="0" fontId="0" fillId="61" borderId="0" xfId="0" applyFill="1" applyAlignment="1">
      <alignment horizontal="left"/>
    </xf>
    <xf numFmtId="0" fontId="0" fillId="61" borderId="15" xfId="0" applyFill="1" applyBorder="1"/>
    <xf numFmtId="0" fontId="0" fillId="61" borderId="0" xfId="0" applyFill="1"/>
    <xf numFmtId="165" fontId="19" fillId="34" borderId="15" xfId="43" applyNumberFormat="1" applyFont="1" applyFill="1" applyBorder="1"/>
    <xf numFmtId="165" fontId="19" fillId="57" borderId="15" xfId="43" applyNumberFormat="1" applyFont="1" applyFill="1" applyBorder="1"/>
    <xf numFmtId="165" fontId="19" fillId="54" borderId="15" xfId="43" applyNumberFormat="1" applyFont="1" applyFill="1" applyBorder="1"/>
    <xf numFmtId="0" fontId="0" fillId="59" borderId="10" xfId="0" applyFill="1" applyBorder="1" applyAlignment="1">
      <alignment horizontal="right"/>
    </xf>
    <xf numFmtId="165" fontId="19" fillId="59" borderId="15" xfId="43" applyNumberFormat="1" applyFont="1" applyFill="1" applyBorder="1" applyAlignment="1">
      <alignment horizontal="right"/>
    </xf>
    <xf numFmtId="0" fontId="19" fillId="59" borderId="0" xfId="0" applyFont="1" applyFill="1" applyBorder="1" applyAlignment="1">
      <alignment horizontal="right"/>
    </xf>
    <xf numFmtId="165" fontId="19" fillId="59" borderId="13" xfId="43" applyNumberFormat="1" applyFont="1" applyFill="1" applyBorder="1"/>
    <xf numFmtId="165" fontId="19" fillId="59" borderId="20" xfId="43" applyNumberFormat="1" applyFont="1" applyFill="1" applyBorder="1" applyAlignment="1">
      <alignment horizontal="right"/>
    </xf>
    <xf numFmtId="9" fontId="0" fillId="59" borderId="13" xfId="43" applyFont="1" applyFill="1" applyBorder="1"/>
    <xf numFmtId="0" fontId="0" fillId="59" borderId="14" xfId="0" applyFill="1" applyBorder="1"/>
    <xf numFmtId="0" fontId="0" fillId="59" borderId="18" xfId="0" quotePrefix="1" applyFill="1" applyBorder="1" applyAlignment="1">
      <alignment horizontal="right"/>
    </xf>
    <xf numFmtId="4" fontId="0" fillId="34" borderId="24" xfId="0" applyNumberFormat="1" applyFill="1" applyBorder="1"/>
    <xf numFmtId="4" fontId="0" fillId="35" borderId="24" xfId="0" applyNumberFormat="1" applyFill="1" applyBorder="1"/>
    <xf numFmtId="0" fontId="0" fillId="53" borderId="38" xfId="0" applyFill="1" applyBorder="1" applyAlignment="1">
      <alignment horizontal="center"/>
    </xf>
    <xf numFmtId="165" fontId="19" fillId="61" borderId="20" xfId="43" applyNumberFormat="1" applyFont="1" applyFill="1" applyBorder="1" applyAlignment="1">
      <alignment horizontal="right"/>
    </xf>
    <xf numFmtId="0" fontId="0" fillId="59" borderId="23" xfId="0" applyFill="1" applyBorder="1" applyAlignment="1">
      <alignment horizontal="right"/>
    </xf>
    <xf numFmtId="165" fontId="19" fillId="59" borderId="13" xfId="43" applyNumberFormat="1" applyFont="1" applyFill="1" applyBorder="1" applyAlignment="1">
      <alignment horizontal="right"/>
    </xf>
    <xf numFmtId="0" fontId="0" fillId="39" borderId="24" xfId="0" applyFill="1" applyBorder="1" applyAlignment="1">
      <alignment horizontal="left"/>
    </xf>
    <xf numFmtId="0" fontId="0" fillId="39" borderId="24" xfId="0" applyFill="1" applyBorder="1" applyAlignment="1">
      <alignment horizontal="right"/>
    </xf>
    <xf numFmtId="0" fontId="0" fillId="39" borderId="24" xfId="0" applyFill="1" applyBorder="1" applyAlignment="1">
      <alignment horizontal="center"/>
    </xf>
    <xf numFmtId="0" fontId="0" fillId="0" borderId="17" xfId="0" applyBorder="1"/>
    <xf numFmtId="0" fontId="24" fillId="61" borderId="0" xfId="0" applyFont="1" applyFill="1"/>
    <xf numFmtId="0" fontId="0" fillId="0" borderId="20" xfId="0" applyBorder="1"/>
    <xf numFmtId="0" fontId="0" fillId="0" borderId="24" xfId="0" applyBorder="1"/>
    <xf numFmtId="0" fontId="0" fillId="0" borderId="10" xfId="0" applyBorder="1"/>
    <xf numFmtId="0" fontId="0" fillId="0" borderId="0" xfId="0" applyBorder="1"/>
    <xf numFmtId="0" fontId="0" fillId="0" borderId="0" xfId="0" applyFill="1" applyBorder="1"/>
    <xf numFmtId="0" fontId="0" fillId="0" borderId="15" xfId="0" applyBorder="1"/>
    <xf numFmtId="0" fontId="24" fillId="61" borderId="0" xfId="0" applyFont="1" applyFill="1" applyAlignment="1">
      <alignment horizontal="left"/>
    </xf>
    <xf numFmtId="0" fontId="16" fillId="0" borderId="0" xfId="0" applyFont="1" applyBorder="1"/>
    <xf numFmtId="4" fontId="16" fillId="38" borderId="20" xfId="0" applyNumberFormat="1" applyFont="1" applyFill="1" applyBorder="1"/>
    <xf numFmtId="4" fontId="16" fillId="38" borderId="24" xfId="0" applyNumberFormat="1" applyFont="1" applyFill="1" applyBorder="1"/>
    <xf numFmtId="4" fontId="39" fillId="0" borderId="20" xfId="0" applyNumberFormat="1" applyFont="1" applyFill="1" applyBorder="1"/>
    <xf numFmtId="4" fontId="0" fillId="0" borderId="19" xfId="0" applyNumberFormat="1" applyBorder="1"/>
    <xf numFmtId="0" fontId="14" fillId="0" borderId="0" xfId="0" applyFont="1"/>
    <xf numFmtId="0" fontId="23" fillId="0" borderId="0" xfId="42"/>
    <xf numFmtId="165" fontId="19" fillId="57" borderId="20" xfId="43" applyNumberFormat="1" applyFont="1" applyFill="1" applyBorder="1" applyAlignment="1">
      <alignment horizontal="right"/>
    </xf>
    <xf numFmtId="165" fontId="19" fillId="57" borderId="19" xfId="43" applyNumberFormat="1" applyFont="1" applyFill="1" applyBorder="1" applyAlignment="1">
      <alignment horizontal="right"/>
    </xf>
    <xf numFmtId="165" fontId="19" fillId="57" borderId="13" xfId="43" applyNumberFormat="1" applyFont="1" applyFill="1" applyBorder="1"/>
    <xf numFmtId="0" fontId="0" fillId="59" borderId="18" xfId="0" applyFill="1" applyBorder="1"/>
    <xf numFmtId="0" fontId="0" fillId="59" borderId="17" xfId="0" applyFill="1" applyBorder="1"/>
    <xf numFmtId="0" fontId="23" fillId="61" borderId="0" xfId="42" applyFill="1"/>
    <xf numFmtId="0" fontId="0" fillId="59" borderId="23" xfId="0" applyFill="1" applyBorder="1" applyAlignment="1">
      <alignment horizontal="left"/>
    </xf>
    <xf numFmtId="165" fontId="19" fillId="61" borderId="15" xfId="43" applyNumberFormat="1" applyFont="1" applyFill="1" applyBorder="1" applyAlignment="1">
      <alignment horizontal="right"/>
    </xf>
    <xf numFmtId="0" fontId="19" fillId="57" borderId="13" xfId="43" applyNumberFormat="1" applyFont="1" applyFill="1" applyBorder="1" applyAlignment="1">
      <alignment horizontal="right"/>
    </xf>
    <xf numFmtId="0" fontId="19" fillId="57" borderId="15" xfId="43" applyNumberFormat="1" applyFont="1" applyFill="1" applyBorder="1" applyAlignment="1">
      <alignment horizontal="right"/>
    </xf>
    <xf numFmtId="0" fontId="19" fillId="57" borderId="19" xfId="43" applyNumberFormat="1" applyFont="1" applyFill="1" applyBorder="1" applyAlignment="1">
      <alignment horizontal="right"/>
    </xf>
    <xf numFmtId="0" fontId="19" fillId="57" borderId="20" xfId="43" applyNumberFormat="1" applyFont="1" applyFill="1" applyBorder="1" applyAlignment="1">
      <alignment horizontal="right"/>
    </xf>
    <xf numFmtId="0" fontId="0" fillId="57" borderId="20" xfId="0" applyFill="1" applyBorder="1"/>
    <xf numFmtId="0" fontId="16" fillId="57" borderId="10" xfId="0" applyFont="1" applyFill="1" applyBorder="1" applyAlignment="1">
      <alignment horizontal="left"/>
    </xf>
    <xf numFmtId="0" fontId="0" fillId="59" borderId="21" xfId="0" applyFill="1" applyBorder="1" applyAlignment="1">
      <alignment horizontal="right"/>
    </xf>
    <xf numFmtId="167" fontId="19" fillId="57" borderId="20" xfId="43" applyNumberFormat="1" applyFont="1" applyFill="1" applyBorder="1" applyAlignment="1">
      <alignment horizontal="right"/>
    </xf>
    <xf numFmtId="167" fontId="19" fillId="57" borderId="15" xfId="43" applyNumberFormat="1" applyFont="1" applyFill="1" applyBorder="1" applyAlignment="1">
      <alignment horizontal="right"/>
    </xf>
    <xf numFmtId="167" fontId="19" fillId="59" borderId="20" xfId="43" applyNumberFormat="1" applyFont="1" applyFill="1" applyBorder="1" applyAlignment="1">
      <alignment horizontal="right"/>
    </xf>
    <xf numFmtId="167" fontId="19" fillId="59" borderId="15" xfId="43" applyNumberFormat="1" applyFont="1" applyFill="1" applyBorder="1" applyAlignment="1">
      <alignment horizontal="right"/>
    </xf>
    <xf numFmtId="165" fontId="19" fillId="36" borderId="20" xfId="43" applyNumberFormat="1" applyFont="1" applyFill="1" applyBorder="1" applyAlignment="1">
      <alignment horizontal="right"/>
    </xf>
    <xf numFmtId="0" fontId="0" fillId="36" borderId="20" xfId="0" applyFill="1" applyBorder="1"/>
    <xf numFmtId="165" fontId="19" fillId="36" borderId="15" xfId="43" applyNumberFormat="1" applyFont="1" applyFill="1" applyBorder="1" applyAlignment="1">
      <alignment horizontal="right"/>
    </xf>
    <xf numFmtId="165" fontId="19" fillId="36" borderId="15" xfId="43" applyNumberFormat="1" applyFont="1" applyFill="1" applyBorder="1"/>
    <xf numFmtId="0" fontId="23" fillId="61" borderId="11" xfId="42" applyFill="1" applyBorder="1"/>
    <xf numFmtId="0" fontId="23" fillId="61" borderId="12" xfId="42" applyFill="1" applyBorder="1"/>
    <xf numFmtId="0" fontId="0" fillId="61" borderId="13" xfId="0" applyFill="1" applyBorder="1"/>
    <xf numFmtId="0" fontId="0" fillId="59" borderId="16" xfId="0" applyFill="1" applyBorder="1"/>
    <xf numFmtId="0" fontId="0" fillId="59" borderId="22" xfId="0" applyFill="1" applyBorder="1"/>
    <xf numFmtId="0" fontId="0" fillId="59" borderId="21" xfId="0" applyFill="1" applyBorder="1"/>
    <xf numFmtId="0" fontId="0" fillId="59" borderId="23" xfId="0" applyFill="1" applyBorder="1"/>
    <xf numFmtId="0" fontId="19" fillId="0" borderId="0" xfId="0" applyFont="1" applyBorder="1" applyAlignment="1">
      <alignment horizontal="right"/>
    </xf>
    <xf numFmtId="0" fontId="19" fillId="59" borderId="17" xfId="0" applyFont="1" applyFill="1" applyBorder="1" applyAlignment="1">
      <alignment horizontal="right"/>
    </xf>
    <xf numFmtId="0" fontId="16" fillId="61" borderId="21" xfId="0" applyFont="1" applyFill="1" applyBorder="1" applyAlignment="1">
      <alignment horizontal="left"/>
    </xf>
    <xf numFmtId="0" fontId="0" fillId="61" borderId="23" xfId="0" applyFill="1" applyBorder="1"/>
    <xf numFmtId="0" fontId="0" fillId="61" borderId="0" xfId="0" applyFill="1" applyAlignment="1">
      <alignment horizontal="right" vertical="center"/>
    </xf>
    <xf numFmtId="165" fontId="38" fillId="57" borderId="15" xfId="43" applyNumberFormat="1" applyFont="1" applyFill="1" applyBorder="1"/>
    <xf numFmtId="165" fontId="38" fillId="57" borderId="20" xfId="43" applyNumberFormat="1" applyFont="1" applyFill="1" applyBorder="1" applyAlignment="1">
      <alignment horizontal="right"/>
    </xf>
    <xf numFmtId="0" fontId="23" fillId="57" borderId="20" xfId="42" applyFill="1" applyBorder="1"/>
    <xf numFmtId="0" fontId="18" fillId="40" borderId="40" xfId="0" applyFont="1" applyFill="1" applyBorder="1" applyAlignment="1">
      <alignment horizontal="left"/>
    </xf>
    <xf numFmtId="4" fontId="0" fillId="47" borderId="20" xfId="0" applyNumberFormat="1" applyFill="1" applyBorder="1"/>
    <xf numFmtId="0" fontId="0" fillId="34" borderId="19" xfId="0" applyFill="1" applyBorder="1" applyAlignment="1">
      <alignment horizontal="left"/>
    </xf>
    <xf numFmtId="0" fontId="0" fillId="34" borderId="19" xfId="0" applyFill="1" applyBorder="1" applyAlignment="1">
      <alignment horizontal="right"/>
    </xf>
    <xf numFmtId="0" fontId="0" fillId="34" borderId="19" xfId="0" applyFill="1" applyBorder="1" applyAlignment="1">
      <alignment horizontal="center"/>
    </xf>
    <xf numFmtId="4" fontId="0" fillId="0" borderId="19" xfId="0" applyNumberFormat="1" applyFill="1" applyBorder="1"/>
    <xf numFmtId="4" fontId="0" fillId="47" borderId="19" xfId="0" applyNumberFormat="1" applyFill="1" applyBorder="1"/>
    <xf numFmtId="4" fontId="29" fillId="34" borderId="19" xfId="0" applyNumberFormat="1" applyFont="1" applyFill="1" applyBorder="1"/>
    <xf numFmtId="164" fontId="0" fillId="33" borderId="19" xfId="0" applyNumberFormat="1" applyFill="1" applyBorder="1"/>
    <xf numFmtId="4" fontId="0" fillId="47" borderId="24" xfId="0" applyNumberFormat="1" applyFill="1" applyBorder="1"/>
    <xf numFmtId="0" fontId="18" fillId="59" borderId="24" xfId="0" applyFont="1" applyFill="1" applyBorder="1" applyAlignment="1">
      <alignment horizontal="left"/>
    </xf>
    <xf numFmtId="0" fontId="0" fillId="59" borderId="0" xfId="0" applyFill="1" applyBorder="1" applyAlignment="1">
      <alignment horizontal="left"/>
    </xf>
    <xf numFmtId="0" fontId="0" fillId="59" borderId="17" xfId="0" applyFill="1" applyBorder="1" applyAlignment="1">
      <alignment horizontal="left"/>
    </xf>
    <xf numFmtId="4" fontId="0" fillId="34" borderId="19" xfId="0" applyNumberFormat="1" applyFill="1" applyBorder="1"/>
    <xf numFmtId="0" fontId="18" fillId="35" borderId="24" xfId="0" applyFont="1" applyFill="1" applyBorder="1" applyAlignment="1">
      <alignment horizontal="left"/>
    </xf>
    <xf numFmtId="4" fontId="0" fillId="35" borderId="19" xfId="0" applyNumberFormat="1" applyFill="1" applyBorder="1"/>
    <xf numFmtId="0" fontId="18" fillId="33" borderId="24" xfId="0" applyFont="1" applyFill="1" applyBorder="1" applyAlignment="1">
      <alignment horizontal="left"/>
    </xf>
    <xf numFmtId="0" fontId="18" fillId="51" borderId="24" xfId="0" applyFont="1" applyFill="1" applyBorder="1" applyAlignment="1">
      <alignment horizontal="left"/>
    </xf>
    <xf numFmtId="4" fontId="0" fillId="51" borderId="19" xfId="0" applyNumberFormat="1" applyFill="1" applyBorder="1"/>
    <xf numFmtId="4" fontId="0" fillId="51" borderId="20" xfId="0" applyNumberFormat="1" applyFill="1" applyBorder="1"/>
    <xf numFmtId="4" fontId="0" fillId="51" borderId="24" xfId="0" applyNumberFormat="1" applyFill="1" applyBorder="1"/>
    <xf numFmtId="0" fontId="18" fillId="39" borderId="24" xfId="0" applyFont="1" applyFill="1" applyBorder="1" applyAlignment="1">
      <alignment horizontal="left"/>
    </xf>
    <xf numFmtId="4" fontId="0" fillId="39" borderId="19" xfId="0" applyNumberFormat="1" applyFill="1" applyBorder="1"/>
    <xf numFmtId="4" fontId="0" fillId="39" borderId="20" xfId="0" applyNumberFormat="1" applyFill="1" applyBorder="1"/>
    <xf numFmtId="4" fontId="0" fillId="39" borderId="24" xfId="0" applyNumberFormat="1" applyFill="1" applyBorder="1"/>
    <xf numFmtId="0" fontId="18" fillId="38" borderId="20" xfId="0" applyFont="1" applyFill="1" applyBorder="1" applyAlignment="1">
      <alignment horizontal="left"/>
    </xf>
    <xf numFmtId="3" fontId="16" fillId="38" borderId="20" xfId="0" applyNumberFormat="1" applyFont="1" applyFill="1" applyBorder="1" applyAlignment="1">
      <alignment horizontal="right"/>
    </xf>
    <xf numFmtId="0" fontId="16" fillId="38" borderId="20" xfId="0" applyFont="1" applyFill="1" applyBorder="1"/>
    <xf numFmtId="4" fontId="32" fillId="38" borderId="20" xfId="0" applyNumberFormat="1" applyFont="1" applyFill="1" applyBorder="1"/>
    <xf numFmtId="164" fontId="16" fillId="38" borderId="20" xfId="0" applyNumberFormat="1" applyFont="1" applyFill="1" applyBorder="1"/>
    <xf numFmtId="0" fontId="16" fillId="38" borderId="20" xfId="0" applyFont="1" applyFill="1" applyBorder="1" applyAlignment="1">
      <alignment horizontal="left"/>
    </xf>
    <xf numFmtId="0" fontId="16" fillId="38" borderId="24" xfId="0" applyFont="1" applyFill="1" applyBorder="1" applyAlignment="1">
      <alignment horizontal="left"/>
    </xf>
    <xf numFmtId="3" fontId="16" fillId="38" borderId="24" xfId="0" applyNumberFormat="1" applyFont="1" applyFill="1" applyBorder="1" applyAlignment="1">
      <alignment horizontal="right"/>
    </xf>
    <xf numFmtId="0" fontId="16" fillId="38" borderId="24" xfId="0" applyFont="1" applyFill="1" applyBorder="1"/>
    <xf numFmtId="4" fontId="32" fillId="38" borderId="24" xfId="0" applyNumberFormat="1" applyFont="1" applyFill="1" applyBorder="1"/>
    <xf numFmtId="164" fontId="16" fillId="38" borderId="24" xfId="0" applyNumberFormat="1" applyFont="1" applyFill="1" applyBorder="1"/>
    <xf numFmtId="0" fontId="0" fillId="59" borderId="15" xfId="0" applyFill="1" applyBorder="1" applyAlignment="1">
      <alignment horizontal="left"/>
    </xf>
    <xf numFmtId="0" fontId="19" fillId="0" borderId="15" xfId="0" applyFont="1" applyBorder="1" applyAlignment="1">
      <alignment horizontal="right"/>
    </xf>
    <xf numFmtId="167" fontId="19" fillId="57" borderId="0" xfId="43" applyNumberFormat="1" applyFont="1" applyFill="1" applyBorder="1" applyAlignment="1">
      <alignment horizontal="right"/>
    </xf>
    <xf numFmtId="0" fontId="0" fillId="57" borderId="18" xfId="0" quotePrefix="1" applyFill="1" applyBorder="1" applyAlignment="1">
      <alignment horizontal="left"/>
    </xf>
    <xf numFmtId="0" fontId="0" fillId="61" borderId="20" xfId="0" applyFill="1" applyBorder="1" applyAlignment="1">
      <alignment horizontal="right"/>
    </xf>
    <xf numFmtId="0" fontId="23" fillId="57" borderId="16" xfId="42" applyFill="1" applyBorder="1"/>
    <xf numFmtId="0" fontId="23" fillId="57" borderId="17" xfId="42" applyFill="1" applyBorder="1"/>
    <xf numFmtId="0" fontId="0" fillId="57" borderId="17" xfId="0" applyFill="1" applyBorder="1"/>
    <xf numFmtId="0" fontId="0" fillId="57" borderId="18" xfId="0" applyFill="1" applyBorder="1"/>
    <xf numFmtId="0" fontId="0" fillId="57" borderId="10" xfId="0" applyFill="1" applyBorder="1"/>
    <xf numFmtId="9" fontId="0" fillId="62" borderId="15" xfId="43" applyFont="1" applyFill="1" applyBorder="1"/>
    <xf numFmtId="0" fontId="16" fillId="59" borderId="14" xfId="0" applyFont="1" applyFill="1" applyBorder="1" applyAlignment="1">
      <alignment horizontal="left"/>
    </xf>
    <xf numFmtId="0" fontId="16" fillId="59" borderId="0" xfId="0" applyFont="1" applyFill="1" applyAlignment="1">
      <alignment horizontal="left"/>
    </xf>
    <xf numFmtId="0" fontId="16" fillId="59" borderId="16" xfId="0" applyFont="1" applyFill="1" applyBorder="1" applyAlignment="1">
      <alignment horizontal="left"/>
    </xf>
    <xf numFmtId="0" fontId="16" fillId="34" borderId="20" xfId="0" applyFont="1" applyFill="1" applyBorder="1" applyAlignment="1">
      <alignment horizontal="left"/>
    </xf>
    <xf numFmtId="0" fontId="16" fillId="43" borderId="20" xfId="0" applyFont="1" applyFill="1" applyBorder="1" applyAlignment="1">
      <alignment horizontal="left"/>
    </xf>
    <xf numFmtId="0" fontId="16" fillId="36" borderId="20" xfId="0" applyFont="1" applyFill="1" applyBorder="1" applyAlignment="1">
      <alignment horizontal="left"/>
    </xf>
    <xf numFmtId="0" fontId="16" fillId="56" borderId="20" xfId="0" applyFont="1" applyFill="1" applyBorder="1" applyAlignment="1">
      <alignment horizontal="left"/>
    </xf>
    <xf numFmtId="0" fontId="16" fillId="57" borderId="20" xfId="0" applyFont="1" applyFill="1" applyBorder="1" applyAlignment="1">
      <alignment horizontal="left"/>
    </xf>
    <xf numFmtId="0" fontId="16" fillId="39" borderId="20" xfId="0" applyFont="1" applyFill="1" applyBorder="1" applyAlignment="1">
      <alignment horizontal="left"/>
    </xf>
    <xf numFmtId="0" fontId="16" fillId="49" borderId="20" xfId="0" applyFont="1" applyFill="1" applyBorder="1" applyAlignment="1">
      <alignment horizontal="left"/>
    </xf>
    <xf numFmtId="0" fontId="16" fillId="46" borderId="20" xfId="0" applyFont="1" applyFill="1" applyBorder="1" applyAlignment="1">
      <alignment horizontal="left"/>
    </xf>
    <xf numFmtId="0" fontId="16" fillId="51" borderId="20" xfId="0" applyFont="1" applyFill="1" applyBorder="1" applyAlignment="1">
      <alignment horizontal="left"/>
    </xf>
    <xf numFmtId="0" fontId="16" fillId="0" borderId="0" xfId="0" applyFont="1" applyAlignment="1">
      <alignment horizontal="left"/>
    </xf>
    <xf numFmtId="0" fontId="0" fillId="40" borderId="20" xfId="0" applyFill="1" applyBorder="1"/>
    <xf numFmtId="166" fontId="37" fillId="60" borderId="20" xfId="0" applyNumberFormat="1" applyFont="1" applyFill="1" applyBorder="1"/>
    <xf numFmtId="0" fontId="16" fillId="57" borderId="23" xfId="0" quotePrefix="1" applyFont="1" applyFill="1" applyBorder="1" applyAlignment="1"/>
    <xf numFmtId="0" fontId="23" fillId="57" borderId="15" xfId="42" applyFill="1" applyBorder="1"/>
    <xf numFmtId="166" fontId="0" fillId="40" borderId="20" xfId="0" applyNumberFormat="1" applyFill="1" applyBorder="1"/>
    <xf numFmtId="4" fontId="42" fillId="0" borderId="20" xfId="0" applyNumberFormat="1" applyFont="1" applyBorder="1"/>
    <xf numFmtId="4" fontId="44" fillId="34" borderId="20" xfId="0" applyNumberFormat="1" applyFont="1" applyFill="1" applyBorder="1"/>
    <xf numFmtId="164" fontId="42" fillId="33" borderId="20" xfId="0" applyNumberFormat="1" applyFont="1" applyFill="1" applyBorder="1"/>
    <xf numFmtId="4" fontId="42" fillId="33" borderId="20" xfId="0" applyNumberFormat="1" applyFont="1" applyFill="1" applyBorder="1"/>
    <xf numFmtId="0" fontId="42" fillId="0" borderId="0" xfId="0" applyFont="1"/>
    <xf numFmtId="0" fontId="16" fillId="46" borderId="22" xfId="0" applyFont="1" applyFill="1" applyBorder="1" applyAlignment="1">
      <alignment horizontal="left"/>
    </xf>
    <xf numFmtId="0" fontId="16" fillId="46" borderId="21" xfId="0" applyFont="1" applyFill="1" applyBorder="1" applyAlignment="1">
      <alignment horizontal="left"/>
    </xf>
    <xf numFmtId="0" fontId="16" fillId="46" borderId="23" xfId="0" applyFont="1" applyFill="1" applyBorder="1"/>
    <xf numFmtId="0" fontId="23" fillId="0" borderId="0" xfId="42" applyAlignment="1">
      <alignment horizontal="right"/>
    </xf>
    <xf numFmtId="0" fontId="23" fillId="0" borderId="0" xfId="42" applyAlignment="1">
      <alignment horizontal="left"/>
    </xf>
    <xf numFmtId="0" fontId="23" fillId="0" borderId="0" xfId="42" applyAlignment="1">
      <alignment horizontal="left" vertical="center"/>
    </xf>
    <xf numFmtId="0" fontId="16" fillId="40" borderId="22" xfId="0" applyFont="1" applyFill="1" applyBorder="1" applyAlignment="1"/>
    <xf numFmtId="0" fontId="16" fillId="40" borderId="23" xfId="0" applyFont="1" applyFill="1" applyBorder="1" applyAlignment="1"/>
    <xf numFmtId="0" fontId="0" fillId="40" borderId="20" xfId="0" applyNumberFormat="1" applyFill="1" applyBorder="1"/>
    <xf numFmtId="0" fontId="0" fillId="40" borderId="20" xfId="43" applyNumberFormat="1" applyFont="1" applyFill="1" applyBorder="1"/>
    <xf numFmtId="0" fontId="19" fillId="0" borderId="10" xfId="0" applyFont="1" applyFill="1" applyBorder="1"/>
    <xf numFmtId="0" fontId="18" fillId="0" borderId="10" xfId="0" applyFont="1" applyFill="1" applyBorder="1"/>
    <xf numFmtId="0" fontId="42" fillId="0" borderId="15" xfId="0" applyFont="1" applyBorder="1"/>
    <xf numFmtId="0" fontId="0" fillId="0" borderId="42" xfId="0" applyBorder="1"/>
    <xf numFmtId="0" fontId="0" fillId="0" borderId="20" xfId="0" applyFill="1" applyBorder="1"/>
    <xf numFmtId="0" fontId="19" fillId="61" borderId="20" xfId="43" applyNumberFormat="1" applyFont="1" applyFill="1" applyBorder="1" applyAlignment="1">
      <alignment horizontal="right"/>
    </xf>
    <xf numFmtId="0" fontId="0" fillId="61" borderId="20" xfId="0" applyNumberFormat="1" applyFill="1" applyBorder="1"/>
    <xf numFmtId="166" fontId="19" fillId="61" borderId="20" xfId="0" applyNumberFormat="1" applyFont="1" applyFill="1" applyBorder="1"/>
    <xf numFmtId="165" fontId="0" fillId="0" borderId="0" xfId="43" applyNumberFormat="1" applyFont="1" applyFill="1" applyBorder="1"/>
    <xf numFmtId="4" fontId="39" fillId="0" borderId="24" xfId="0" applyNumberFormat="1" applyFont="1" applyFill="1" applyBorder="1"/>
    <xf numFmtId="4" fontId="0" fillId="0" borderId="40" xfId="0" applyNumberFormat="1" applyFill="1" applyBorder="1"/>
    <xf numFmtId="0" fontId="37" fillId="33" borderId="15" xfId="0" applyFont="1" applyFill="1" applyBorder="1" applyAlignment="1">
      <alignment horizontal="left"/>
    </xf>
    <xf numFmtId="167" fontId="37" fillId="33" borderId="20" xfId="0" applyNumberFormat="1" applyFont="1" applyFill="1" applyBorder="1"/>
    <xf numFmtId="10" fontId="0" fillId="0" borderId="0" xfId="43" applyNumberFormat="1" applyFont="1" applyFill="1" applyBorder="1"/>
    <xf numFmtId="0" fontId="0" fillId="55" borderId="17" xfId="0" applyFill="1" applyBorder="1" applyAlignment="1">
      <alignment horizontal="center"/>
    </xf>
    <xf numFmtId="0" fontId="0" fillId="55" borderId="39" xfId="0" applyFill="1" applyBorder="1" applyAlignment="1">
      <alignment horizontal="left"/>
    </xf>
    <xf numFmtId="0" fontId="0" fillId="0" borderId="21" xfId="0" applyBorder="1"/>
    <xf numFmtId="4" fontId="0" fillId="0" borderId="10" xfId="0" applyNumberFormat="1" applyBorder="1"/>
    <xf numFmtId="0" fontId="0" fillId="58" borderId="21" xfId="0" applyFill="1" applyBorder="1" applyAlignment="1">
      <alignment horizontal="center"/>
    </xf>
    <xf numFmtId="0" fontId="0" fillId="58" borderId="43" xfId="0" applyFill="1" applyBorder="1" applyAlignment="1">
      <alignment horizontal="left"/>
    </xf>
    <xf numFmtId="4" fontId="0" fillId="0" borderId="10" xfId="0" applyNumberFormat="1" applyFill="1" applyBorder="1"/>
    <xf numFmtId="4" fontId="39" fillId="0" borderId="10" xfId="0" applyNumberFormat="1" applyFont="1" applyFill="1" applyBorder="1"/>
    <xf numFmtId="4" fontId="0" fillId="0" borderId="44" xfId="0" applyNumberFormat="1" applyFill="1" applyBorder="1"/>
    <xf numFmtId="4" fontId="0" fillId="33" borderId="23" xfId="0" applyNumberFormat="1" applyFill="1" applyBorder="1"/>
    <xf numFmtId="4" fontId="0" fillId="33" borderId="10" xfId="0" applyNumberFormat="1" applyFill="1" applyBorder="1"/>
    <xf numFmtId="4" fontId="29" fillId="34" borderId="10" xfId="0" applyNumberFormat="1" applyFont="1" applyFill="1" applyBorder="1"/>
    <xf numFmtId="164" fontId="0" fillId="33" borderId="10" xfId="0" applyNumberFormat="1" applyFill="1" applyBorder="1"/>
    <xf numFmtId="0" fontId="0" fillId="50" borderId="17" xfId="0" applyFill="1" applyBorder="1" applyAlignment="1">
      <alignment horizontal="center"/>
    </xf>
    <xf numFmtId="0" fontId="0" fillId="50" borderId="39" xfId="0" applyFill="1" applyBorder="1" applyAlignment="1">
      <alignment horizontal="left"/>
    </xf>
    <xf numFmtId="9" fontId="0" fillId="0" borderId="0" xfId="43" applyFont="1"/>
    <xf numFmtId="165" fontId="0" fillId="0" borderId="0" xfId="0" applyNumberFormat="1"/>
    <xf numFmtId="0" fontId="0" fillId="0" borderId="0" xfId="0" applyFill="1"/>
    <xf numFmtId="0" fontId="0" fillId="0" borderId="17" xfId="0" applyFill="1" applyBorder="1"/>
    <xf numFmtId="4" fontId="0" fillId="0" borderId="18" xfId="0" applyNumberFormat="1" applyBorder="1"/>
    <xf numFmtId="0" fontId="16" fillId="59" borderId="0" xfId="0" applyFont="1" applyFill="1"/>
    <xf numFmtId="0" fontId="23" fillId="0" borderId="0" xfId="42" applyBorder="1"/>
    <xf numFmtId="0" fontId="45" fillId="0" borderId="0" xfId="0" applyFont="1" applyBorder="1"/>
    <xf numFmtId="0" fontId="16" fillId="33" borderId="19" xfId="0" applyFont="1" applyFill="1" applyBorder="1"/>
    <xf numFmtId="0" fontId="46" fillId="61" borderId="24" xfId="0" applyFont="1" applyFill="1" applyBorder="1"/>
    <xf numFmtId="9" fontId="0" fillId="61" borderId="20" xfId="43" applyNumberFormat="1" applyFont="1" applyFill="1" applyBorder="1"/>
    <xf numFmtId="9" fontId="14" fillId="61" borderId="20" xfId="43" applyNumberFormat="1" applyFont="1" applyFill="1" applyBorder="1"/>
    <xf numFmtId="9" fontId="19" fillId="61" borderId="20" xfId="43" applyNumberFormat="1" applyFont="1" applyFill="1" applyBorder="1"/>
    <xf numFmtId="9" fontId="19" fillId="61" borderId="24" xfId="43" applyNumberFormat="1" applyFont="1" applyFill="1" applyBorder="1"/>
    <xf numFmtId="9" fontId="14" fillId="61" borderId="24" xfId="43" applyNumberFormat="1" applyFont="1" applyFill="1" applyBorder="1"/>
    <xf numFmtId="9" fontId="19" fillId="61" borderId="10" xfId="43" applyNumberFormat="1" applyFont="1" applyFill="1" applyBorder="1"/>
    <xf numFmtId="0" fontId="16" fillId="33" borderId="45" xfId="0" applyFont="1" applyFill="1" applyBorder="1" applyAlignment="1">
      <alignment horizontal="right"/>
    </xf>
    <xf numFmtId="4" fontId="0" fillId="47" borderId="15" xfId="0" applyNumberFormat="1" applyFill="1" applyBorder="1"/>
    <xf numFmtId="4" fontId="0" fillId="47" borderId="18" xfId="0" applyNumberFormat="1" applyFill="1" applyBorder="1"/>
    <xf numFmtId="4" fontId="0" fillId="47" borderId="23" xfId="0" applyNumberFormat="1" applyFill="1" applyBorder="1"/>
    <xf numFmtId="4" fontId="0" fillId="47" borderId="10" xfId="0" applyNumberFormat="1" applyFill="1" applyBorder="1"/>
    <xf numFmtId="4" fontId="16" fillId="47" borderId="20" xfId="0" applyNumberFormat="1" applyFont="1" applyFill="1" applyBorder="1"/>
    <xf numFmtId="4" fontId="16" fillId="47" borderId="24" xfId="0" applyNumberFormat="1" applyFont="1" applyFill="1" applyBorder="1"/>
    <xf numFmtId="4" fontId="39" fillId="45" borderId="20" xfId="0" applyNumberFormat="1" applyFont="1" applyFill="1" applyBorder="1"/>
    <xf numFmtId="0" fontId="24" fillId="33" borderId="23" xfId="0" applyFont="1" applyFill="1" applyBorder="1" applyAlignment="1">
      <alignment horizontal="left"/>
    </xf>
    <xf numFmtId="4" fontId="0" fillId="33" borderId="13" xfId="0" applyNumberFormat="1" applyFill="1" applyBorder="1"/>
    <xf numFmtId="0" fontId="18" fillId="40" borderId="27" xfId="0" applyFont="1" applyFill="1" applyBorder="1" applyAlignment="1">
      <alignment horizontal="left"/>
    </xf>
    <xf numFmtId="0" fontId="18" fillId="47" borderId="46" xfId="0" applyFont="1" applyFill="1" applyBorder="1" applyAlignment="1">
      <alignment horizontal="left"/>
    </xf>
    <xf numFmtId="0" fontId="18" fillId="47" borderId="28" xfId="0" applyFont="1" applyFill="1" applyBorder="1" applyAlignment="1">
      <alignment horizontal="left"/>
    </xf>
    <xf numFmtId="4" fontId="0" fillId="47" borderId="30" xfId="0" applyNumberFormat="1" applyFill="1" applyBorder="1"/>
    <xf numFmtId="4" fontId="0" fillId="47" borderId="33" xfId="0" applyNumberFormat="1" applyFill="1" applyBorder="1"/>
    <xf numFmtId="165" fontId="38" fillId="61" borderId="10" xfId="43" applyNumberFormat="1" applyFont="1" applyFill="1" applyBorder="1"/>
    <xf numFmtId="0" fontId="37" fillId="61" borderId="22" xfId="0" applyFont="1" applyFill="1" applyBorder="1"/>
    <xf numFmtId="0" fontId="37" fillId="61" borderId="21" xfId="0" applyFont="1" applyFill="1" applyBorder="1"/>
    <xf numFmtId="0" fontId="37" fillId="61" borderId="21" xfId="0" applyFont="1" applyFill="1" applyBorder="1" applyAlignment="1">
      <alignment horizontal="right"/>
    </xf>
    <xf numFmtId="0" fontId="0" fillId="61" borderId="21" xfId="0" applyFill="1" applyBorder="1"/>
    <xf numFmtId="0" fontId="37" fillId="61" borderId="23" xfId="0" applyFont="1" applyFill="1" applyBorder="1" applyAlignment="1">
      <alignment horizontal="right"/>
    </xf>
    <xf numFmtId="3" fontId="0" fillId="0" borderId="48" xfId="0" applyNumberFormat="1" applyBorder="1" applyAlignment="1">
      <alignment horizontal="right"/>
    </xf>
    <xf numFmtId="3" fontId="0" fillId="0" borderId="49" xfId="0" applyNumberFormat="1" applyBorder="1" applyAlignment="1">
      <alignment horizontal="right"/>
    </xf>
    <xf numFmtId="3" fontId="0" fillId="0" borderId="15" xfId="0" applyNumberFormat="1" applyBorder="1" applyAlignment="1">
      <alignment horizontal="right"/>
    </xf>
    <xf numFmtId="3" fontId="0" fillId="0" borderId="47" xfId="0" applyNumberFormat="1" applyBorder="1" applyAlignment="1">
      <alignment horizontal="right"/>
    </xf>
    <xf numFmtId="3" fontId="0" fillId="0" borderId="51" xfId="0" applyNumberFormat="1" applyBorder="1" applyAlignment="1">
      <alignment horizontal="right"/>
    </xf>
    <xf numFmtId="0" fontId="16" fillId="33" borderId="52" xfId="0" applyFont="1" applyFill="1" applyBorder="1" applyAlignment="1">
      <alignment horizontal="right"/>
    </xf>
    <xf numFmtId="3" fontId="0" fillId="0" borderId="29" xfId="0" applyNumberFormat="1" applyBorder="1" applyAlignment="1">
      <alignment horizontal="right"/>
    </xf>
    <xf numFmtId="3" fontId="0" fillId="0" borderId="31" xfId="0" applyNumberFormat="1" applyBorder="1" applyAlignment="1">
      <alignment horizontal="right"/>
    </xf>
    <xf numFmtId="3" fontId="16" fillId="0" borderId="47" xfId="0" applyNumberFormat="1" applyFont="1" applyBorder="1" applyAlignment="1">
      <alignment horizontal="right"/>
    </xf>
    <xf numFmtId="0" fontId="0" fillId="0" borderId="0" xfId="0" applyFill="1" applyBorder="1" applyAlignment="1">
      <alignment vertical="center"/>
    </xf>
    <xf numFmtId="0" fontId="23" fillId="0" borderId="0" xfId="42" applyFill="1" applyBorder="1"/>
    <xf numFmtId="3" fontId="0" fillId="0" borderId="0" xfId="0" applyNumberFormat="1" applyFill="1" applyBorder="1" applyAlignment="1">
      <alignment horizontal="right"/>
    </xf>
    <xf numFmtId="3" fontId="0" fillId="0" borderId="0" xfId="0" applyNumberFormat="1" applyFont="1" applyFill="1" applyBorder="1" applyAlignment="1">
      <alignment horizontal="right"/>
    </xf>
    <xf numFmtId="0" fontId="0" fillId="0" borderId="0" xfId="0" applyFont="1" applyFill="1" applyBorder="1"/>
    <xf numFmtId="3" fontId="0" fillId="0" borderId="0" xfId="0" applyNumberFormat="1"/>
    <xf numFmtId="0" fontId="16" fillId="0" borderId="20" xfId="0" applyFont="1" applyFill="1" applyBorder="1"/>
    <xf numFmtId="0" fontId="16" fillId="0" borderId="10" xfId="0" applyFont="1" applyFill="1" applyBorder="1"/>
    <xf numFmtId="0" fontId="16" fillId="0" borderId="21" xfId="0" applyFont="1" applyFill="1" applyBorder="1" applyAlignment="1">
      <alignment horizontal="right"/>
    </xf>
    <xf numFmtId="0" fontId="16" fillId="0" borderId="10" xfId="0" applyFont="1" applyFill="1" applyBorder="1" applyAlignment="1">
      <alignment horizontal="right"/>
    </xf>
    <xf numFmtId="3" fontId="16" fillId="0" borderId="22" xfId="0" applyNumberFormat="1" applyFont="1" applyBorder="1" applyAlignment="1">
      <alignment horizontal="right"/>
    </xf>
    <xf numFmtId="3" fontId="16" fillId="0" borderId="21" xfId="0" applyNumberFormat="1" applyFont="1" applyFill="1" applyBorder="1" applyAlignment="1">
      <alignment horizontal="right"/>
    </xf>
    <xf numFmtId="3" fontId="16" fillId="0" borderId="20" xfId="0" applyNumberFormat="1" applyFont="1" applyFill="1" applyBorder="1" applyAlignment="1">
      <alignment horizontal="right"/>
    </xf>
    <xf numFmtId="0" fontId="16" fillId="0" borderId="22" xfId="0" applyFont="1" applyFill="1" applyBorder="1"/>
    <xf numFmtId="3" fontId="16" fillId="0" borderId="23" xfId="0" applyNumberFormat="1" applyFont="1" applyFill="1" applyBorder="1" applyAlignment="1">
      <alignment horizontal="right"/>
    </xf>
    <xf numFmtId="3" fontId="16" fillId="0" borderId="21" xfId="0" applyNumberFormat="1" applyFont="1" applyBorder="1" applyAlignment="1">
      <alignment horizontal="right"/>
    </xf>
    <xf numFmtId="0" fontId="16" fillId="59" borderId="0" xfId="0" applyFont="1" applyFill="1" applyAlignment="1">
      <alignment vertical="center"/>
    </xf>
    <xf numFmtId="0" fontId="0" fillId="59" borderId="0" xfId="0" applyFill="1" applyAlignment="1">
      <alignment horizontal="right" vertical="center"/>
    </xf>
    <xf numFmtId="0" fontId="23" fillId="59" borderId="0" xfId="42" applyFill="1" applyAlignment="1">
      <alignment horizontal="left" vertical="center"/>
    </xf>
    <xf numFmtId="0" fontId="16" fillId="59" borderId="0" xfId="0" applyFont="1" applyFill="1" applyAlignment="1">
      <alignment horizontal="right" vertical="center"/>
    </xf>
    <xf numFmtId="0" fontId="26" fillId="59" borderId="0" xfId="0" applyFont="1" applyFill="1" applyAlignment="1">
      <alignment vertical="center"/>
    </xf>
    <xf numFmtId="0" fontId="0" fillId="59" borderId="0" xfId="0" applyFill="1" applyAlignment="1">
      <alignment vertical="center"/>
    </xf>
    <xf numFmtId="0" fontId="0" fillId="59" borderId="0" xfId="0" applyFill="1" applyBorder="1" applyAlignment="1">
      <alignment vertical="center"/>
    </xf>
    <xf numFmtId="0" fontId="0" fillId="0" borderId="11" xfId="0" applyBorder="1"/>
    <xf numFmtId="9" fontId="0" fillId="61" borderId="19" xfId="43" applyNumberFormat="1" applyFont="1" applyFill="1" applyBorder="1"/>
    <xf numFmtId="0" fontId="0" fillId="0" borderId="14" xfId="0" applyBorder="1"/>
    <xf numFmtId="0" fontId="0" fillId="0" borderId="14" xfId="0" applyFill="1" applyBorder="1"/>
    <xf numFmtId="0" fontId="0" fillId="0" borderId="16" xfId="0" applyBorder="1"/>
    <xf numFmtId="0" fontId="0" fillId="65" borderId="20" xfId="0" applyFill="1" applyBorder="1" applyAlignment="1">
      <alignment horizontal="left"/>
    </xf>
    <xf numFmtId="0" fontId="0" fillId="65" borderId="20" xfId="0" applyFill="1" applyBorder="1" applyAlignment="1">
      <alignment horizontal="right"/>
    </xf>
    <xf numFmtId="0" fontId="0" fillId="65" borderId="20" xfId="0" applyFill="1" applyBorder="1" applyAlignment="1">
      <alignment horizontal="center"/>
    </xf>
    <xf numFmtId="0" fontId="42" fillId="0" borderId="20" xfId="0" applyNumberFormat="1" applyFont="1" applyBorder="1"/>
    <xf numFmtId="166" fontId="42" fillId="0" borderId="20" xfId="0" applyNumberFormat="1" applyFont="1" applyFill="1" applyBorder="1"/>
    <xf numFmtId="0" fontId="42" fillId="0" borderId="20" xfId="0" applyFont="1" applyFill="1" applyBorder="1"/>
    <xf numFmtId="0" fontId="23" fillId="57" borderId="0" xfId="42" applyFill="1" applyBorder="1"/>
    <xf numFmtId="0" fontId="0" fillId="59" borderId="20" xfId="0" applyFill="1" applyBorder="1"/>
    <xf numFmtId="0" fontId="0" fillId="36" borderId="0" xfId="0" applyFill="1" applyBorder="1"/>
    <xf numFmtId="9" fontId="0" fillId="59" borderId="0" xfId="43" applyFont="1" applyFill="1" applyBorder="1"/>
    <xf numFmtId="0" fontId="43" fillId="57" borderId="20" xfId="0" applyFont="1" applyFill="1" applyBorder="1" applyAlignment="1">
      <alignment horizontal="left"/>
    </xf>
    <xf numFmtId="0" fontId="42" fillId="57" borderId="20" xfId="0" applyFont="1" applyFill="1" applyBorder="1" applyAlignment="1">
      <alignment horizontal="right"/>
    </xf>
    <xf numFmtId="0" fontId="42" fillId="57" borderId="20" xfId="0" applyFont="1" applyFill="1" applyBorder="1" applyAlignment="1">
      <alignment horizontal="left"/>
    </xf>
    <xf numFmtId="0" fontId="42" fillId="57" borderId="20" xfId="0" applyFont="1" applyFill="1" applyBorder="1" applyAlignment="1">
      <alignment horizontal="center"/>
    </xf>
    <xf numFmtId="0" fontId="16" fillId="65" borderId="20" xfId="0" applyFont="1" applyFill="1" applyBorder="1" applyAlignment="1">
      <alignment horizontal="left"/>
    </xf>
    <xf numFmtId="9" fontId="0" fillId="59" borderId="48" xfId="43" applyFont="1" applyFill="1" applyBorder="1"/>
    <xf numFmtId="9" fontId="0" fillId="59" borderId="35" xfId="43" applyFont="1" applyFill="1" applyBorder="1"/>
    <xf numFmtId="165" fontId="19" fillId="57" borderId="54" xfId="43" applyNumberFormat="1" applyFont="1" applyFill="1" applyBorder="1" applyAlignment="1">
      <alignment horizontal="right"/>
    </xf>
    <xf numFmtId="165" fontId="19" fillId="57" borderId="49" xfId="43" applyNumberFormat="1" applyFont="1" applyFill="1" applyBorder="1"/>
    <xf numFmtId="165" fontId="19" fillId="59" borderId="49" xfId="43" applyNumberFormat="1" applyFont="1" applyFill="1" applyBorder="1" applyAlignment="1">
      <alignment horizontal="right"/>
    </xf>
    <xf numFmtId="165" fontId="19" fillId="59" borderId="49" xfId="43" applyNumberFormat="1" applyFont="1" applyFill="1" applyBorder="1"/>
    <xf numFmtId="9" fontId="0" fillId="59" borderId="49" xfId="43" applyFont="1" applyFill="1" applyBorder="1"/>
    <xf numFmtId="0" fontId="16" fillId="57" borderId="54" xfId="0" applyFont="1" applyFill="1" applyBorder="1" applyAlignment="1">
      <alignment horizontal="left"/>
    </xf>
    <xf numFmtId="0" fontId="0" fillId="57" borderId="54" xfId="0" applyFill="1" applyBorder="1" applyAlignment="1">
      <alignment horizontal="right"/>
    </xf>
    <xf numFmtId="0" fontId="0" fillId="57" borderId="54" xfId="0" applyFill="1" applyBorder="1" applyAlignment="1">
      <alignment horizontal="left"/>
    </xf>
    <xf numFmtId="0" fontId="0" fillId="57" borderId="54" xfId="0" applyFill="1" applyBorder="1" applyAlignment="1">
      <alignment horizontal="center"/>
    </xf>
    <xf numFmtId="4" fontId="0" fillId="0" borderId="54" xfId="0" applyNumberFormat="1" applyFill="1" applyBorder="1"/>
    <xf numFmtId="4" fontId="0" fillId="0" borderId="54" xfId="0" applyNumberFormat="1" applyBorder="1"/>
    <xf numFmtId="4" fontId="29" fillId="34" borderId="54" xfId="0" applyNumberFormat="1" applyFont="1" applyFill="1" applyBorder="1"/>
    <xf numFmtId="164" fontId="0" fillId="33" borderId="54" xfId="0" applyNumberFormat="1" applyFill="1" applyBorder="1"/>
    <xf numFmtId="4" fontId="0" fillId="33" borderId="54" xfId="0" applyNumberFormat="1" applyFill="1" applyBorder="1"/>
    <xf numFmtId="165" fontId="19" fillId="57" borderId="15" xfId="43" applyNumberFormat="1" applyFont="1" applyFill="1" applyBorder="1" applyAlignment="1">
      <alignment horizontal="right"/>
    </xf>
    <xf numFmtId="165" fontId="42" fillId="0" borderId="20" xfId="43" applyNumberFormat="1" applyFont="1" applyFill="1" applyBorder="1" applyAlignment="1">
      <alignment horizontal="right"/>
    </xf>
    <xf numFmtId="165" fontId="42" fillId="0" borderId="15" xfId="43" applyNumberFormat="1" applyFont="1" applyFill="1" applyBorder="1" applyAlignment="1">
      <alignment horizontal="right"/>
    </xf>
    <xf numFmtId="165" fontId="42" fillId="0" borderId="15" xfId="43" applyNumberFormat="1" applyFont="1" applyFill="1" applyBorder="1"/>
    <xf numFmtId="9" fontId="42" fillId="0" borderId="15" xfId="43" applyNumberFormat="1" applyFont="1" applyFill="1" applyBorder="1"/>
    <xf numFmtId="0" fontId="0" fillId="40" borderId="32" xfId="0" applyNumberFormat="1" applyFill="1" applyBorder="1"/>
    <xf numFmtId="166" fontId="37" fillId="60" borderId="32" xfId="0" applyNumberFormat="1" applyFont="1" applyFill="1" applyBorder="1"/>
    <xf numFmtId="166" fontId="0" fillId="40" borderId="32" xfId="0" applyNumberFormat="1" applyFill="1" applyBorder="1"/>
    <xf numFmtId="165" fontId="19" fillId="59" borderId="47" xfId="43" applyNumberFormat="1" applyFont="1" applyFill="1" applyBorder="1" applyAlignment="1">
      <alignment horizontal="right"/>
    </xf>
    <xf numFmtId="165" fontId="19" fillId="59" borderId="47" xfId="43" applyNumberFormat="1" applyFont="1" applyFill="1" applyBorder="1"/>
    <xf numFmtId="9" fontId="0" fillId="59" borderId="47" xfId="43" applyFont="1" applyFill="1" applyBorder="1"/>
    <xf numFmtId="4" fontId="0" fillId="0" borderId="32" xfId="0" applyNumberFormat="1" applyBorder="1"/>
    <xf numFmtId="4" fontId="29" fillId="34" borderId="32" xfId="0" applyNumberFormat="1" applyFont="1" applyFill="1" applyBorder="1"/>
    <xf numFmtId="164" fontId="0" fillId="33" borderId="32" xfId="0" applyNumberFormat="1" applyFill="1" applyBorder="1"/>
    <xf numFmtId="4" fontId="0" fillId="33" borderId="32" xfId="0" applyNumberFormat="1" applyFill="1" applyBorder="1"/>
    <xf numFmtId="0" fontId="23" fillId="57" borderId="47" xfId="42" applyFill="1" applyBorder="1"/>
    <xf numFmtId="165" fontId="19" fillId="57" borderId="32" xfId="43" applyNumberFormat="1" applyFont="1" applyFill="1" applyBorder="1" applyAlignment="1">
      <alignment horizontal="right"/>
    </xf>
    <xf numFmtId="167" fontId="19" fillId="57" borderId="32" xfId="43" applyNumberFormat="1" applyFont="1" applyFill="1" applyBorder="1" applyAlignment="1">
      <alignment horizontal="right"/>
    </xf>
    <xf numFmtId="167" fontId="19" fillId="57" borderId="47" xfId="43" applyNumberFormat="1" applyFont="1" applyFill="1" applyBorder="1" applyAlignment="1">
      <alignment horizontal="right"/>
    </xf>
    <xf numFmtId="165" fontId="19" fillId="57" borderId="47" xfId="43" applyNumberFormat="1" applyFont="1" applyFill="1" applyBorder="1"/>
    <xf numFmtId="165" fontId="19" fillId="34" borderId="47" xfId="43" applyNumberFormat="1" applyFont="1" applyFill="1" applyBorder="1"/>
    <xf numFmtId="0" fontId="0" fillId="40" borderId="53" xfId="0" applyFill="1" applyBorder="1"/>
    <xf numFmtId="166" fontId="0" fillId="40" borderId="53" xfId="0" applyNumberFormat="1" applyFill="1" applyBorder="1"/>
    <xf numFmtId="0" fontId="0" fillId="59" borderId="50" xfId="0" applyFill="1" applyBorder="1"/>
    <xf numFmtId="0" fontId="16" fillId="58" borderId="53" xfId="0" applyFont="1" applyFill="1" applyBorder="1" applyAlignment="1">
      <alignment horizontal="left"/>
    </xf>
    <xf numFmtId="0" fontId="0" fillId="58" borderId="53" xfId="0" applyFill="1" applyBorder="1" applyAlignment="1">
      <alignment horizontal="right"/>
    </xf>
    <xf numFmtId="0" fontId="0" fillId="58" borderId="53" xfId="0" applyFill="1" applyBorder="1" applyAlignment="1">
      <alignment horizontal="left"/>
    </xf>
    <xf numFmtId="0" fontId="0" fillId="58" borderId="53" xfId="0" applyFill="1" applyBorder="1" applyAlignment="1">
      <alignment horizontal="center"/>
    </xf>
    <xf numFmtId="4" fontId="0" fillId="0" borderId="53" xfId="0" applyNumberFormat="1" applyBorder="1"/>
    <xf numFmtId="4" fontId="29" fillId="34" borderId="53" xfId="0" applyNumberFormat="1" applyFont="1" applyFill="1" applyBorder="1"/>
    <xf numFmtId="164" fontId="0" fillId="33" borderId="53" xfId="0" applyNumberFormat="1" applyFill="1" applyBorder="1"/>
    <xf numFmtId="4" fontId="0" fillId="33" borderId="53" xfId="0" applyNumberFormat="1" applyFill="1" applyBorder="1"/>
    <xf numFmtId="0" fontId="16" fillId="49" borderId="54" xfId="0" applyFont="1" applyFill="1" applyBorder="1" applyAlignment="1">
      <alignment horizontal="left"/>
    </xf>
    <xf numFmtId="0" fontId="0" fillId="49" borderId="54" xfId="0" applyFill="1" applyBorder="1" applyAlignment="1">
      <alignment horizontal="right"/>
    </xf>
    <xf numFmtId="0" fontId="0" fillId="49" borderId="54" xfId="0" applyFill="1" applyBorder="1" applyAlignment="1">
      <alignment horizontal="left"/>
    </xf>
    <xf numFmtId="0" fontId="0" fillId="49" borderId="54" xfId="0" applyFill="1" applyBorder="1" applyAlignment="1">
      <alignment horizontal="center"/>
    </xf>
    <xf numFmtId="0" fontId="0" fillId="61" borderId="20" xfId="0" applyFill="1" applyBorder="1"/>
    <xf numFmtId="9" fontId="0" fillId="59" borderId="20" xfId="43" applyFont="1" applyFill="1" applyBorder="1"/>
    <xf numFmtId="0" fontId="0" fillId="0" borderId="32" xfId="0" applyBorder="1"/>
    <xf numFmtId="9" fontId="0" fillId="59" borderId="32" xfId="43" applyFont="1" applyFill="1" applyBorder="1"/>
    <xf numFmtId="0" fontId="16" fillId="49" borderId="32" xfId="0" applyFont="1" applyFill="1" applyBorder="1" applyAlignment="1">
      <alignment horizontal="left"/>
    </xf>
    <xf numFmtId="0" fontId="0" fillId="49" borderId="32" xfId="0" applyFill="1" applyBorder="1" applyAlignment="1">
      <alignment horizontal="right"/>
    </xf>
    <xf numFmtId="0" fontId="0" fillId="49" borderId="32" xfId="0" applyFill="1" applyBorder="1" applyAlignment="1">
      <alignment horizontal="left"/>
    </xf>
    <xf numFmtId="0" fontId="0" fillId="49" borderId="32" xfId="0" applyFill="1" applyBorder="1" applyAlignment="1">
      <alignment horizontal="center"/>
    </xf>
    <xf numFmtId="0" fontId="0" fillId="0" borderId="54" xfId="0" applyBorder="1"/>
    <xf numFmtId="0" fontId="0" fillId="0" borderId="48" xfId="0" applyBorder="1"/>
    <xf numFmtId="0" fontId="0" fillId="59" borderId="48" xfId="0" applyFill="1" applyBorder="1"/>
    <xf numFmtId="0" fontId="0" fillId="59" borderId="49" xfId="0" applyFill="1" applyBorder="1"/>
    <xf numFmtId="0" fontId="0" fillId="0" borderId="35" xfId="0" applyBorder="1"/>
    <xf numFmtId="0" fontId="0" fillId="59" borderId="35" xfId="0" applyFill="1" applyBorder="1"/>
    <xf numFmtId="0" fontId="0" fillId="59" borderId="47" xfId="0" applyFill="1" applyBorder="1"/>
    <xf numFmtId="0" fontId="0" fillId="0" borderId="37" xfId="0" applyBorder="1"/>
    <xf numFmtId="0" fontId="0" fillId="59" borderId="37" xfId="0" applyFill="1" applyBorder="1"/>
    <xf numFmtId="0" fontId="16" fillId="46" borderId="32" xfId="0" applyFont="1" applyFill="1" applyBorder="1" applyAlignment="1">
      <alignment horizontal="left"/>
    </xf>
    <xf numFmtId="0" fontId="0" fillId="46" borderId="32" xfId="0" applyFill="1" applyBorder="1" applyAlignment="1">
      <alignment horizontal="right"/>
    </xf>
    <xf numFmtId="0" fontId="0" fillId="46" borderId="32" xfId="0" applyFill="1" applyBorder="1" applyAlignment="1">
      <alignment horizontal="left"/>
    </xf>
    <xf numFmtId="0" fontId="0" fillId="46" borderId="32" xfId="0" applyFill="1" applyBorder="1" applyAlignment="1">
      <alignment horizontal="center"/>
    </xf>
    <xf numFmtId="0" fontId="16" fillId="51" borderId="54" xfId="0" applyFont="1" applyFill="1" applyBorder="1" applyAlignment="1">
      <alignment horizontal="left"/>
    </xf>
    <xf numFmtId="0" fontId="0" fillId="51" borderId="54" xfId="0" applyFill="1" applyBorder="1" applyAlignment="1">
      <alignment horizontal="right"/>
    </xf>
    <xf numFmtId="0" fontId="0" fillId="51" borderId="54" xfId="0" applyFill="1" applyBorder="1" applyAlignment="1">
      <alignment horizontal="left"/>
    </xf>
    <xf numFmtId="0" fontId="0" fillId="51" borderId="54" xfId="0" applyFill="1" applyBorder="1" applyAlignment="1">
      <alignment horizontal="center"/>
    </xf>
    <xf numFmtId="165" fontId="19" fillId="59" borderId="32" xfId="43" applyNumberFormat="1" applyFont="1" applyFill="1" applyBorder="1" applyAlignment="1">
      <alignment horizontal="right"/>
    </xf>
    <xf numFmtId="0" fontId="0" fillId="0" borderId="47" xfId="0" applyBorder="1"/>
    <xf numFmtId="0" fontId="16" fillId="42" borderId="32" xfId="0" applyFont="1" applyFill="1" applyBorder="1" applyAlignment="1">
      <alignment horizontal="left"/>
    </xf>
    <xf numFmtId="0" fontId="0" fillId="42" borderId="32" xfId="0" applyFill="1" applyBorder="1" applyAlignment="1">
      <alignment horizontal="right"/>
    </xf>
    <xf numFmtId="0" fontId="0" fillId="42" borderId="32" xfId="0" applyFill="1" applyBorder="1" applyAlignment="1">
      <alignment horizontal="left"/>
    </xf>
    <xf numFmtId="0" fontId="0" fillId="42" borderId="32" xfId="0" applyFill="1" applyBorder="1" applyAlignment="1">
      <alignment horizontal="center"/>
    </xf>
    <xf numFmtId="0" fontId="0" fillId="39" borderId="0" xfId="0" applyFill="1" applyBorder="1" applyAlignment="1">
      <alignment horizontal="center"/>
    </xf>
    <xf numFmtId="0" fontId="0" fillId="58" borderId="0" xfId="0" applyFill="1" applyBorder="1" applyAlignment="1">
      <alignment horizontal="center"/>
    </xf>
    <xf numFmtId="0" fontId="0" fillId="49" borderId="0" xfId="0" applyFill="1" applyBorder="1" applyAlignment="1">
      <alignment horizontal="center"/>
    </xf>
    <xf numFmtId="0" fontId="0" fillId="55" borderId="0" xfId="0" applyFill="1" applyBorder="1" applyAlignment="1">
      <alignment horizontal="center"/>
    </xf>
    <xf numFmtId="0" fontId="0" fillId="65" borderId="0" xfId="0" applyFill="1" applyBorder="1" applyAlignment="1">
      <alignment horizontal="center"/>
    </xf>
    <xf numFmtId="0" fontId="0" fillId="65" borderId="29" xfId="0" applyFill="1" applyBorder="1" applyAlignment="1">
      <alignment horizontal="left"/>
    </xf>
    <xf numFmtId="0" fontId="0" fillId="51" borderId="31" xfId="0" applyFill="1" applyBorder="1" applyAlignment="1">
      <alignment horizontal="left"/>
    </xf>
    <xf numFmtId="0" fontId="47" fillId="0" borderId="0" xfId="0" applyFont="1"/>
    <xf numFmtId="0" fontId="24" fillId="33" borderId="13" xfId="0" applyFont="1" applyFill="1" applyBorder="1" applyAlignment="1">
      <alignment horizontal="left"/>
    </xf>
    <xf numFmtId="0" fontId="24" fillId="33" borderId="19" xfId="0" applyFont="1" applyFill="1" applyBorder="1" applyAlignment="1">
      <alignment horizontal="left"/>
    </xf>
    <xf numFmtId="3" fontId="0" fillId="0" borderId="56" xfId="0" applyNumberFormat="1" applyBorder="1" applyAlignment="1">
      <alignment horizontal="right"/>
    </xf>
    <xf numFmtId="3" fontId="16" fillId="0" borderId="51" xfId="0" applyNumberFormat="1" applyFont="1" applyBorder="1" applyAlignment="1">
      <alignment horizontal="right"/>
    </xf>
    <xf numFmtId="4" fontId="0" fillId="61" borderId="20" xfId="0" applyNumberFormat="1" applyFill="1" applyBorder="1"/>
    <xf numFmtId="4" fontId="39" fillId="61" borderId="20" xfId="0" applyNumberFormat="1" applyFont="1" applyFill="1" applyBorder="1"/>
    <xf numFmtId="4" fontId="0" fillId="61" borderId="15" xfId="0" applyNumberFormat="1" applyFill="1" applyBorder="1"/>
    <xf numFmtId="4" fontId="0" fillId="61" borderId="30" xfId="0" applyNumberFormat="1" applyFill="1" applyBorder="1"/>
    <xf numFmtId="4" fontId="0" fillId="61" borderId="32" xfId="0" applyNumberFormat="1" applyFill="1" applyBorder="1"/>
    <xf numFmtId="4" fontId="39" fillId="61" borderId="32" xfId="0" applyNumberFormat="1" applyFont="1" applyFill="1" applyBorder="1"/>
    <xf numFmtId="4" fontId="0" fillId="61" borderId="47" xfId="0" applyNumberFormat="1" applyFill="1" applyBorder="1"/>
    <xf numFmtId="4" fontId="0" fillId="61" borderId="33" xfId="0" applyNumberFormat="1" applyFill="1" applyBorder="1"/>
    <xf numFmtId="0" fontId="16" fillId="57" borderId="10" xfId="0" applyFont="1" applyFill="1" applyBorder="1" applyAlignment="1">
      <alignment horizontal="center"/>
    </xf>
    <xf numFmtId="0" fontId="16" fillId="35" borderId="10" xfId="0" applyFont="1" applyFill="1" applyBorder="1" applyAlignment="1">
      <alignment horizontal="center"/>
    </xf>
    <xf numFmtId="0" fontId="0" fillId="59" borderId="22" xfId="0" applyFill="1" applyBorder="1" applyAlignment="1">
      <alignment horizontal="center"/>
    </xf>
    <xf numFmtId="0" fontId="0" fillId="59" borderId="21" xfId="0" applyFill="1" applyBorder="1" applyAlignment="1">
      <alignment horizontal="center"/>
    </xf>
    <xf numFmtId="0" fontId="0" fillId="59" borderId="23" xfId="0" applyFill="1" applyBorder="1" applyAlignment="1">
      <alignment horizontal="center"/>
    </xf>
    <xf numFmtId="0" fontId="28" fillId="41" borderId="22" xfId="0" applyFont="1" applyFill="1" applyBorder="1" applyAlignment="1">
      <alignment horizontal="center"/>
    </xf>
    <xf numFmtId="0" fontId="28" fillId="41" borderId="21" xfId="0" applyFont="1" applyFill="1" applyBorder="1" applyAlignment="1">
      <alignment horizontal="center"/>
    </xf>
    <xf numFmtId="0" fontId="28" fillId="41" borderId="23" xfId="0" applyFont="1" applyFill="1" applyBorder="1" applyAlignment="1">
      <alignment horizontal="center"/>
    </xf>
    <xf numFmtId="0" fontId="27" fillId="54" borderId="19" xfId="0" applyFont="1" applyFill="1" applyBorder="1" applyAlignment="1">
      <alignment horizontal="center"/>
    </xf>
    <xf numFmtId="0" fontId="27" fillId="54" borderId="20" xfId="0" applyFont="1" applyFill="1" applyBorder="1" applyAlignment="1">
      <alignment horizontal="center"/>
    </xf>
    <xf numFmtId="0" fontId="27" fillId="54" borderId="24" xfId="0" applyFont="1" applyFill="1" applyBorder="1" applyAlignment="1">
      <alignment horizontal="center"/>
    </xf>
    <xf numFmtId="0" fontId="27" fillId="40" borderId="11" xfId="0" applyFont="1" applyFill="1" applyBorder="1" applyAlignment="1">
      <alignment horizontal="center"/>
    </xf>
    <xf numFmtId="0" fontId="27" fillId="40" borderId="12" xfId="0" applyFont="1" applyFill="1" applyBorder="1" applyAlignment="1">
      <alignment horizontal="center"/>
    </xf>
    <xf numFmtId="0" fontId="27" fillId="40" borderId="13" xfId="0" applyFont="1" applyFill="1" applyBorder="1" applyAlignment="1">
      <alignment horizontal="center"/>
    </xf>
    <xf numFmtId="0" fontId="27" fillId="40" borderId="14" xfId="0" applyFont="1" applyFill="1" applyBorder="1" applyAlignment="1">
      <alignment horizontal="center"/>
    </xf>
    <xf numFmtId="0" fontId="27" fillId="40" borderId="0" xfId="0" applyFont="1" applyFill="1" applyBorder="1" applyAlignment="1">
      <alignment horizontal="center"/>
    </xf>
    <xf numFmtId="0" fontId="27" fillId="40" borderId="15" xfId="0" applyFont="1" applyFill="1" applyBorder="1" applyAlignment="1">
      <alignment horizontal="center"/>
    </xf>
    <xf numFmtId="0" fontId="27" fillId="40" borderId="16" xfId="0" applyFont="1" applyFill="1" applyBorder="1" applyAlignment="1">
      <alignment horizontal="center"/>
    </xf>
    <xf numFmtId="0" fontId="27" fillId="40" borderId="17" xfId="0" applyFont="1" applyFill="1" applyBorder="1" applyAlignment="1">
      <alignment horizontal="center"/>
    </xf>
    <xf numFmtId="0" fontId="27" fillId="40" borderId="18" xfId="0" applyFont="1" applyFill="1" applyBorder="1" applyAlignment="1">
      <alignment horizontal="center"/>
    </xf>
    <xf numFmtId="0" fontId="27" fillId="60" borderId="22" xfId="0" applyFont="1" applyFill="1" applyBorder="1" applyAlignment="1">
      <alignment horizontal="center"/>
    </xf>
    <xf numFmtId="0" fontId="27" fillId="60" borderId="21" xfId="0" applyFont="1" applyFill="1" applyBorder="1" applyAlignment="1">
      <alignment horizontal="center"/>
    </xf>
    <xf numFmtId="0" fontId="27" fillId="60" borderId="23" xfId="0" applyFont="1" applyFill="1" applyBorder="1" applyAlignment="1">
      <alignment horizontal="center"/>
    </xf>
    <xf numFmtId="0" fontId="16" fillId="43" borderId="11" xfId="0" applyFont="1" applyFill="1" applyBorder="1" applyAlignment="1">
      <alignment horizontal="center"/>
    </xf>
    <xf numFmtId="0" fontId="16" fillId="43" borderId="12" xfId="0" applyFont="1" applyFill="1" applyBorder="1" applyAlignment="1">
      <alignment horizontal="center"/>
    </xf>
    <xf numFmtId="0" fontId="16" fillId="43" borderId="13" xfId="0" applyFont="1" applyFill="1" applyBorder="1" applyAlignment="1">
      <alignment horizontal="center"/>
    </xf>
    <xf numFmtId="0" fontId="16" fillId="43" borderId="16" xfId="0" applyFont="1" applyFill="1" applyBorder="1" applyAlignment="1">
      <alignment horizontal="center"/>
    </xf>
    <xf numFmtId="0" fontId="16" fillId="43" borderId="17" xfId="0" applyFont="1" applyFill="1" applyBorder="1" applyAlignment="1">
      <alignment horizontal="center"/>
    </xf>
    <xf numFmtId="0" fontId="16" fillId="43" borderId="18" xfId="0" applyFont="1" applyFill="1" applyBorder="1" applyAlignment="1">
      <alignment horizontal="center"/>
    </xf>
    <xf numFmtId="0" fontId="16" fillId="44" borderId="22" xfId="0" applyFont="1" applyFill="1" applyBorder="1" applyAlignment="1">
      <alignment horizontal="center"/>
    </xf>
    <xf numFmtId="0" fontId="16" fillId="44" borderId="21" xfId="0" applyFont="1" applyFill="1" applyBorder="1" applyAlignment="1">
      <alignment horizontal="center"/>
    </xf>
    <xf numFmtId="0" fontId="16" fillId="44" borderId="23" xfId="0" applyFont="1" applyFill="1" applyBorder="1" applyAlignment="1">
      <alignment horizontal="center"/>
    </xf>
    <xf numFmtId="0" fontId="23" fillId="40" borderId="22" xfId="42" applyFill="1" applyBorder="1" applyAlignment="1">
      <alignment horizontal="center"/>
    </xf>
    <xf numFmtId="0" fontId="23" fillId="40" borderId="21" xfId="42" applyFill="1" applyBorder="1" applyAlignment="1">
      <alignment horizontal="center"/>
    </xf>
    <xf numFmtId="0" fontId="23" fillId="40" borderId="23" xfId="42" applyFill="1" applyBorder="1" applyAlignment="1">
      <alignment horizontal="center"/>
    </xf>
    <xf numFmtId="0" fontId="23" fillId="61" borderId="21" xfId="42" applyFill="1" applyBorder="1" applyAlignment="1">
      <alignment horizontal="center"/>
    </xf>
    <xf numFmtId="0" fontId="23" fillId="61" borderId="23" xfId="42" applyFill="1" applyBorder="1" applyAlignment="1">
      <alignment horizontal="center"/>
    </xf>
    <xf numFmtId="0" fontId="16" fillId="40" borderId="22" xfId="0" applyFont="1" applyFill="1" applyBorder="1" applyAlignment="1">
      <alignment horizontal="center"/>
    </xf>
    <xf numFmtId="0" fontId="16" fillId="40" borderId="21" xfId="0" applyFont="1" applyFill="1" applyBorder="1" applyAlignment="1">
      <alignment horizontal="center"/>
    </xf>
    <xf numFmtId="0" fontId="16" fillId="40" borderId="23" xfId="0" applyFont="1" applyFill="1" applyBorder="1" applyAlignment="1">
      <alignment horizontal="center"/>
    </xf>
    <xf numFmtId="0" fontId="16" fillId="57" borderId="22" xfId="0" quotePrefix="1" applyFont="1" applyFill="1" applyBorder="1" applyAlignment="1">
      <alignment horizontal="center"/>
    </xf>
    <xf numFmtId="0" fontId="16" fillId="57" borderId="21" xfId="0" quotePrefix="1" applyFont="1" applyFill="1" applyBorder="1" applyAlignment="1">
      <alignment horizontal="center"/>
    </xf>
    <xf numFmtId="0" fontId="16" fillId="63" borderId="22" xfId="0" applyFont="1" applyFill="1" applyBorder="1" applyAlignment="1">
      <alignment horizontal="center"/>
    </xf>
    <xf numFmtId="0" fontId="16" fillId="63" borderId="21" xfId="0" applyFont="1" applyFill="1" applyBorder="1" applyAlignment="1">
      <alignment horizontal="center"/>
    </xf>
    <xf numFmtId="0" fontId="16" fillId="63" borderId="23" xfId="0" applyFont="1" applyFill="1" applyBorder="1" applyAlignment="1">
      <alignment horizontal="center"/>
    </xf>
    <xf numFmtId="0" fontId="37" fillId="60" borderId="12" xfId="0" applyFont="1" applyFill="1" applyBorder="1" applyAlignment="1">
      <alignment horizontal="center"/>
    </xf>
    <xf numFmtId="0" fontId="37" fillId="60" borderId="13" xfId="0" applyFont="1" applyFill="1" applyBorder="1" applyAlignment="1">
      <alignment horizontal="center"/>
    </xf>
    <xf numFmtId="0" fontId="18" fillId="47" borderId="11" xfId="0" applyFont="1" applyFill="1" applyBorder="1" applyAlignment="1">
      <alignment horizontal="center"/>
    </xf>
    <xf numFmtId="0" fontId="18" fillId="47" borderId="13" xfId="0" applyFont="1" applyFill="1" applyBorder="1" applyAlignment="1">
      <alignment horizontal="center"/>
    </xf>
    <xf numFmtId="0" fontId="18" fillId="34" borderId="11" xfId="0" applyFont="1" applyFill="1" applyBorder="1" applyAlignment="1">
      <alignment horizontal="center"/>
    </xf>
    <xf numFmtId="0" fontId="18" fillId="34" borderId="13" xfId="0" applyFont="1" applyFill="1" applyBorder="1" applyAlignment="1">
      <alignment horizontal="center"/>
    </xf>
    <xf numFmtId="0" fontId="18" fillId="34" borderId="22" xfId="0" applyFont="1" applyFill="1" applyBorder="1" applyAlignment="1">
      <alignment horizontal="center"/>
    </xf>
    <xf numFmtId="0" fontId="18" fillId="34" borderId="23" xfId="0" applyFont="1" applyFill="1" applyBorder="1" applyAlignment="1">
      <alignment horizontal="center"/>
    </xf>
    <xf numFmtId="0" fontId="18" fillId="34" borderId="21" xfId="0" applyFont="1" applyFill="1" applyBorder="1" applyAlignment="1">
      <alignment horizontal="center"/>
    </xf>
    <xf numFmtId="0" fontId="18" fillId="47" borderId="22" xfId="0" applyFont="1" applyFill="1" applyBorder="1" applyAlignment="1">
      <alignment horizontal="center"/>
    </xf>
    <xf numFmtId="0" fontId="18" fillId="47" borderId="23" xfId="0" applyFont="1" applyFill="1" applyBorder="1" applyAlignment="1">
      <alignment horizontal="center"/>
    </xf>
    <xf numFmtId="0" fontId="31" fillId="34" borderId="19" xfId="0" applyFont="1" applyFill="1" applyBorder="1" applyAlignment="1">
      <alignment horizontal="left" wrapText="1"/>
    </xf>
    <xf numFmtId="0" fontId="31" fillId="34" borderId="20" xfId="0" applyFont="1" applyFill="1" applyBorder="1" applyAlignment="1">
      <alignment horizontal="left" wrapText="1"/>
    </xf>
    <xf numFmtId="0" fontId="31" fillId="34" borderId="24" xfId="0" applyFont="1" applyFill="1" applyBorder="1" applyAlignment="1">
      <alignment horizontal="left" wrapText="1"/>
    </xf>
    <xf numFmtId="0" fontId="27" fillId="54" borderId="13" xfId="0" applyFont="1" applyFill="1" applyBorder="1" applyAlignment="1">
      <alignment horizontal="center" vertical="center"/>
    </xf>
    <xf numFmtId="0" fontId="27" fillId="54" borderId="15" xfId="0" applyFont="1" applyFill="1" applyBorder="1" applyAlignment="1">
      <alignment horizontal="center" vertical="center"/>
    </xf>
    <xf numFmtId="0" fontId="27" fillId="54" borderId="18" xfId="0" applyFont="1" applyFill="1" applyBorder="1" applyAlignment="1">
      <alignment horizontal="center" vertical="center"/>
    </xf>
    <xf numFmtId="0" fontId="16" fillId="35" borderId="23" xfId="0" applyFont="1" applyFill="1" applyBorder="1" applyAlignment="1">
      <alignment horizontal="center" vertical="center"/>
    </xf>
    <xf numFmtId="0" fontId="16" fillId="35" borderId="10" xfId="0" applyFont="1" applyFill="1" applyBorder="1" applyAlignment="1">
      <alignment horizontal="center" vertical="center"/>
    </xf>
    <xf numFmtId="0" fontId="16" fillId="57" borderId="23" xfId="0" applyFont="1" applyFill="1" applyBorder="1" applyAlignment="1">
      <alignment horizontal="center" vertical="center"/>
    </xf>
    <xf numFmtId="0" fontId="16" fillId="57" borderId="10" xfId="0" applyFont="1" applyFill="1" applyBorder="1" applyAlignment="1">
      <alignment horizontal="center" vertical="center"/>
    </xf>
    <xf numFmtId="0" fontId="28" fillId="41" borderId="21" xfId="0" applyFont="1" applyFill="1" applyBorder="1" applyAlignment="1">
      <alignment horizontal="center" vertical="center"/>
    </xf>
    <xf numFmtId="0" fontId="28" fillId="41" borderId="23" xfId="0" applyFont="1" applyFill="1" applyBorder="1" applyAlignment="1">
      <alignment horizontal="center" vertical="center"/>
    </xf>
    <xf numFmtId="0" fontId="27" fillId="40" borderId="11" xfId="0" applyFont="1" applyFill="1" applyBorder="1" applyAlignment="1">
      <alignment horizontal="center" vertical="center"/>
    </xf>
    <xf numFmtId="0" fontId="27" fillId="40" borderId="12" xfId="0" applyFont="1" applyFill="1" applyBorder="1" applyAlignment="1">
      <alignment horizontal="center" vertical="center"/>
    </xf>
    <xf numFmtId="0" fontId="27" fillId="40" borderId="13" xfId="0" applyFont="1" applyFill="1" applyBorder="1" applyAlignment="1">
      <alignment horizontal="center" vertical="center"/>
    </xf>
    <xf numFmtId="0" fontId="27" fillId="40" borderId="14" xfId="0" applyFont="1" applyFill="1" applyBorder="1" applyAlignment="1">
      <alignment horizontal="center" vertical="center"/>
    </xf>
    <xf numFmtId="0" fontId="27" fillId="40" borderId="0" xfId="0" applyFont="1" applyFill="1" applyBorder="1" applyAlignment="1">
      <alignment horizontal="center" vertical="center"/>
    </xf>
    <xf numFmtId="0" fontId="27" fillId="40" borderId="15" xfId="0" applyFont="1" applyFill="1" applyBorder="1" applyAlignment="1">
      <alignment horizontal="center" vertical="center"/>
    </xf>
    <xf numFmtId="0" fontId="27" fillId="40" borderId="16" xfId="0" applyFont="1" applyFill="1" applyBorder="1" applyAlignment="1">
      <alignment horizontal="center" vertical="center"/>
    </xf>
    <xf numFmtId="0" fontId="27" fillId="40" borderId="17" xfId="0" applyFont="1" applyFill="1" applyBorder="1" applyAlignment="1">
      <alignment horizontal="center" vertical="center"/>
    </xf>
    <xf numFmtId="0" fontId="27" fillId="40" borderId="18" xfId="0" applyFont="1" applyFill="1" applyBorder="1" applyAlignment="1">
      <alignment horizontal="center" vertical="center"/>
    </xf>
    <xf numFmtId="0" fontId="27" fillId="60" borderId="22" xfId="0" applyFont="1" applyFill="1" applyBorder="1" applyAlignment="1">
      <alignment horizontal="center" vertical="center"/>
    </xf>
    <xf numFmtId="0" fontId="27" fillId="60" borderId="21" xfId="0" applyFont="1" applyFill="1" applyBorder="1" applyAlignment="1">
      <alignment horizontal="center" vertical="center"/>
    </xf>
    <xf numFmtId="0" fontId="27" fillId="60" borderId="23" xfId="0" applyFont="1" applyFill="1" applyBorder="1" applyAlignment="1">
      <alignment horizontal="center" vertical="center"/>
    </xf>
    <xf numFmtId="0" fontId="16" fillId="43" borderId="11" xfId="0" applyFont="1" applyFill="1" applyBorder="1" applyAlignment="1">
      <alignment horizontal="center" vertical="center"/>
    </xf>
    <xf numFmtId="0" fontId="16" fillId="43" borderId="12" xfId="0" applyFont="1" applyFill="1" applyBorder="1" applyAlignment="1">
      <alignment horizontal="center" vertical="center"/>
    </xf>
    <xf numFmtId="0" fontId="16" fillId="43" borderId="13" xfId="0" applyFont="1" applyFill="1" applyBorder="1" applyAlignment="1">
      <alignment horizontal="center" vertical="center"/>
    </xf>
    <xf numFmtId="0" fontId="16" fillId="43" borderId="16" xfId="0" applyFont="1" applyFill="1" applyBorder="1" applyAlignment="1">
      <alignment horizontal="center" vertical="center"/>
    </xf>
    <xf numFmtId="0" fontId="16" fillId="43" borderId="17" xfId="0" applyFont="1" applyFill="1" applyBorder="1" applyAlignment="1">
      <alignment horizontal="center" vertical="center"/>
    </xf>
    <xf numFmtId="0" fontId="16" fillId="43" borderId="18" xfId="0" applyFont="1" applyFill="1" applyBorder="1" applyAlignment="1">
      <alignment horizontal="center" vertical="center"/>
    </xf>
    <xf numFmtId="0" fontId="16" fillId="44" borderId="22" xfId="0" applyFont="1" applyFill="1" applyBorder="1" applyAlignment="1">
      <alignment horizontal="center" vertical="center"/>
    </xf>
    <xf numFmtId="0" fontId="16" fillId="44" borderId="21" xfId="0" applyFont="1" applyFill="1" applyBorder="1" applyAlignment="1">
      <alignment horizontal="center" vertical="center"/>
    </xf>
    <xf numFmtId="0" fontId="18" fillId="34" borderId="12" xfId="0" applyFont="1" applyFill="1" applyBorder="1" applyAlignment="1">
      <alignment horizontal="center"/>
    </xf>
    <xf numFmtId="0" fontId="28" fillId="41" borderId="22" xfId="0" applyFont="1" applyFill="1" applyBorder="1" applyAlignment="1">
      <alignment horizontal="center" vertical="center"/>
    </xf>
    <xf numFmtId="0" fontId="27" fillId="54" borderId="19" xfId="0" applyFont="1" applyFill="1" applyBorder="1" applyAlignment="1">
      <alignment horizontal="center" vertical="center"/>
    </xf>
    <xf numFmtId="0" fontId="27" fillId="54" borderId="20" xfId="0" applyFont="1" applyFill="1" applyBorder="1" applyAlignment="1">
      <alignment horizontal="center" vertical="center"/>
    </xf>
    <xf numFmtId="0" fontId="27" fillId="54" borderId="24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left" wrapText="1"/>
    </xf>
    <xf numFmtId="0" fontId="0" fillId="0" borderId="15" xfId="0" applyFill="1" applyBorder="1" applyAlignment="1">
      <alignment horizontal="left" wrapText="1"/>
    </xf>
    <xf numFmtId="0" fontId="46" fillId="61" borderId="22" xfId="0" applyFont="1" applyFill="1" applyBorder="1" applyAlignment="1">
      <alignment horizontal="center"/>
    </xf>
    <xf numFmtId="0" fontId="46" fillId="61" borderId="21" xfId="0" applyFont="1" applyFill="1" applyBorder="1" applyAlignment="1">
      <alignment horizontal="center"/>
    </xf>
    <xf numFmtId="0" fontId="46" fillId="61" borderId="23" xfId="0" applyFont="1" applyFill="1" applyBorder="1" applyAlignment="1">
      <alignment horizontal="center"/>
    </xf>
    <xf numFmtId="0" fontId="0" fillId="47" borderId="10" xfId="0" quotePrefix="1" applyFill="1" applyBorder="1" applyAlignment="1">
      <alignment horizontal="center" textRotation="90"/>
    </xf>
    <xf numFmtId="0" fontId="0" fillId="0" borderId="0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23" fillId="0" borderId="0" xfId="42" applyFill="1" applyBorder="1" applyAlignment="1"/>
    <xf numFmtId="0" fontId="37" fillId="0" borderId="0" xfId="0" applyFont="1" applyFill="1" applyBorder="1" applyAlignment="1"/>
    <xf numFmtId="0" fontId="18" fillId="41" borderId="22" xfId="0" applyFont="1" applyFill="1" applyBorder="1" applyAlignment="1">
      <alignment horizontal="center"/>
    </xf>
    <xf numFmtId="0" fontId="18" fillId="41" borderId="21" xfId="0" applyFont="1" applyFill="1" applyBorder="1" applyAlignment="1">
      <alignment horizontal="center"/>
    </xf>
    <xf numFmtId="0" fontId="18" fillId="41" borderId="23" xfId="0" applyFont="1" applyFill="1" applyBorder="1" applyAlignment="1">
      <alignment horizontal="center"/>
    </xf>
    <xf numFmtId="0" fontId="16" fillId="54" borderId="19" xfId="0" applyFont="1" applyFill="1" applyBorder="1" applyAlignment="1">
      <alignment horizontal="center"/>
    </xf>
    <xf numFmtId="0" fontId="16" fillId="54" borderId="20" xfId="0" applyFont="1" applyFill="1" applyBorder="1" applyAlignment="1">
      <alignment horizontal="center"/>
    </xf>
    <xf numFmtId="0" fontId="16" fillId="54" borderId="24" xfId="0" applyFont="1" applyFill="1" applyBorder="1" applyAlignment="1">
      <alignment horizontal="center"/>
    </xf>
    <xf numFmtId="0" fontId="16" fillId="54" borderId="11" xfId="0" applyFont="1" applyFill="1" applyBorder="1" applyAlignment="1">
      <alignment horizontal="center"/>
    </xf>
    <xf numFmtId="0" fontId="16" fillId="54" borderId="12" xfId="0" applyFont="1" applyFill="1" applyBorder="1" applyAlignment="1">
      <alignment horizontal="center"/>
    </xf>
    <xf numFmtId="0" fontId="16" fillId="54" borderId="13" xfId="0" applyFont="1" applyFill="1" applyBorder="1" applyAlignment="1">
      <alignment horizontal="center"/>
    </xf>
    <xf numFmtId="0" fontId="16" fillId="54" borderId="14" xfId="0" applyFont="1" applyFill="1" applyBorder="1" applyAlignment="1">
      <alignment horizontal="center"/>
    </xf>
    <xf numFmtId="0" fontId="16" fillId="54" borderId="0" xfId="0" applyFont="1" applyFill="1" applyBorder="1" applyAlignment="1">
      <alignment horizontal="center"/>
    </xf>
    <xf numFmtId="0" fontId="16" fillId="54" borderId="15" xfId="0" applyFont="1" applyFill="1" applyBorder="1" applyAlignment="1">
      <alignment horizontal="center"/>
    </xf>
    <xf numFmtId="0" fontId="16" fillId="54" borderId="16" xfId="0" applyFont="1" applyFill="1" applyBorder="1" applyAlignment="1">
      <alignment horizontal="center"/>
    </xf>
    <xf numFmtId="0" fontId="16" fillId="54" borderId="17" xfId="0" applyFont="1" applyFill="1" applyBorder="1" applyAlignment="1">
      <alignment horizontal="center"/>
    </xf>
    <xf numFmtId="0" fontId="16" fillId="54" borderId="18" xfId="0" applyFont="1" applyFill="1" applyBorder="1" applyAlignment="1">
      <alignment horizontal="center"/>
    </xf>
    <xf numFmtId="0" fontId="16" fillId="54" borderId="22" xfId="0" applyFont="1" applyFill="1" applyBorder="1" applyAlignment="1">
      <alignment horizontal="center"/>
    </xf>
    <xf numFmtId="0" fontId="16" fillId="54" borderId="21" xfId="0" applyFont="1" applyFill="1" applyBorder="1" applyAlignment="1">
      <alignment horizontal="center"/>
    </xf>
    <xf numFmtId="0" fontId="16" fillId="54" borderId="23" xfId="0" applyFont="1" applyFill="1" applyBorder="1" applyAlignment="1">
      <alignment horizontal="center"/>
    </xf>
    <xf numFmtId="0" fontId="16" fillId="34" borderId="22" xfId="0" applyFont="1" applyFill="1" applyBorder="1" applyAlignment="1">
      <alignment horizontal="center"/>
    </xf>
    <xf numFmtId="0" fontId="16" fillId="34" borderId="21" xfId="0" applyFont="1" applyFill="1" applyBorder="1" applyAlignment="1">
      <alignment horizontal="center"/>
    </xf>
    <xf numFmtId="0" fontId="16" fillId="34" borderId="23" xfId="0" applyFont="1" applyFill="1" applyBorder="1" applyAlignment="1">
      <alignment horizontal="center"/>
    </xf>
    <xf numFmtId="0" fontId="0" fillId="54" borderId="22" xfId="0" quotePrefix="1" applyFill="1" applyBorder="1" applyAlignment="1">
      <alignment horizontal="center"/>
    </xf>
    <xf numFmtId="0" fontId="0" fillId="54" borderId="21" xfId="0" applyFill="1" applyBorder="1" applyAlignment="1">
      <alignment horizontal="center"/>
    </xf>
    <xf numFmtId="0" fontId="16" fillId="43" borderId="22" xfId="0" applyFont="1" applyFill="1" applyBorder="1" applyAlignment="1">
      <alignment horizontal="center"/>
    </xf>
    <xf numFmtId="0" fontId="16" fillId="43" borderId="21" xfId="0" applyFont="1" applyFill="1" applyBorder="1" applyAlignment="1">
      <alignment horizontal="center"/>
    </xf>
    <xf numFmtId="0" fontId="0" fillId="49" borderId="24" xfId="0" applyFill="1" applyBorder="1" applyAlignment="1">
      <alignment horizontal="left"/>
    </xf>
    <xf numFmtId="0" fontId="0" fillId="49" borderId="24" xfId="0" applyFill="1" applyBorder="1" applyAlignment="1">
      <alignment horizontal="right"/>
    </xf>
    <xf numFmtId="0" fontId="0" fillId="45" borderId="24" xfId="0" applyFill="1" applyBorder="1" applyAlignment="1">
      <alignment horizontal="left"/>
    </xf>
    <xf numFmtId="0" fontId="0" fillId="45" borderId="24" xfId="0" applyFill="1" applyBorder="1" applyAlignment="1">
      <alignment horizontal="center"/>
    </xf>
    <xf numFmtId="0" fontId="0" fillId="49" borderId="24" xfId="0" applyFill="1" applyBorder="1" applyAlignment="1">
      <alignment horizontal="center"/>
    </xf>
    <xf numFmtId="0" fontId="0" fillId="51" borderId="24" xfId="0" applyFill="1" applyBorder="1" applyAlignment="1">
      <alignment horizontal="right"/>
    </xf>
    <xf numFmtId="0" fontId="0" fillId="51" borderId="24" xfId="0" applyFill="1" applyBorder="1" applyAlignment="1">
      <alignment horizontal="left"/>
    </xf>
    <xf numFmtId="166" fontId="37" fillId="60" borderId="54" xfId="0" applyNumberFormat="1" applyFont="1" applyFill="1" applyBorder="1"/>
    <xf numFmtId="2" fontId="37" fillId="60" borderId="20" xfId="0" applyNumberFormat="1" applyFont="1" applyFill="1" applyBorder="1"/>
    <xf numFmtId="167" fontId="19" fillId="57" borderId="54" xfId="43" applyNumberFormat="1" applyFont="1" applyFill="1" applyBorder="1" applyAlignment="1">
      <alignment horizontal="right"/>
    </xf>
    <xf numFmtId="0" fontId="0" fillId="59" borderId="13" xfId="0" applyFill="1" applyBorder="1"/>
    <xf numFmtId="167" fontId="19" fillId="57" borderId="49" xfId="43" applyNumberFormat="1" applyFont="1" applyFill="1" applyBorder="1" applyAlignment="1">
      <alignment horizontal="right"/>
    </xf>
    <xf numFmtId="0" fontId="16" fillId="42" borderId="54" xfId="0" applyFont="1" applyFill="1" applyBorder="1" applyAlignment="1">
      <alignment horizontal="left"/>
    </xf>
    <xf numFmtId="0" fontId="0" fillId="42" borderId="54" xfId="0" applyFill="1" applyBorder="1" applyAlignment="1">
      <alignment horizontal="right"/>
    </xf>
    <xf numFmtId="0" fontId="0" fillId="42" borderId="54" xfId="0" applyFill="1" applyBorder="1" applyAlignment="1">
      <alignment horizontal="left"/>
    </xf>
    <xf numFmtId="0" fontId="0" fillId="42" borderId="54" xfId="0" applyFill="1" applyBorder="1" applyAlignment="1">
      <alignment horizontal="center"/>
    </xf>
    <xf numFmtId="0" fontId="0" fillId="40" borderId="19" xfId="0" applyNumberFormat="1" applyFill="1" applyBorder="1"/>
    <xf numFmtId="166" fontId="0" fillId="40" borderId="19" xfId="0" applyNumberFormat="1" applyFill="1" applyBorder="1"/>
    <xf numFmtId="0" fontId="23" fillId="57" borderId="19" xfId="42" applyFill="1" applyBorder="1"/>
    <xf numFmtId="0" fontId="0" fillId="40" borderId="41" xfId="0" applyNumberFormat="1" applyFill="1" applyBorder="1"/>
    <xf numFmtId="166" fontId="0" fillId="40" borderId="41" xfId="0" applyNumberFormat="1" applyFill="1" applyBorder="1"/>
    <xf numFmtId="0" fontId="0" fillId="61" borderId="42" xfId="0" applyFill="1" applyBorder="1"/>
    <xf numFmtId="165" fontId="19" fillId="61" borderId="41" xfId="43" applyNumberFormat="1" applyFont="1" applyFill="1" applyBorder="1" applyAlignment="1">
      <alignment horizontal="right"/>
    </xf>
    <xf numFmtId="165" fontId="19" fillId="61" borderId="42" xfId="43" applyNumberFormat="1" applyFont="1" applyFill="1" applyBorder="1" applyAlignment="1">
      <alignment horizontal="right"/>
    </xf>
    <xf numFmtId="165" fontId="19" fillId="61" borderId="42" xfId="43" applyNumberFormat="1" applyFont="1" applyFill="1" applyBorder="1"/>
    <xf numFmtId="165" fontId="19" fillId="59" borderId="42" xfId="43" applyNumberFormat="1" applyFont="1" applyFill="1" applyBorder="1" applyAlignment="1">
      <alignment horizontal="right"/>
    </xf>
    <xf numFmtId="165" fontId="19" fillId="59" borderId="41" xfId="43" applyNumberFormat="1" applyFont="1" applyFill="1" applyBorder="1"/>
    <xf numFmtId="0" fontId="0" fillId="40" borderId="54" xfId="0" applyFill="1" applyBorder="1"/>
    <xf numFmtId="0" fontId="0" fillId="0" borderId="54" xfId="0" applyNumberFormat="1" applyFill="1" applyBorder="1"/>
    <xf numFmtId="166" fontId="0" fillId="64" borderId="54" xfId="0" applyNumberFormat="1" applyFill="1" applyBorder="1"/>
    <xf numFmtId="0" fontId="0" fillId="0" borderId="49" xfId="0" applyBorder="1"/>
    <xf numFmtId="9" fontId="0" fillId="59" borderId="53" xfId="43" applyFont="1" applyFill="1" applyBorder="1"/>
    <xf numFmtId="0" fontId="0" fillId="59" borderId="46" xfId="0" applyFill="1" applyBorder="1"/>
    <xf numFmtId="9" fontId="0" fillId="59" borderId="57" xfId="43" applyFont="1" applyFill="1" applyBorder="1"/>
    <xf numFmtId="0" fontId="16" fillId="37" borderId="27" xfId="0" applyFont="1" applyFill="1" applyBorder="1" applyAlignment="1">
      <alignment horizontal="left"/>
    </xf>
    <xf numFmtId="0" fontId="0" fillId="37" borderId="27" xfId="0" applyFill="1" applyBorder="1" applyAlignment="1">
      <alignment horizontal="right"/>
    </xf>
    <xf numFmtId="0" fontId="0" fillId="37" borderId="27" xfId="0" applyFill="1" applyBorder="1" applyAlignment="1">
      <alignment horizontal="left"/>
    </xf>
    <xf numFmtId="0" fontId="0" fillId="37" borderId="27" xfId="0" applyFill="1" applyBorder="1" applyAlignment="1">
      <alignment horizontal="center"/>
    </xf>
    <xf numFmtId="4" fontId="0" fillId="0" borderId="27" xfId="0" applyNumberFormat="1" applyBorder="1"/>
    <xf numFmtId="4" fontId="29" fillId="34" borderId="27" xfId="0" applyNumberFormat="1" applyFont="1" applyFill="1" applyBorder="1"/>
    <xf numFmtId="164" fontId="0" fillId="33" borderId="27" xfId="0" applyNumberFormat="1" applyFill="1" applyBorder="1"/>
    <xf numFmtId="4" fontId="0" fillId="33" borderId="27" xfId="0" applyNumberFormat="1" applyFill="1" applyBorder="1"/>
    <xf numFmtId="9" fontId="0" fillId="59" borderId="21" xfId="43" applyFont="1" applyFill="1" applyBorder="1"/>
    <xf numFmtId="0" fontId="16" fillId="33" borderId="10" xfId="0" applyFont="1" applyFill="1" applyBorder="1" applyAlignment="1">
      <alignment horizontal="left"/>
    </xf>
    <xf numFmtId="0" fontId="0" fillId="33" borderId="10" xfId="0" applyFill="1" applyBorder="1" applyAlignment="1">
      <alignment horizontal="right"/>
    </xf>
    <xf numFmtId="0" fontId="0" fillId="33" borderId="10" xfId="0" applyFill="1" applyBorder="1" applyAlignment="1">
      <alignment horizontal="left"/>
    </xf>
    <xf numFmtId="0" fontId="0" fillId="33" borderId="10" xfId="0" applyFill="1" applyBorder="1" applyAlignment="1">
      <alignment horizontal="center"/>
    </xf>
    <xf numFmtId="0" fontId="16" fillId="44" borderId="10" xfId="0" applyFont="1" applyFill="1" applyBorder="1" applyAlignment="1">
      <alignment horizontal="left"/>
    </xf>
    <xf numFmtId="0" fontId="0" fillId="44" borderId="10" xfId="0" applyFill="1" applyBorder="1" applyAlignment="1">
      <alignment horizontal="right"/>
    </xf>
    <xf numFmtId="0" fontId="0" fillId="44" borderId="10" xfId="0" applyFill="1" applyBorder="1" applyAlignment="1">
      <alignment horizontal="left"/>
    </xf>
    <xf numFmtId="0" fontId="0" fillId="44" borderId="10" xfId="0" applyFill="1" applyBorder="1" applyAlignment="1">
      <alignment horizontal="center"/>
    </xf>
    <xf numFmtId="9" fontId="0" fillId="59" borderId="58" xfId="43" applyFont="1" applyFill="1" applyBorder="1"/>
    <xf numFmtId="0" fontId="16" fillId="55" borderId="59" xfId="0" applyFont="1" applyFill="1" applyBorder="1" applyAlignment="1">
      <alignment horizontal="left"/>
    </xf>
    <xf numFmtId="0" fontId="0" fillId="55" borderId="59" xfId="0" applyFill="1" applyBorder="1" applyAlignment="1">
      <alignment horizontal="right"/>
    </xf>
    <xf numFmtId="0" fontId="0" fillId="55" borderId="59" xfId="0" applyFill="1" applyBorder="1" applyAlignment="1">
      <alignment horizontal="left"/>
    </xf>
    <xf numFmtId="0" fontId="0" fillId="55" borderId="59" xfId="0" applyFill="1" applyBorder="1" applyAlignment="1">
      <alignment horizontal="center"/>
    </xf>
    <xf numFmtId="4" fontId="0" fillId="0" borderId="59" xfId="0" applyNumberFormat="1" applyFill="1" applyBorder="1"/>
    <xf numFmtId="4" fontId="0" fillId="0" borderId="59" xfId="0" applyNumberFormat="1" applyBorder="1"/>
    <xf numFmtId="4" fontId="29" fillId="34" borderId="59" xfId="0" applyNumberFormat="1" applyFont="1" applyFill="1" applyBorder="1"/>
    <xf numFmtId="164" fontId="0" fillId="33" borderId="59" xfId="0" applyNumberFormat="1" applyFill="1" applyBorder="1"/>
    <xf numFmtId="4" fontId="0" fillId="33" borderId="59" xfId="0" applyNumberFormat="1" applyFill="1" applyBorder="1"/>
    <xf numFmtId="9" fontId="0" fillId="59" borderId="12" xfId="43" applyFont="1" applyFill="1" applyBorder="1"/>
    <xf numFmtId="0" fontId="16" fillId="38" borderId="19" xfId="0" applyFont="1" applyFill="1" applyBorder="1" applyAlignment="1">
      <alignment horizontal="left"/>
    </xf>
    <xf numFmtId="0" fontId="0" fillId="38" borderId="19" xfId="0" applyFill="1" applyBorder="1" applyAlignment="1">
      <alignment horizontal="right"/>
    </xf>
    <xf numFmtId="0" fontId="0" fillId="38" borderId="19" xfId="0" applyFill="1" applyBorder="1" applyAlignment="1">
      <alignment horizontal="left"/>
    </xf>
    <xf numFmtId="0" fontId="0" fillId="38" borderId="19" xfId="0" applyFill="1" applyBorder="1" applyAlignment="1">
      <alignment horizontal="center"/>
    </xf>
    <xf numFmtId="9" fontId="0" fillId="59" borderId="17" xfId="43" applyFont="1" applyFill="1" applyBorder="1"/>
    <xf numFmtId="165" fontId="19" fillId="36" borderId="0" xfId="43" applyNumberFormat="1" applyFont="1" applyFill="1" applyBorder="1" applyAlignment="1">
      <alignment horizontal="right"/>
    </xf>
    <xf numFmtId="0" fontId="23" fillId="57" borderId="49" xfId="42" applyFill="1" applyBorder="1"/>
    <xf numFmtId="167" fontId="19" fillId="64" borderId="49" xfId="43" applyNumberFormat="1" applyFont="1" applyFill="1" applyBorder="1" applyAlignment="1">
      <alignment horizontal="right"/>
    </xf>
    <xf numFmtId="165" fontId="19" fillId="64" borderId="49" xfId="43" applyNumberFormat="1" applyFont="1" applyFill="1" applyBorder="1"/>
    <xf numFmtId="0" fontId="0" fillId="61" borderId="54" xfId="0" applyNumberFormat="1" applyFill="1" applyBorder="1"/>
    <xf numFmtId="0" fontId="0" fillId="0" borderId="11" xfId="0" applyFill="1" applyBorder="1"/>
    <xf numFmtId="0" fontId="18" fillId="35" borderId="54" xfId="0" applyFont="1" applyFill="1" applyBorder="1" applyAlignment="1">
      <alignment horizontal="left"/>
    </xf>
    <xf numFmtId="3" fontId="16" fillId="42" borderId="54" xfId="0" applyNumberFormat="1" applyFont="1" applyFill="1" applyBorder="1" applyAlignment="1">
      <alignment horizontal="right"/>
    </xf>
    <xf numFmtId="0" fontId="18" fillId="42" borderId="54" xfId="0" applyFont="1" applyFill="1" applyBorder="1" applyAlignment="1">
      <alignment horizontal="left"/>
    </xf>
    <xf numFmtId="0" fontId="16" fillId="42" borderId="54" xfId="0" applyFont="1" applyFill="1" applyBorder="1"/>
    <xf numFmtId="4" fontId="16" fillId="0" borderId="54" xfId="0" applyNumberFormat="1" applyFont="1" applyBorder="1"/>
    <xf numFmtId="4" fontId="32" fillId="34" borderId="54" xfId="0" applyNumberFormat="1" applyFont="1" applyFill="1" applyBorder="1"/>
    <xf numFmtId="164" fontId="16" fillId="33" borderId="54" xfId="0" applyNumberFormat="1" applyFont="1" applyFill="1" applyBorder="1"/>
    <xf numFmtId="4" fontId="16" fillId="33" borderId="54" xfId="0" applyNumberFormat="1" applyFont="1" applyFill="1" applyBorder="1"/>
    <xf numFmtId="0" fontId="0" fillId="36" borderId="0" xfId="0" applyFill="1"/>
    <xf numFmtId="0" fontId="23" fillId="57" borderId="0" xfId="42" applyFill="1"/>
    <xf numFmtId="9" fontId="19" fillId="61" borderId="19" xfId="43" applyNumberFormat="1" applyFont="1" applyFill="1" applyBorder="1"/>
    <xf numFmtId="0" fontId="0" fillId="0" borderId="24" xfId="0" applyFill="1" applyBorder="1"/>
    <xf numFmtId="0" fontId="0" fillId="0" borderId="22" xfId="0" applyBorder="1"/>
    <xf numFmtId="0" fontId="0" fillId="49" borderId="21" xfId="0" applyFill="1" applyBorder="1" applyAlignment="1">
      <alignment horizontal="center"/>
    </xf>
    <xf numFmtId="0" fontId="0" fillId="49" borderId="43" xfId="0" applyFill="1" applyBorder="1" applyAlignment="1">
      <alignment horizontal="left"/>
    </xf>
    <xf numFmtId="4" fontId="39" fillId="47" borderId="20" xfId="0" applyNumberFormat="1" applyFont="1" applyFill="1" applyBorder="1"/>
    <xf numFmtId="4" fontId="19" fillId="47" borderId="20" xfId="0" applyNumberFormat="1" applyFont="1" applyFill="1" applyBorder="1"/>
    <xf numFmtId="4" fontId="19" fillId="47" borderId="10" xfId="0" applyNumberFormat="1" applyFont="1" applyFill="1" applyBorder="1"/>
    <xf numFmtId="4" fontId="39" fillId="47" borderId="10" xfId="0" applyNumberFormat="1" applyFont="1" applyFill="1" applyBorder="1"/>
    <xf numFmtId="4" fontId="39" fillId="33" borderId="20" xfId="0" applyNumberFormat="1" applyFont="1" applyFill="1" applyBorder="1"/>
    <xf numFmtId="4" fontId="19" fillId="33" borderId="20" xfId="0" applyNumberFormat="1" applyFont="1" applyFill="1" applyBorder="1"/>
    <xf numFmtId="4" fontId="0" fillId="33" borderId="30" xfId="0" applyNumberFormat="1" applyFill="1" applyBorder="1"/>
    <xf numFmtId="4" fontId="19" fillId="33" borderId="10" xfId="0" applyNumberFormat="1" applyFont="1" applyFill="1" applyBorder="1"/>
    <xf numFmtId="4" fontId="39" fillId="33" borderId="10" xfId="0" applyNumberFormat="1" applyFont="1" applyFill="1" applyBorder="1"/>
    <xf numFmtId="4" fontId="0" fillId="33" borderId="44" xfId="0" applyNumberFormat="1" applyFill="1" applyBorder="1"/>
    <xf numFmtId="4" fontId="39" fillId="33" borderId="24" xfId="0" applyNumberFormat="1" applyFont="1" applyFill="1" applyBorder="1"/>
    <xf numFmtId="4" fontId="0" fillId="33" borderId="40" xfId="0" applyNumberFormat="1" applyFill="1" applyBorder="1"/>
    <xf numFmtId="4" fontId="39" fillId="33" borderId="32" xfId="0" applyNumberFormat="1" applyFont="1" applyFill="1" applyBorder="1"/>
    <xf numFmtId="4" fontId="0" fillId="33" borderId="33" xfId="0" applyNumberFormat="1" applyFill="1" applyBorder="1"/>
    <xf numFmtId="0" fontId="18" fillId="40" borderId="60" xfId="0" applyFont="1" applyFill="1" applyBorder="1" applyAlignment="1">
      <alignment horizontal="left"/>
    </xf>
    <xf numFmtId="4" fontId="0" fillId="0" borderId="14" xfId="0" applyNumberFormat="1" applyFill="1" applyBorder="1"/>
    <xf numFmtId="4" fontId="0" fillId="33" borderId="14" xfId="0" applyNumberFormat="1" applyFill="1" applyBorder="1"/>
    <xf numFmtId="4" fontId="0" fillId="33" borderId="22" xfId="0" applyNumberFormat="1" applyFill="1" applyBorder="1"/>
    <xf numFmtId="4" fontId="0" fillId="0" borderId="22" xfId="0" applyNumberFormat="1" applyFill="1" applyBorder="1"/>
    <xf numFmtId="4" fontId="0" fillId="0" borderId="16" xfId="0" applyNumberFormat="1" applyFill="1" applyBorder="1"/>
    <xf numFmtId="4" fontId="0" fillId="33" borderId="16" xfId="0" applyNumberFormat="1" applyFill="1" applyBorder="1"/>
    <xf numFmtId="4" fontId="0" fillId="33" borderId="61" xfId="0" applyNumberFormat="1" applyFill="1" applyBorder="1"/>
    <xf numFmtId="4" fontId="0" fillId="47" borderId="32" xfId="0" applyNumberFormat="1" applyFill="1" applyBorder="1"/>
    <xf numFmtId="0" fontId="18" fillId="47" borderId="27" xfId="0" applyFont="1" applyFill="1" applyBorder="1" applyAlignment="1">
      <alignment horizontal="left"/>
    </xf>
    <xf numFmtId="4" fontId="39" fillId="47" borderId="24" xfId="0" applyNumberFormat="1" applyFont="1" applyFill="1" applyBorder="1"/>
    <xf numFmtId="4" fontId="39" fillId="47" borderId="32" xfId="0" applyNumberFormat="1" applyFont="1" applyFill="1" applyBorder="1"/>
    <xf numFmtId="4" fontId="29" fillId="34" borderId="15" xfId="0" applyNumberFormat="1" applyFont="1" applyFill="1" applyBorder="1"/>
    <xf numFmtId="4" fontId="16" fillId="35" borderId="12" xfId="0" applyNumberFormat="1" applyFont="1" applyFill="1" applyBorder="1"/>
    <xf numFmtId="4" fontId="16" fillId="35" borderId="13" xfId="0" applyNumberFormat="1" applyFont="1" applyFill="1" applyBorder="1" applyAlignment="1">
      <alignment horizontal="right"/>
    </xf>
    <xf numFmtId="4" fontId="16" fillId="35" borderId="0" xfId="0" applyNumberFormat="1" applyFont="1" applyFill="1" applyBorder="1"/>
    <xf numFmtId="4" fontId="16" fillId="35" borderId="15" xfId="0" quotePrefix="1" applyNumberFormat="1" applyFont="1" applyFill="1" applyBorder="1" applyAlignment="1">
      <alignment horizontal="right"/>
    </xf>
    <xf numFmtId="4" fontId="16" fillId="35" borderId="15" xfId="0" applyNumberFormat="1" applyFont="1" applyFill="1" applyBorder="1" applyAlignment="1">
      <alignment horizontal="right"/>
    </xf>
    <xf numFmtId="4" fontId="16" fillId="35" borderId="17" xfId="0" applyNumberFormat="1" applyFont="1" applyFill="1" applyBorder="1"/>
    <xf numFmtId="4" fontId="16" fillId="35" borderId="18" xfId="0" quotePrefix="1" applyNumberFormat="1" applyFont="1" applyFill="1" applyBorder="1" applyAlignment="1">
      <alignment horizontal="right"/>
    </xf>
    <xf numFmtId="4" fontId="16" fillId="41" borderId="0" xfId="0" applyNumberFormat="1" applyFont="1" applyFill="1" applyBorder="1"/>
    <xf numFmtId="4" fontId="16" fillId="41" borderId="15" xfId="0" quotePrefix="1" applyNumberFormat="1" applyFont="1" applyFill="1" applyBorder="1" applyAlignment="1">
      <alignment horizontal="right"/>
    </xf>
    <xf numFmtId="4" fontId="16" fillId="39" borderId="15" xfId="0" quotePrefix="1" applyNumberFormat="1" applyFont="1" applyFill="1" applyBorder="1" applyAlignment="1">
      <alignment horizontal="right"/>
    </xf>
    <xf numFmtId="0" fontId="48" fillId="61" borderId="62" xfId="0" applyFont="1" applyFill="1" applyBorder="1" applyAlignment="1">
      <alignment horizontal="center" wrapText="1"/>
    </xf>
    <xf numFmtId="0" fontId="48" fillId="61" borderId="48" xfId="0" applyFont="1" applyFill="1" applyBorder="1" applyAlignment="1">
      <alignment horizontal="center" wrapText="1"/>
    </xf>
    <xf numFmtId="0" fontId="48" fillId="61" borderId="51" xfId="0" applyFont="1" applyFill="1" applyBorder="1" applyAlignment="1">
      <alignment horizontal="center" wrapText="1"/>
    </xf>
    <xf numFmtId="0" fontId="48" fillId="61" borderId="63" xfId="0" applyFont="1" applyFill="1" applyBorder="1" applyAlignment="1">
      <alignment horizontal="center" wrapText="1"/>
    </xf>
    <xf numFmtId="0" fontId="48" fillId="61" borderId="35" xfId="0" applyFont="1" applyFill="1" applyBorder="1" applyAlignment="1">
      <alignment horizontal="center" wrapText="1"/>
    </xf>
    <xf numFmtId="0" fontId="48" fillId="61" borderId="36" xfId="0" applyFont="1" applyFill="1" applyBorder="1" applyAlignment="1">
      <alignment horizontal="center" wrapText="1"/>
    </xf>
    <xf numFmtId="0" fontId="16" fillId="0" borderId="26" xfId="0" applyFont="1" applyBorder="1"/>
    <xf numFmtId="0" fontId="16" fillId="0" borderId="29" xfId="0" applyFont="1" applyBorder="1" applyAlignment="1">
      <alignment horizontal="right"/>
    </xf>
    <xf numFmtId="0" fontId="16" fillId="0" borderId="39" xfId="0" applyFont="1" applyBorder="1" applyAlignment="1">
      <alignment horizontal="right"/>
    </xf>
    <xf numFmtId="0" fontId="16" fillId="47" borderId="57" xfId="0" applyFont="1" applyFill="1" applyBorder="1"/>
    <xf numFmtId="0" fontId="16" fillId="39" borderId="57" xfId="0" applyFont="1" applyFill="1" applyBorder="1"/>
    <xf numFmtId="0" fontId="16" fillId="62" borderId="57" xfId="0" applyFont="1" applyFill="1" applyBorder="1"/>
    <xf numFmtId="0" fontId="16" fillId="51" borderId="57" xfId="0" applyFont="1" applyFill="1" applyBorder="1"/>
    <xf numFmtId="0" fontId="16" fillId="33" borderId="46" xfId="0" applyFont="1" applyFill="1" applyBorder="1"/>
    <xf numFmtId="0" fontId="13" fillId="66" borderId="31" xfId="0" applyFont="1" applyFill="1" applyBorder="1" applyAlignment="1">
      <alignment horizontal="right"/>
    </xf>
    <xf numFmtId="0" fontId="13" fillId="66" borderId="64" xfId="0" applyFont="1" applyFill="1" applyBorder="1"/>
    <xf numFmtId="164" fontId="0" fillId="62" borderId="0" xfId="0" applyNumberFormat="1" applyFill="1" applyBorder="1" applyAlignment="1">
      <alignment horizontal="right"/>
    </xf>
    <xf numFmtId="164" fontId="0" fillId="47" borderId="0" xfId="0" applyNumberFormat="1" applyFill="1" applyBorder="1" applyAlignment="1">
      <alignment horizontal="right"/>
    </xf>
    <xf numFmtId="164" fontId="0" fillId="39" borderId="0" xfId="0" applyNumberFormat="1" applyFill="1" applyBorder="1" applyAlignment="1">
      <alignment horizontal="right"/>
    </xf>
    <xf numFmtId="164" fontId="0" fillId="51" borderId="0" xfId="0" applyNumberFormat="1" applyFill="1" applyBorder="1" applyAlignment="1">
      <alignment horizontal="right"/>
    </xf>
    <xf numFmtId="164" fontId="0" fillId="33" borderId="15" xfId="0" applyNumberFormat="1" applyFill="1" applyBorder="1" applyAlignment="1">
      <alignment horizontal="right"/>
    </xf>
    <xf numFmtId="164" fontId="17" fillId="66" borderId="34" xfId="0" applyNumberFormat="1" applyFont="1" applyFill="1" applyBorder="1" applyAlignment="1">
      <alignment horizontal="right"/>
    </xf>
    <xf numFmtId="164" fontId="0" fillId="62" borderId="17" xfId="0" applyNumberFormat="1" applyFill="1" applyBorder="1" applyAlignment="1">
      <alignment horizontal="right"/>
    </xf>
    <xf numFmtId="164" fontId="0" fillId="47" borderId="17" xfId="0" applyNumberFormat="1" applyFill="1" applyBorder="1" applyAlignment="1">
      <alignment horizontal="right"/>
    </xf>
    <xf numFmtId="164" fontId="0" fillId="39" borderId="17" xfId="0" applyNumberFormat="1" applyFill="1" applyBorder="1" applyAlignment="1">
      <alignment horizontal="right"/>
    </xf>
    <xf numFmtId="164" fontId="0" fillId="51" borderId="17" xfId="0" applyNumberFormat="1" applyFill="1" applyBorder="1" applyAlignment="1">
      <alignment horizontal="right"/>
    </xf>
    <xf numFmtId="164" fontId="0" fillId="33" borderId="18" xfId="0" applyNumberFormat="1" applyFill="1" applyBorder="1" applyAlignment="1">
      <alignment horizontal="right"/>
    </xf>
    <xf numFmtId="164" fontId="17" fillId="66" borderId="38" xfId="0" applyNumberFormat="1" applyFont="1" applyFill="1" applyBorder="1" applyAlignment="1">
      <alignment horizontal="right"/>
    </xf>
    <xf numFmtId="164" fontId="17" fillId="66" borderId="35" xfId="0" applyNumberFormat="1" applyFont="1" applyFill="1" applyBorder="1" applyAlignment="1">
      <alignment horizontal="right"/>
    </xf>
    <xf numFmtId="164" fontId="17" fillId="66" borderId="47" xfId="0" applyNumberFormat="1" applyFont="1" applyFill="1" applyBorder="1" applyAlignment="1">
      <alignment horizontal="right"/>
    </xf>
    <xf numFmtId="164" fontId="13" fillId="66" borderId="36" xfId="0" applyNumberFormat="1" applyFont="1" applyFill="1" applyBorder="1" applyAlignment="1">
      <alignment horizontal="right"/>
    </xf>
    <xf numFmtId="0" fontId="16" fillId="0" borderId="55" xfId="0" applyFont="1" applyBorder="1" applyAlignment="1">
      <alignment horizontal="right"/>
    </xf>
    <xf numFmtId="164" fontId="0" fillId="62" borderId="12" xfId="0" applyNumberFormat="1" applyFill="1" applyBorder="1" applyAlignment="1">
      <alignment horizontal="right"/>
    </xf>
    <xf numFmtId="164" fontId="0" fillId="47" borderId="12" xfId="0" applyNumberFormat="1" applyFill="1" applyBorder="1" applyAlignment="1">
      <alignment horizontal="right"/>
    </xf>
    <xf numFmtId="164" fontId="0" fillId="39" borderId="12" xfId="0" applyNumberFormat="1" applyFill="1" applyBorder="1" applyAlignment="1">
      <alignment horizontal="right"/>
    </xf>
    <xf numFmtId="164" fontId="0" fillId="51" borderId="12" xfId="0" applyNumberFormat="1" applyFill="1" applyBorder="1" applyAlignment="1">
      <alignment horizontal="right"/>
    </xf>
    <xf numFmtId="164" fontId="0" fillId="33" borderId="13" xfId="0" applyNumberFormat="1" applyFill="1" applyBorder="1" applyAlignment="1">
      <alignment horizontal="right"/>
    </xf>
    <xf numFmtId="164" fontId="17" fillId="66" borderId="65" xfId="0" applyNumberFormat="1" applyFont="1" applyFill="1" applyBorder="1" applyAlignment="1">
      <alignment horizontal="right"/>
    </xf>
    <xf numFmtId="0" fontId="16" fillId="35" borderId="57" xfId="0" applyFont="1" applyFill="1" applyBorder="1"/>
    <xf numFmtId="164" fontId="0" fillId="35" borderId="12" xfId="0" applyNumberFormat="1" applyFill="1" applyBorder="1" applyAlignment="1">
      <alignment horizontal="right"/>
    </xf>
    <xf numFmtId="164" fontId="0" fillId="35" borderId="0" xfId="0" applyNumberFormat="1" applyFill="1" applyBorder="1" applyAlignment="1">
      <alignment horizontal="right"/>
    </xf>
    <xf numFmtId="164" fontId="0" fillId="35" borderId="17" xfId="0" applyNumberFormat="1" applyFill="1" applyBorder="1" applyAlignment="1">
      <alignment horizontal="right"/>
    </xf>
  </cellXfs>
  <cellStyles count="44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Hyperlink" xfId="42" builtinId="8"/>
    <cellStyle name="Neutral" xfId="8" builtinId="28" customBuiltin="1"/>
    <cellStyle name="Notiz" xfId="15" builtinId="10" customBuiltin="1"/>
    <cellStyle name="Prozent" xfId="43" builtinId="5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247">
    <dxf>
      <font>
        <color theme="0" tint="-0.499984740745262"/>
      </font>
      <numFmt numFmtId="1" formatCode="0"/>
    </dxf>
    <dxf>
      <font>
        <color theme="0" tint="-0.24994659260841701"/>
      </font>
    </dxf>
    <dxf>
      <font>
        <color rgb="FF9C0006"/>
      </font>
    </dxf>
    <dxf>
      <numFmt numFmtId="4" formatCode="#,##0.00"/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theme="0" tint="-0.499984740745262"/>
      </font>
    </dxf>
    <dxf>
      <font>
        <color theme="0" tint="-0.24994659260841701"/>
      </font>
    </dxf>
    <dxf>
      <font>
        <color rgb="FF9C0006"/>
      </font>
    </dxf>
    <dxf>
      <numFmt numFmtId="4" formatCode="#,##0.00"/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numFmt numFmtId="4" formatCode="#,##0.00"/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theme="0" tint="-0.24994659260841701"/>
      </font>
    </dxf>
    <dxf>
      <font>
        <color rgb="FF9C0006"/>
      </font>
    </dxf>
    <dxf>
      <numFmt numFmtId="4" formatCode="#,##0.00"/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numFmt numFmtId="4" formatCode="#,##0.00"/>
    </dxf>
    <dxf>
      <font>
        <color rgb="FFFF0000"/>
      </font>
      <fill>
        <patternFill patternType="none">
          <bgColor auto="1"/>
        </patternFill>
      </fill>
    </dxf>
    <dxf>
      <numFmt numFmtId="4" formatCode="#,##0.00"/>
    </dxf>
    <dxf>
      <font>
        <color rgb="FFFF0000"/>
      </font>
      <fill>
        <patternFill patternType="none">
          <bgColor auto="1"/>
        </patternFill>
      </fill>
    </dxf>
    <dxf>
      <font>
        <color theme="0" tint="-0.24994659260841701"/>
      </font>
    </dxf>
    <dxf>
      <font>
        <color rgb="FF9C0006"/>
      </font>
    </dxf>
    <dxf>
      <font>
        <color rgb="FF9C0006"/>
      </font>
      <numFmt numFmtId="1" formatCode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numFmt numFmtId="1" formatCode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numFmt numFmtId="1" formatCode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numFmt numFmtId="1" formatCode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numFmt numFmtId="0" formatCode="General"/>
    </dxf>
    <dxf>
      <font>
        <b/>
        <i val="0"/>
        <color rgb="FFFF0000"/>
      </font>
    </dxf>
    <dxf>
      <font>
        <color rgb="FF9C0006"/>
      </font>
      <numFmt numFmtId="1" formatCode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numFmt numFmtId="1" formatCode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numFmt numFmtId="1" formatCode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numFmt numFmtId="1" formatCode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numFmt numFmtId="1" formatCode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numFmt numFmtId="1" formatCode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numFmt numFmtId="1" formatCode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numFmt numFmtId="1" formatCode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numFmt numFmtId="1" formatCode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numFmt numFmtId="1" formatCode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numFmt numFmtId="1" formatCode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numFmt numFmtId="1" formatCode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numFmt numFmtId="1" formatCode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numFmt numFmtId="0" formatCode="General"/>
    </dxf>
    <dxf>
      <font>
        <b/>
        <i val="0"/>
        <color rgb="FFFF0000"/>
      </font>
    </dxf>
    <dxf>
      <font>
        <color rgb="FF9C0006"/>
      </font>
      <numFmt numFmtId="1" formatCode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numFmt numFmtId="1" formatCode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numFmt numFmtId="1" formatCode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numFmt numFmtId="1" formatCode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numFmt numFmtId="1" formatCode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numFmt numFmtId="1" formatCode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numFmt numFmtId="1" formatCode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numFmt numFmtId="1" formatCode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numFmt numFmtId="1" formatCode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numFmt numFmtId="1" formatCode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numFmt numFmtId="1" formatCode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numFmt numFmtId="1" formatCode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numFmt numFmtId="1" formatCode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numFmt numFmtId="1" formatCode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numFmt numFmtId="1" formatCode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numFmt numFmtId="1" formatCode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numFmt numFmtId="0" formatCode="General"/>
    </dxf>
    <dxf>
      <font>
        <b/>
        <i val="0"/>
        <color rgb="FFFF0000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numFmt numFmtId="1" formatCode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numFmt numFmtId="1" formatCode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numFmt numFmtId="1" formatCode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numFmt numFmtId="1" formatCode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numFmt numFmtId="1" formatCode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numFmt numFmtId="1" formatCode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numFmt numFmtId="1" formatCode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numFmt numFmtId="1" formatCode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numFmt numFmtId="1" formatCode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numFmt numFmtId="1" formatCode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numFmt numFmtId="0" formatCode="General"/>
    </dxf>
    <dxf>
      <font>
        <b/>
        <i val="0"/>
        <color rgb="FFFF0000"/>
      </font>
    </dxf>
    <dxf>
      <font>
        <color rgb="FF9C0006"/>
      </font>
      <numFmt numFmtId="1" formatCode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numFmt numFmtId="1" formatCode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numFmt numFmtId="1" formatCode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numFmt numFmtId="1" formatCode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numFmt numFmtId="1" formatCode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numFmt numFmtId="1" formatCode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numFmt numFmtId="1" formatCode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numFmt numFmtId="1" formatCode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numFmt numFmtId="1" formatCode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numFmt numFmtId="1" formatCode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numFmt numFmtId="1" formatCode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numFmt numFmtId="1" formatCode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numFmt numFmtId="1" formatCode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numFmt numFmtId="1" formatCode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numFmt numFmtId="1" formatCode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numFmt numFmtId="1" formatCode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numFmt numFmtId="0" formatCode="General"/>
    </dxf>
    <dxf>
      <font>
        <b/>
        <i val="0"/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numFmt numFmtId="1" formatCode="0"/>
    </dxf>
    <dxf>
      <font>
        <color rgb="FF9C0006"/>
      </font>
      <fill>
        <patternFill>
          <bgColor rgb="FFFFC7CE"/>
        </patternFill>
      </fill>
    </dxf>
    <dxf>
      <numFmt numFmtId="1" formatCode="0"/>
    </dxf>
    <dxf>
      <numFmt numFmtId="1" formatCode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4F0B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0</xdr:row>
      <xdr:rowOff>0</xdr:rowOff>
    </xdr:from>
    <xdr:to>
      <xdr:col>17</xdr:col>
      <xdr:colOff>638175</xdr:colOff>
      <xdr:row>47</xdr:row>
      <xdr:rowOff>95250</xdr:rowOff>
    </xdr:to>
    <xdr:pic>
      <xdr:nvPicPr>
        <xdr:cNvPr id="5" name="Grafik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0" y="0"/>
          <a:ext cx="6734175" cy="9048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47625</xdr:colOff>
      <xdr:row>47</xdr:row>
      <xdr:rowOff>56234</xdr:rowOff>
    </xdr:to>
    <xdr:pic>
      <xdr:nvPicPr>
        <xdr:cNvPr id="3" name="Grafik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677025" cy="90097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ross%20Electricity%20production%20by%20country,%20fuel,%20technology_v1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Electricity Information 09"/>
      <sheetName val="--------  "/>
      <sheetName val="GEP"/>
      <sheetName val="GEP_add1"/>
      <sheetName val="GEP_add2 (costs)"/>
      <sheetName val="GEP_Aggtech"/>
      <sheetName val="GEP_Aggreg"/>
      <sheetName val="NEWAGE_const"/>
      <sheetName val="NEWAGE_const_read"/>
      <sheetName val="NEWAGE_detailed"/>
      <sheetName val="NEWAGE_detailed_CCS"/>
      <sheetName val="NEWAGE_detailed_read"/>
      <sheetName val="NEWAGE_detailed_read (2)"/>
      <sheetName val="Costs"/>
      <sheetName val="-------- "/>
      <sheetName val="Table 1.1 complete"/>
      <sheetName val="Table 1.2 complete"/>
      <sheetName val="Table 1.3 complete"/>
      <sheetName val="--------"/>
      <sheetName val="Table 1.1 II.4"/>
      <sheetName val="Table 1.1 II.5"/>
      <sheetName val="Table 1.1 II.6"/>
      <sheetName val="Table 1.1 II.7"/>
      <sheetName val="Table 1.2 II.8"/>
      <sheetName val="Table 1.2 II.9"/>
      <sheetName val="Table 1.2 II.10"/>
      <sheetName val="Table 1.2 II.11"/>
      <sheetName val="Table 1.3 II.12"/>
      <sheetName val="Table 1.3 II.13"/>
      <sheetName val="Table 1.3 II.14"/>
      <sheetName val="Table 1.3 II.15"/>
      <sheetName val=" --------"/>
      <sheetName val="CHP"/>
      <sheetName val="Pumps"/>
      <sheetName val="Win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>
        <row r="10">
          <cell r="H10">
            <v>140.53</v>
          </cell>
          <cell r="I10">
            <v>20.86</v>
          </cell>
          <cell r="J10">
            <v>7.6</v>
          </cell>
          <cell r="K10">
            <v>0</v>
          </cell>
          <cell r="L10">
            <v>3.0899999999999963</v>
          </cell>
          <cell r="M10">
            <v>39.700000000000003</v>
          </cell>
          <cell r="N10">
            <v>24.45102</v>
          </cell>
          <cell r="O10">
            <v>106.49628</v>
          </cell>
          <cell r="P10">
            <v>165.83489999999998</v>
          </cell>
          <cell r="Q10">
            <v>5.25</v>
          </cell>
          <cell r="R10">
            <v>0</v>
          </cell>
          <cell r="S10">
            <v>5.83</v>
          </cell>
          <cell r="T10">
            <v>49.24953</v>
          </cell>
          <cell r="U10">
            <v>4.8861449999999973</v>
          </cell>
          <cell r="V10">
            <v>18.227499999999999</v>
          </cell>
          <cell r="W10">
            <v>21.82</v>
          </cell>
          <cell r="X10">
            <v>2.4195500000000152</v>
          </cell>
          <cell r="Y10">
            <v>1.1250749999999954</v>
          </cell>
        </row>
        <row r="11">
          <cell r="H11">
            <v>439.73</v>
          </cell>
          <cell r="I11">
            <v>58.16</v>
          </cell>
          <cell r="J11">
            <v>5.5</v>
          </cell>
          <cell r="K11">
            <v>0</v>
          </cell>
          <cell r="L11">
            <v>0.49000000000000021</v>
          </cell>
          <cell r="M11">
            <v>4.0999999999999996</v>
          </cell>
          <cell r="N11">
            <v>0</v>
          </cell>
          <cell r="O11">
            <v>24.205500000000001</v>
          </cell>
          <cell r="P11">
            <v>0</v>
          </cell>
          <cell r="Q11">
            <v>0</v>
          </cell>
          <cell r="R11">
            <v>0</v>
          </cell>
          <cell r="S11">
            <v>6.16</v>
          </cell>
          <cell r="T11">
            <v>0</v>
          </cell>
          <cell r="U11">
            <v>5.4425250000000025</v>
          </cell>
          <cell r="V11">
            <v>16.492499999999996</v>
          </cell>
          <cell r="W11">
            <v>2.0100000000000002</v>
          </cell>
          <cell r="X11">
            <v>0</v>
          </cell>
          <cell r="Y11">
            <v>0.29947499999999749</v>
          </cell>
        </row>
        <row r="12">
          <cell r="H12">
            <v>0</v>
          </cell>
          <cell r="I12">
            <v>35.99</v>
          </cell>
          <cell r="J12">
            <v>2.5</v>
          </cell>
          <cell r="K12">
            <v>0</v>
          </cell>
          <cell r="L12">
            <v>4.9999999999999822E-2</v>
          </cell>
          <cell r="M12">
            <v>2</v>
          </cell>
          <cell r="N12">
            <v>0.31125600000000003</v>
          </cell>
          <cell r="O12">
            <v>5.8861439999999998</v>
          </cell>
          <cell r="P12">
            <v>0</v>
          </cell>
          <cell r="Q12">
            <v>0.68640000000000001</v>
          </cell>
          <cell r="R12">
            <v>0</v>
          </cell>
          <cell r="S12">
            <v>0.59360000000000002</v>
          </cell>
          <cell r="T12">
            <v>5.6239920000000003</v>
          </cell>
          <cell r="U12">
            <v>4.0495949999999992</v>
          </cell>
          <cell r="V12">
            <v>9.8699999999999996E-2</v>
          </cell>
          <cell r="W12">
            <v>3.3400000000000003</v>
          </cell>
          <cell r="X12">
            <v>5.9952000000000005E-2</v>
          </cell>
          <cell r="Y12">
            <v>0.10036100000000125</v>
          </cell>
        </row>
        <row r="13">
          <cell r="H13">
            <v>27.93</v>
          </cell>
          <cell r="I13">
            <v>35.24</v>
          </cell>
          <cell r="J13">
            <v>1.5</v>
          </cell>
          <cell r="K13">
            <v>0</v>
          </cell>
          <cell r="L13">
            <v>0.04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0.19</v>
          </cell>
          <cell r="T13">
            <v>0</v>
          </cell>
          <cell r="U13">
            <v>0.51975000000000005</v>
          </cell>
          <cell r="V13">
            <v>0.22500000000000001</v>
          </cell>
          <cell r="W13">
            <v>0.30000000000000004</v>
          </cell>
          <cell r="X13">
            <v>0</v>
          </cell>
          <cell r="Y13">
            <v>5.2499999999999769E-3</v>
          </cell>
        </row>
        <row r="16">
          <cell r="H16">
            <v>100.22</v>
          </cell>
          <cell r="I16">
            <v>83.667371299999999</v>
          </cell>
          <cell r="J16">
            <v>0.44262870000000004</v>
          </cell>
          <cell r="K16">
            <v>0</v>
          </cell>
          <cell r="L16">
            <v>0.39000000000000057</v>
          </cell>
          <cell r="M16">
            <v>9.2799999999999994</v>
          </cell>
          <cell r="N16">
            <v>1.7082449999999998</v>
          </cell>
          <cell r="O16">
            <v>32.456654999999998</v>
          </cell>
          <cell r="P16">
            <v>11.2959</v>
          </cell>
          <cell r="Q16">
            <v>0</v>
          </cell>
          <cell r="R16">
            <v>0</v>
          </cell>
          <cell r="S16">
            <v>3.29</v>
          </cell>
          <cell r="T16">
            <v>1.1483999999999999</v>
          </cell>
          <cell r="U16">
            <v>11.484</v>
          </cell>
          <cell r="V16">
            <v>10.44</v>
          </cell>
          <cell r="W16">
            <v>20.66</v>
          </cell>
          <cell r="X16">
            <v>0.14295500000000061</v>
          </cell>
          <cell r="Y16">
            <v>0.44384500000000315</v>
          </cell>
        </row>
        <row r="17">
          <cell r="H17">
            <v>55.1</v>
          </cell>
          <cell r="I17">
            <v>73.22</v>
          </cell>
          <cell r="J17">
            <v>9.9</v>
          </cell>
          <cell r="K17">
            <v>5.7700000000000005</v>
          </cell>
          <cell r="L17">
            <v>2.0100000000000051</v>
          </cell>
          <cell r="M17">
            <v>37.299999999999997</v>
          </cell>
          <cell r="N17">
            <v>84.019320000000008</v>
          </cell>
          <cell r="O17">
            <v>36.008279999999999</v>
          </cell>
          <cell r="P17">
            <v>42.619499999999995</v>
          </cell>
          <cell r="Q17">
            <v>37.799999999999997</v>
          </cell>
          <cell r="R17">
            <v>26.459999999999997</v>
          </cell>
          <cell r="S17">
            <v>11.34</v>
          </cell>
          <cell r="T17">
            <v>202.39064999999999</v>
          </cell>
          <cell r="U17">
            <v>72.282374999999988</v>
          </cell>
          <cell r="V17">
            <v>14.602499999999999</v>
          </cell>
          <cell r="W17">
            <v>7.68</v>
          </cell>
          <cell r="X17">
            <v>3.3235300000000052</v>
          </cell>
          <cell r="Y17">
            <v>1.0938449999999875</v>
          </cell>
        </row>
        <row r="18">
          <cell r="H18">
            <v>84.23</v>
          </cell>
          <cell r="I18">
            <v>35.500277400000002</v>
          </cell>
          <cell r="J18">
            <v>1.6597226</v>
          </cell>
          <cell r="K18">
            <v>0</v>
          </cell>
          <cell r="L18">
            <v>0.1021096600000001</v>
          </cell>
          <cell r="M18">
            <v>0.80789034000000004</v>
          </cell>
          <cell r="N18">
            <v>26.112982500000001</v>
          </cell>
          <cell r="O18">
            <v>77.629117500000007</v>
          </cell>
          <cell r="P18">
            <v>160.49880000000002</v>
          </cell>
          <cell r="Q18">
            <v>0.45119999999999999</v>
          </cell>
          <cell r="R18">
            <v>3.3937999999999993</v>
          </cell>
          <cell r="S18">
            <v>3.8450000000000002</v>
          </cell>
          <cell r="T18">
            <v>2.4492600000000002</v>
          </cell>
          <cell r="U18">
            <v>17.598240000000001</v>
          </cell>
          <cell r="V18">
            <v>20.25</v>
          </cell>
          <cell r="W18">
            <v>5.77</v>
          </cell>
          <cell r="X18">
            <v>1.9097074999999961</v>
          </cell>
          <cell r="Y18">
            <v>0.96189249999999049</v>
          </cell>
        </row>
        <row r="19">
          <cell r="H19">
            <v>0</v>
          </cell>
          <cell r="I19">
            <v>137.94</v>
          </cell>
          <cell r="J19">
            <v>5.5</v>
          </cell>
          <cell r="K19">
            <v>3.58</v>
          </cell>
          <cell r="L19">
            <v>0.18000000000000005</v>
          </cell>
          <cell r="M19">
            <v>0.9</v>
          </cell>
          <cell r="N19">
            <v>0</v>
          </cell>
          <cell r="O19">
            <v>4.9500000000000002E-2</v>
          </cell>
          <cell r="P19">
            <v>0</v>
          </cell>
          <cell r="Q19">
            <v>0</v>
          </cell>
          <cell r="R19">
            <v>0</v>
          </cell>
          <cell r="S19">
            <v>0.03</v>
          </cell>
          <cell r="T19">
            <v>0</v>
          </cell>
          <cell r="U19">
            <v>0</v>
          </cell>
          <cell r="V19">
            <v>0.73</v>
          </cell>
          <cell r="W19">
            <v>0.32</v>
          </cell>
          <cell r="X19">
            <v>0</v>
          </cell>
          <cell r="Y19">
            <v>5.0000000000000044E-4</v>
          </cell>
        </row>
        <row r="20">
          <cell r="H20">
            <v>836.63</v>
          </cell>
          <cell r="I20">
            <v>249.65</v>
          </cell>
          <cell r="J20">
            <v>25.9</v>
          </cell>
          <cell r="K20">
            <v>16.8</v>
          </cell>
          <cell r="L20">
            <v>1.8399999999999963</v>
          </cell>
          <cell r="M20">
            <v>34.6</v>
          </cell>
          <cell r="N20">
            <v>1502.990775</v>
          </cell>
          <cell r="O20">
            <v>500.99692500000009</v>
          </cell>
          <cell r="P20">
            <v>89.327700000000007</v>
          </cell>
          <cell r="Q20">
            <v>18.748000000000001</v>
          </cell>
          <cell r="R20">
            <v>43.763999999999996</v>
          </cell>
          <cell r="S20">
            <v>15.628</v>
          </cell>
          <cell r="T20">
            <v>211.56201000000001</v>
          </cell>
          <cell r="U20">
            <v>513.27638999999999</v>
          </cell>
          <cell r="V20">
            <v>183.04</v>
          </cell>
          <cell r="W20">
            <v>49.54</v>
          </cell>
          <cell r="X20">
            <v>18.221014999999852</v>
          </cell>
          <cell r="Y20">
            <v>10.24518500000022</v>
          </cell>
        </row>
        <row r="21">
          <cell r="H21">
            <v>12.35</v>
          </cell>
          <cell r="I21">
            <v>355.31899999999996</v>
          </cell>
          <cell r="J21">
            <v>18.701000000000001</v>
          </cell>
          <cell r="K21">
            <v>0</v>
          </cell>
          <cell r="L21">
            <v>0.10000000000000009</v>
          </cell>
          <cell r="M21">
            <v>1.9</v>
          </cell>
          <cell r="N21">
            <v>0</v>
          </cell>
          <cell r="O21">
            <v>9.9000000000000005E-2</v>
          </cell>
          <cell r="P21">
            <v>5.9004000000000003</v>
          </cell>
          <cell r="Q21">
            <v>0</v>
          </cell>
          <cell r="R21">
            <v>12.393000000000001</v>
          </cell>
          <cell r="S21">
            <v>1.3769999999999998</v>
          </cell>
          <cell r="T21">
            <v>0</v>
          </cell>
          <cell r="U21">
            <v>13.810499999999999</v>
          </cell>
          <cell r="V21">
            <v>1.55</v>
          </cell>
          <cell r="W21">
            <v>17.399999999999999</v>
          </cell>
          <cell r="X21">
            <v>5.9599999999999653E-2</v>
          </cell>
          <cell r="Y21">
            <v>0.14049999999999585</v>
          </cell>
        </row>
        <row r="22">
          <cell r="H22">
            <v>160.04</v>
          </cell>
          <cell r="I22">
            <v>177.19019999999998</v>
          </cell>
          <cell r="J22">
            <v>1.7897999999999998</v>
          </cell>
          <cell r="K22">
            <v>0.49</v>
          </cell>
          <cell r="L22">
            <v>4.9999999999999871E-4</v>
          </cell>
          <cell r="M22">
            <v>9.5000000000000015E-3</v>
          </cell>
          <cell r="N22">
            <v>59.459400000000002</v>
          </cell>
          <cell r="O22">
            <v>39.639599999999994</v>
          </cell>
          <cell r="P22">
            <v>60.904800000000002</v>
          </cell>
          <cell r="Q22">
            <v>1.7230000000000001</v>
          </cell>
          <cell r="R22">
            <v>6.8919999999999995</v>
          </cell>
          <cell r="S22">
            <v>8.6150000000000002</v>
          </cell>
          <cell r="T22">
            <v>240.92144999999999</v>
          </cell>
          <cell r="U22">
            <v>192.73715999999999</v>
          </cell>
          <cell r="V22">
            <v>48.670999999999992</v>
          </cell>
          <cell r="W22">
            <v>0.01</v>
          </cell>
          <cell r="X22">
            <v>3.6493499999999699</v>
          </cell>
          <cell r="Y22">
            <v>2.3472399999999993</v>
          </cell>
        </row>
        <row r="23">
          <cell r="H23">
            <v>16.78</v>
          </cell>
          <cell r="I23">
            <v>122.5917</v>
          </cell>
          <cell r="J23">
            <v>1.2383</v>
          </cell>
          <cell r="K23">
            <v>0</v>
          </cell>
          <cell r="L23">
            <v>0.58349999999999902</v>
          </cell>
          <cell r="M23">
            <v>11.086500000000001</v>
          </cell>
          <cell r="N23">
            <v>383.55322500000005</v>
          </cell>
          <cell r="O23">
            <v>127.85107499999998</v>
          </cell>
          <cell r="P23">
            <v>18.6813</v>
          </cell>
          <cell r="Q23">
            <v>1.7760000000000002</v>
          </cell>
          <cell r="R23">
            <v>7.1039999999999957</v>
          </cell>
          <cell r="S23">
            <v>26.640000000000004</v>
          </cell>
          <cell r="T23">
            <v>3.2551200000000002</v>
          </cell>
          <cell r="U23">
            <v>52.081920000000004</v>
          </cell>
          <cell r="V23">
            <v>9.8640000000000008</v>
          </cell>
          <cell r="W23">
            <v>1.95</v>
          </cell>
          <cell r="X23">
            <v>4.0958550000000287</v>
          </cell>
          <cell r="Y23">
            <v>1.8175050000000113</v>
          </cell>
        </row>
        <row r="24">
          <cell r="H24">
            <v>62.13</v>
          </cell>
          <cell r="I24">
            <v>388.20799999999997</v>
          </cell>
          <cell r="J24">
            <v>97.052000000000007</v>
          </cell>
          <cell r="K24">
            <v>0</v>
          </cell>
          <cell r="L24">
            <v>0.44549999999999912</v>
          </cell>
          <cell r="M24">
            <v>8.464500000000001</v>
          </cell>
          <cell r="N24">
            <v>1845.3550499999999</v>
          </cell>
          <cell r="O24">
            <v>790.86644999999999</v>
          </cell>
          <cell r="P24">
            <v>0</v>
          </cell>
          <cell r="Q24">
            <v>0</v>
          </cell>
          <cell r="R24">
            <v>1.6875</v>
          </cell>
          <cell r="S24">
            <v>32.0625</v>
          </cell>
          <cell r="T24">
            <v>0.40451400000000004</v>
          </cell>
          <cell r="U24">
            <v>1.6180559999999993</v>
          </cell>
          <cell r="V24">
            <v>38.817</v>
          </cell>
          <cell r="W24">
            <v>2.31</v>
          </cell>
          <cell r="X24">
            <v>18.644035999999915</v>
          </cell>
          <cell r="Y24">
            <v>8.0048940000000357</v>
          </cell>
        </row>
        <row r="25">
          <cell r="H25">
            <v>11.32</v>
          </cell>
          <cell r="I25">
            <v>0.39100000000000001</v>
          </cell>
          <cell r="J25">
            <v>3.5190000000000001</v>
          </cell>
          <cell r="K25">
            <v>0</v>
          </cell>
          <cell r="L25">
            <v>2.5000000000000001E-2</v>
          </cell>
          <cell r="M25">
            <v>2.5000000000000001E-2</v>
          </cell>
          <cell r="N25">
            <v>171.02546999999998</v>
          </cell>
          <cell r="O25">
            <v>73.296630000000007</v>
          </cell>
          <cell r="P25">
            <v>0</v>
          </cell>
          <cell r="Q25">
            <v>0</v>
          </cell>
          <cell r="R25">
            <v>0</v>
          </cell>
          <cell r="S25">
            <v>1.1499999999999999</v>
          </cell>
          <cell r="T25">
            <v>0</v>
          </cell>
          <cell r="U25">
            <v>0</v>
          </cell>
          <cell r="V25">
            <v>0</v>
          </cell>
          <cell r="W25">
            <v>0.26</v>
          </cell>
          <cell r="X25">
            <v>1.7275300000000016</v>
          </cell>
          <cell r="Y25">
            <v>0.74036999999999864</v>
          </cell>
        </row>
        <row r="26">
          <cell r="H26">
            <v>406.77</v>
          </cell>
          <cell r="I26">
            <v>77.670000000000016</v>
          </cell>
          <cell r="J26">
            <v>11.6</v>
          </cell>
          <cell r="K26">
            <v>3.04</v>
          </cell>
          <cell r="L26">
            <v>0.14999999999999991</v>
          </cell>
          <cell r="M26">
            <v>3</v>
          </cell>
          <cell r="N26">
            <v>276.71786999999995</v>
          </cell>
          <cell r="O26">
            <v>149.00193000000002</v>
          </cell>
          <cell r="P26">
            <v>0</v>
          </cell>
          <cell r="Q26">
            <v>36.998238284352666</v>
          </cell>
          <cell r="R26">
            <v>108.16976171564735</v>
          </cell>
          <cell r="S26">
            <v>36.292000000000002</v>
          </cell>
          <cell r="T26">
            <v>239.53644000000003</v>
          </cell>
          <cell r="U26">
            <v>92.129400000000004</v>
          </cell>
          <cell r="V26">
            <v>37.224000000000004</v>
          </cell>
          <cell r="W26">
            <v>16.13</v>
          </cell>
          <cell r="X26">
            <v>5.2146900000000187</v>
          </cell>
          <cell r="Y26">
            <v>2.4356699999999023</v>
          </cell>
        </row>
        <row r="27">
          <cell r="H27">
            <v>103.91</v>
          </cell>
          <cell r="I27">
            <v>395.59999999999997</v>
          </cell>
          <cell r="J27">
            <v>0.2</v>
          </cell>
          <cell r="K27">
            <v>7.4</v>
          </cell>
          <cell r="L27">
            <v>5.0000000000000266E-2</v>
          </cell>
          <cell r="M27">
            <v>3.3</v>
          </cell>
          <cell r="N27">
            <v>38.2239</v>
          </cell>
          <cell r="O27">
            <v>38.2239</v>
          </cell>
          <cell r="P27">
            <v>69.052499999999995</v>
          </cell>
          <cell r="Q27">
            <v>0.01</v>
          </cell>
          <cell r="R27">
            <v>31.045000000000002</v>
          </cell>
          <cell r="S27">
            <v>31.055</v>
          </cell>
          <cell r="T27">
            <v>9.6109200000000001</v>
          </cell>
          <cell r="U27">
            <v>138.57129</v>
          </cell>
          <cell r="V27">
            <v>16.631</v>
          </cell>
          <cell r="W27">
            <v>10.950000000000001</v>
          </cell>
          <cell r="X27">
            <v>1.1806800000000095</v>
          </cell>
          <cell r="Y27">
            <v>1.7858099999999979</v>
          </cell>
        </row>
        <row r="28">
          <cell r="H28">
            <v>0</v>
          </cell>
          <cell r="I28">
            <v>48.93</v>
          </cell>
          <cell r="J28">
            <v>0.6</v>
          </cell>
          <cell r="K28">
            <v>10.48</v>
          </cell>
          <cell r="L28">
            <v>0.10000000000000009</v>
          </cell>
          <cell r="M28">
            <v>3.5</v>
          </cell>
          <cell r="N28">
            <v>108.66240000000002</v>
          </cell>
          <cell r="O28">
            <v>27.165599999999998</v>
          </cell>
          <cell r="P28">
            <v>120.11669999999999</v>
          </cell>
          <cell r="Q28">
            <v>0.39880000000000004</v>
          </cell>
          <cell r="R28">
            <v>19.5412</v>
          </cell>
          <cell r="S28">
            <v>19.940000000000001</v>
          </cell>
          <cell r="T28">
            <v>15.39054</v>
          </cell>
          <cell r="U28">
            <v>50.142509999999994</v>
          </cell>
          <cell r="V28">
            <v>7.3550000000000004</v>
          </cell>
          <cell r="W28">
            <v>2.81</v>
          </cell>
          <cell r="X28">
            <v>2.4663600000000088</v>
          </cell>
          <cell r="Y28">
            <v>0.78088999999999942</v>
          </cell>
        </row>
        <row r="29">
          <cell r="H29">
            <v>0</v>
          </cell>
          <cell r="I29">
            <v>16.948800000000002</v>
          </cell>
          <cell r="J29">
            <v>0.17120000000000002</v>
          </cell>
          <cell r="K29">
            <v>0</v>
          </cell>
          <cell r="L29">
            <v>0.57499999999999996</v>
          </cell>
          <cell r="M29">
            <v>0.57499999999999996</v>
          </cell>
          <cell r="N29">
            <v>2.5819199999999998</v>
          </cell>
          <cell r="O29">
            <v>10.327679999999999</v>
          </cell>
          <cell r="P29">
            <v>0</v>
          </cell>
          <cell r="Q29">
            <v>31.962000000000003</v>
          </cell>
          <cell r="R29">
            <v>11.415000000000001</v>
          </cell>
          <cell r="S29">
            <v>2.2829999999999999</v>
          </cell>
          <cell r="T29">
            <v>102.95900999999999</v>
          </cell>
          <cell r="U29">
            <v>36.77107500000001</v>
          </cell>
          <cell r="V29">
            <v>7.4284999999999988</v>
          </cell>
          <cell r="W29">
            <v>0</v>
          </cell>
          <cell r="X29">
            <v>1.0660699999999963</v>
          </cell>
          <cell r="Y29">
            <v>0.47574500000000342</v>
          </cell>
        </row>
        <row r="30">
          <cell r="H30">
            <v>0</v>
          </cell>
          <cell r="I30">
            <v>22.443299999999997</v>
          </cell>
          <cell r="J30">
            <v>0.22669999999999998</v>
          </cell>
          <cell r="K30">
            <v>0</v>
          </cell>
          <cell r="L30">
            <v>7.0000000000000007E-2</v>
          </cell>
          <cell r="M30">
            <v>7.0000000000000007E-2</v>
          </cell>
          <cell r="N30">
            <v>0</v>
          </cell>
          <cell r="O30">
            <v>0</v>
          </cell>
          <cell r="P30">
            <v>0</v>
          </cell>
          <cell r="Q30">
            <v>170.27500000000001</v>
          </cell>
          <cell r="R30">
            <v>60.812499999999993</v>
          </cell>
          <cell r="S30">
            <v>12.1625</v>
          </cell>
          <cell r="T30">
            <v>272.84102999999999</v>
          </cell>
          <cell r="U30">
            <v>97.443225000000012</v>
          </cell>
          <cell r="V30">
            <v>19.685500000000001</v>
          </cell>
          <cell r="W30">
            <v>0.01</v>
          </cell>
          <cell r="X30">
            <v>2.7559699999999339</v>
          </cell>
          <cell r="Y30">
            <v>0.98427499999999668</v>
          </cell>
        </row>
        <row r="31">
          <cell r="H31">
            <v>0</v>
          </cell>
          <cell r="I31">
            <v>97.524900000000002</v>
          </cell>
          <cell r="J31">
            <v>0.98510000000000009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4.274</v>
          </cell>
          <cell r="R31">
            <v>14.958999999999996</v>
          </cell>
          <cell r="S31">
            <v>2.137</v>
          </cell>
          <cell r="T31">
            <v>6.9913800000000004</v>
          </cell>
          <cell r="U31">
            <v>22.721985</v>
          </cell>
          <cell r="V31">
            <v>5.2965000000000009</v>
          </cell>
          <cell r="W31">
            <v>0</v>
          </cell>
          <cell r="X31">
            <v>7.0619999999999905E-2</v>
          </cell>
          <cell r="Y31">
            <v>0.22951500000000635</v>
          </cell>
        </row>
        <row r="32">
          <cell r="H32">
            <v>92.54</v>
          </cell>
          <cell r="I32">
            <v>63.37980000000001</v>
          </cell>
          <cell r="J32">
            <v>0.6402000000000001</v>
          </cell>
          <cell r="K32">
            <v>0.16</v>
          </cell>
          <cell r="L32">
            <v>0.20499999999999999</v>
          </cell>
          <cell r="M32">
            <v>0.20499999999999999</v>
          </cell>
          <cell r="N32">
            <v>32.606640000000006</v>
          </cell>
          <cell r="O32">
            <v>48.909959999999998</v>
          </cell>
          <cell r="P32">
            <v>71.428499999999985</v>
          </cell>
          <cell r="Q32">
            <v>0.86699999999999999</v>
          </cell>
          <cell r="R32">
            <v>1.3004999999999995</v>
          </cell>
          <cell r="S32">
            <v>6.5025000000000004</v>
          </cell>
          <cell r="T32">
            <v>61.882919999999999</v>
          </cell>
          <cell r="U32">
            <v>77.353649999999988</v>
          </cell>
          <cell r="V32">
            <v>15.627000000000001</v>
          </cell>
          <cell r="W32">
            <v>0.11000000000000001</v>
          </cell>
          <cell r="X32">
            <v>1.6759400000000255</v>
          </cell>
          <cell r="Y32">
            <v>1.2753900000000016</v>
          </cell>
        </row>
        <row r="33">
          <cell r="H33">
            <v>7.22</v>
          </cell>
          <cell r="I33">
            <v>193.02100000000002</v>
          </cell>
          <cell r="J33">
            <v>10.159000000000001</v>
          </cell>
          <cell r="K33">
            <v>2.8600000000000003</v>
          </cell>
          <cell r="L33">
            <v>0.20499999999999999</v>
          </cell>
          <cell r="M33">
            <v>0.20499999999999999</v>
          </cell>
          <cell r="N33">
            <v>5.5093500000000004</v>
          </cell>
          <cell r="O33">
            <v>16.52805</v>
          </cell>
          <cell r="P33">
            <v>0</v>
          </cell>
          <cell r="Q33">
            <v>41.107500000000002</v>
          </cell>
          <cell r="R33">
            <v>45.675000000000004</v>
          </cell>
          <cell r="S33">
            <v>4.5675000000000008</v>
          </cell>
          <cell r="T33">
            <v>41.346854999999998</v>
          </cell>
          <cell r="U33">
            <v>45.940950000000001</v>
          </cell>
          <cell r="V33">
            <v>4.6405000000000003</v>
          </cell>
          <cell r="W33">
            <v>8.5400000000000009</v>
          </cell>
          <cell r="X33">
            <v>0.47329499999999314</v>
          </cell>
          <cell r="Y33">
            <v>0.63100000000000023</v>
          </cell>
        </row>
        <row r="34">
          <cell r="H34">
            <v>0</v>
          </cell>
          <cell r="I34">
            <v>70.488</v>
          </cell>
          <cell r="J34">
            <v>0.71200000000000008</v>
          </cell>
          <cell r="K34">
            <v>1.02</v>
          </cell>
          <cell r="L34">
            <v>0.02</v>
          </cell>
          <cell r="M34">
            <v>0.02</v>
          </cell>
          <cell r="N34">
            <v>1.779525</v>
          </cell>
          <cell r="O34">
            <v>5.3385749999999987</v>
          </cell>
          <cell r="P34">
            <v>0</v>
          </cell>
          <cell r="Q34">
            <v>1.0024999999999999</v>
          </cell>
          <cell r="R34">
            <v>15.037499999999996</v>
          </cell>
          <cell r="S34">
            <v>4.01</v>
          </cell>
          <cell r="T34">
            <v>0.30046499999999998</v>
          </cell>
          <cell r="U34">
            <v>4.5069749999999997</v>
          </cell>
          <cell r="V34">
            <v>1.214</v>
          </cell>
          <cell r="W34">
            <v>0.51</v>
          </cell>
          <cell r="X34">
            <v>2.1009999999999973E-2</v>
          </cell>
          <cell r="Y34">
            <v>9.9450000000000927E-2</v>
          </cell>
        </row>
        <row r="35">
          <cell r="H35">
            <v>46.169999999999995</v>
          </cell>
          <cell r="I35">
            <v>172.49150000000003</v>
          </cell>
          <cell r="J35">
            <v>9.0785000000000018</v>
          </cell>
          <cell r="K35">
            <v>10.220000000000001</v>
          </cell>
          <cell r="L35">
            <v>0.27</v>
          </cell>
          <cell r="M35">
            <v>0.27</v>
          </cell>
          <cell r="N35">
            <v>201.71843999999993</v>
          </cell>
          <cell r="O35">
            <v>86.450759999999988</v>
          </cell>
          <cell r="P35">
            <v>35.907299999999992</v>
          </cell>
          <cell r="Q35">
            <v>5.4594999999999994</v>
          </cell>
          <cell r="R35">
            <v>76.432999999999979</v>
          </cell>
          <cell r="S35">
            <v>27.297499999999996</v>
          </cell>
          <cell r="T35">
            <v>296.49312000000003</v>
          </cell>
          <cell r="U35">
            <v>105.89039999999999</v>
          </cell>
          <cell r="V35">
            <v>21.392000000000003</v>
          </cell>
          <cell r="W35">
            <v>4.8699999999999992</v>
          </cell>
          <cell r="X35">
            <v>5.3951399999999694</v>
          </cell>
          <cell r="Y35">
            <v>1.9428399999999897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/>
      <sheetData sheetId="16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../../../../ob/IER/PROJEKTE/KLIMOPASS/2013-03%20Data/Hydropower%20economics4.pdf" TargetMode="External"/><Relationship Id="rId7" Type="http://schemas.openxmlformats.org/officeDocument/2006/relationships/printerSettings" Target="../printerSettings/printerSettings8.bin"/><Relationship Id="rId2" Type="http://schemas.openxmlformats.org/officeDocument/2006/relationships/hyperlink" Target="../../../../ob/IER/PROJEKTE/KLIMOPASS/2013-03%20Data/Hydropower%20economics4.xlsx" TargetMode="External"/><Relationship Id="rId1" Type="http://schemas.openxmlformats.org/officeDocument/2006/relationships/hyperlink" Target="../../../../ob/IER/PROJEKTE/KLIMOPASS/2013-03%20Data/IEA/IEA%20Electricity%20Information%202009.pdf" TargetMode="External"/><Relationship Id="rId6" Type="http://schemas.openxmlformats.org/officeDocument/2006/relationships/hyperlink" Target="http://en.wikipedia.org/wiki/List_of_pumped-storage_hydroelectric_power_stations" TargetMode="External"/><Relationship Id="rId5" Type="http://schemas.openxmlformats.org/officeDocument/2006/relationships/hyperlink" Target="../../../../ob/IER/PROJEKTE/KLIMOPASS/2013-03%20Data/ENTSO-E/Statistical_Yearbook_2007.pdf" TargetMode="External"/><Relationship Id="rId4" Type="http://schemas.openxmlformats.org/officeDocument/2006/relationships/hyperlink" Target="../../../../ob/IER/PROJEKTE/KLIMOPASS/2013-03%20Data/EURelectric/EURelectric%20(2010)%20-%20PowerStatistics2010_fullreport.pdf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../../../../ob/IER/PROJEKTE/KLIMOPASS/2013-03%20Data/Hydropower%20economics4.pdf" TargetMode="External"/><Relationship Id="rId7" Type="http://schemas.openxmlformats.org/officeDocument/2006/relationships/printerSettings" Target="../printerSettings/printerSettings9.bin"/><Relationship Id="rId2" Type="http://schemas.openxmlformats.org/officeDocument/2006/relationships/hyperlink" Target="../../../../ob/IER/PROJEKTE/KLIMOPASS/2013-03%20Data/Hydropower%20economics4.xlsx" TargetMode="External"/><Relationship Id="rId1" Type="http://schemas.openxmlformats.org/officeDocument/2006/relationships/hyperlink" Target="../../../../ob/IER/PROJEKTE/KLIMOPASS/2013-03%20Data/IEA/IEA%20Electricity%20Information%202009.pdf" TargetMode="External"/><Relationship Id="rId6" Type="http://schemas.openxmlformats.org/officeDocument/2006/relationships/hyperlink" Target="http://en.wikipedia.org/wiki/List_of_pumped-storage_hydroelectric_power_stations" TargetMode="External"/><Relationship Id="rId5" Type="http://schemas.openxmlformats.org/officeDocument/2006/relationships/hyperlink" Target="../../../../ob/IER/PROJEKTE/KLIMOPASS/2013-03%20Data/ENTSO-E/Statistical_Yearbook_2007.pdf" TargetMode="External"/><Relationship Id="rId4" Type="http://schemas.openxmlformats.org/officeDocument/2006/relationships/hyperlink" Target="../../../../ob/IER/PROJEKTE/KLIMOPASS/2013-03%20Data/EURelectric/EURelectric%20(2010)%20-%20PowerStatistics2010_fullreport.pdf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../../../../ob/IER/PROJEKTE/KLIMOPASS/2013-03%20Data/IEA/IEA%20Electricity%20Information%202009.pdf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../../../../ob/IER/PROJEKTE/KLIMOPASS/2013-03%20Data/IEA/IEA%20Electricity%20Information%202009.pdf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../../../../ob/IER/PROJEKTE/KLIMOPASS/2013-03%20Data/IEA/IEA%20Electricity%20Information%202009.pdf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../../../../ob/IER/PROJEKTE/KLIMOPASS/2013-03%20Data/IEA/IEA%20Electricity%20Information%202009.pdf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../../../../ob/IER/PROJEKTE/KLIMOPASS/2013-03%20Data/IEA/IEA%20Electricity%20Information%202009.pdf" TargetMode="Externa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../../../../ob/IER/PROJEKTE/KLIMOPASS/2013-03%20Data/IEA/IEA%20Electricity%20Information%202009.pdf" TargetMode="Externa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../../../../ob/IER/PROJEKTE/KLIMOPASS/2013-03%20Data/IEA/IEA%20Electricity%20Information%202009.pdf" TargetMode="Externa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../../../../ob/IER/PROJEKTE/KLIMOPASS/2013-03%20Data/IEA/IEA%20Electricity%20Information%202009.pdf" TargetMode="Externa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../../../../ob/IER/PROJEKTE/KLIMOPASS/2013-03%20Data/IEA/IEA%20Electricity%20Information%202009.pdf" TargetMode="Externa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9.bin"/><Relationship Id="rId1" Type="http://schemas.openxmlformats.org/officeDocument/2006/relationships/hyperlink" Target="../../../../ob/IER/PROJEKTE/KLIMOPASS/2013-03%20Data/IEA/IEA%20Electricity%20Information%202009.pdf" TargetMode="Externa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0.bin"/><Relationship Id="rId1" Type="http://schemas.openxmlformats.org/officeDocument/2006/relationships/hyperlink" Target="../../../../ob/IER/PROJEKTE/KLIMOPASS/2013-03%20Data/IEA/IEA%20Electricity%20Information%202009.pdf" TargetMode="Externa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1.bin"/><Relationship Id="rId1" Type="http://schemas.openxmlformats.org/officeDocument/2006/relationships/hyperlink" Target="../../../../ob/IER/PROJEKTE/KLIMOPASS/2013-03%20Data/IEA/IEA%20Electricity%20Information%202009.pdf" TargetMode="Externa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2.bin"/><Relationship Id="rId1" Type="http://schemas.openxmlformats.org/officeDocument/2006/relationships/hyperlink" Target="../../../../ob/IER/PROJEKTE/KLIMOPASS/2013-03%20Data/IEA/IEA%20Electricity%20Information%202009.pdf" TargetMode="Externa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3.bin"/><Relationship Id="rId1" Type="http://schemas.openxmlformats.org/officeDocument/2006/relationships/hyperlink" Target="../../../../ob/IER/PROJEKTE/KLIMOPASS/2013-03%20Data/IEA/IEA%20Electricity%20Information%202009.pdf" TargetMode="Externa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4.bin"/><Relationship Id="rId1" Type="http://schemas.openxmlformats.org/officeDocument/2006/relationships/hyperlink" Target="../../../../ob/IER/PROJEKTE/KLIMOPASS/2013-03%20Data/IEA/IEA%20Electricity%20Information%202009.pdf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../../../../ob/IER/PROJEKTE/KLIMOPASS/2013-03%20Data/IEA/IEA%20Electricity%20Information%202009.pdf" TargetMode="Externa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hyperlink" Target="../../../../ob/IER/PROJEKTE/KLIMOPASS/2013-03%20Data/IEA/IEA%20Electricity%20Information%202009.pdf" TargetMode="Externa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hyperlink" Target="../../../../ob/IER/PROJEKTE/KLIMOPASS/2013-03%20Data/IEA/IEA%20Electricity%20Information%202009.pdf" TargetMode="Externa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hyperlink" Target="../../../../ob/IER/PROJEKTE/KLIMOPASS/2013-03%20Data/IEA/IEA%20Electricity%20Information%202009.pdf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../../../../ob/IER/PROJEKTE/KLIMOPASS/2013-03%20Data/ENTSO-E/Statistical_Yearbook_2007.pdf" TargetMode="External"/><Relationship Id="rId13" Type="http://schemas.openxmlformats.org/officeDocument/2006/relationships/hyperlink" Target="../../../../ob/IER/PROJEKTE/KLIMOPASS/2013-03%20Data/ENTSO-E/Statistical_Yearbook_2007.pdf" TargetMode="External"/><Relationship Id="rId18" Type="http://schemas.openxmlformats.org/officeDocument/2006/relationships/hyperlink" Target="../../../../ob/IER/PROJEKTE/KLIMOPASS/2013-03%20Data/ENTSO-E/Statistical_Yearbook_2007.pdf" TargetMode="External"/><Relationship Id="rId26" Type="http://schemas.openxmlformats.org/officeDocument/2006/relationships/hyperlink" Target="../../../../ob/IER/PROJEKTE/KLIMOPASS/2013-03%20Data/ENTSO-E/Statistical_Yearbook_2007.pdf" TargetMode="External"/><Relationship Id="rId3" Type="http://schemas.openxmlformats.org/officeDocument/2006/relationships/hyperlink" Target="../../../../ob/IER/PROJEKTE/KLIMOPASS/2013-03%20Data/ENTSO-E/Statistical_Yearbook_2007.pdf" TargetMode="External"/><Relationship Id="rId21" Type="http://schemas.openxmlformats.org/officeDocument/2006/relationships/hyperlink" Target="../../../../ob/IER/PROJEKTE/KLIMOPASS/2013-03%20Data/ENTSO-E/Statistical_Yearbook_2007.pdf" TargetMode="External"/><Relationship Id="rId7" Type="http://schemas.openxmlformats.org/officeDocument/2006/relationships/hyperlink" Target="../../../../ob/IER/PROJEKTE/KLIMOPASS/2013-03%20Data/ENTSO-E/Statistical_Yearbook_2007.pdf" TargetMode="External"/><Relationship Id="rId12" Type="http://schemas.openxmlformats.org/officeDocument/2006/relationships/hyperlink" Target="../../../../ob/IER/PROJEKTE/KLIMOPASS/2013-03%20Data/ENTSO-E/Statistical_Yearbook_2007.pdf" TargetMode="External"/><Relationship Id="rId17" Type="http://schemas.openxmlformats.org/officeDocument/2006/relationships/hyperlink" Target="../../../../ob/IER/PROJEKTE/KLIMOPASS/2013-03%20Data/ENTSO-E/Statistical_Yearbook_2007.pdf" TargetMode="External"/><Relationship Id="rId25" Type="http://schemas.openxmlformats.org/officeDocument/2006/relationships/hyperlink" Target="../../../../ob/IER/PROJEKTE/KLIMOPASS/2013-03%20Data/ENTSO-E/Statistical_Yearbook_2007.pdf" TargetMode="External"/><Relationship Id="rId2" Type="http://schemas.openxmlformats.org/officeDocument/2006/relationships/hyperlink" Target="../../../../ob/IER/PROJEKTE/KLIMOPASS/2013-03%20Data/EURelectric/EURelectric%20(2010)%20-%20PowerStatistics2010_fullreport.pdf" TargetMode="External"/><Relationship Id="rId16" Type="http://schemas.openxmlformats.org/officeDocument/2006/relationships/hyperlink" Target="../../../../ob/IER/PROJEKTE/KLIMOPASS/2013-03%20Data/ENTSO-E/Statistical_Yearbook_2007.pdf" TargetMode="External"/><Relationship Id="rId20" Type="http://schemas.openxmlformats.org/officeDocument/2006/relationships/hyperlink" Target="../../../../ob/IER/PROJEKTE/KLIMOPASS/2013-03%20Data/ENTSO-E/Statistical_Yearbook_2007.pdf" TargetMode="External"/><Relationship Id="rId29" Type="http://schemas.openxmlformats.org/officeDocument/2006/relationships/hyperlink" Target="../../../../ob/IER/PROJEKTE/KLIMOPASS/2013-03%20Data/ENTSO-E/Statistical_Yearbook_2007.pdf" TargetMode="External"/><Relationship Id="rId1" Type="http://schemas.openxmlformats.org/officeDocument/2006/relationships/hyperlink" Target="../../../../ob/IER/PROJEKTE/KLIMOPASS/2013-03%20Data/EURelectric/EURelectric%20(2010)%20-%20PowerStatistics2010_fullreport.pdf" TargetMode="External"/><Relationship Id="rId6" Type="http://schemas.openxmlformats.org/officeDocument/2006/relationships/hyperlink" Target="../../../../ob/IER/PROJEKTE/KLIMOPASS/2013-03%20Data/EURelectric/EURelectric%20(2010)%20-%20PowerStatistics2010_fullreport.pdf" TargetMode="External"/><Relationship Id="rId11" Type="http://schemas.openxmlformats.org/officeDocument/2006/relationships/hyperlink" Target="../../../../ob/IER/PROJEKTE/KLIMOPASS/2013-03%20Data/ENTSO-E/Statistical_Yearbook_2007.pdf" TargetMode="External"/><Relationship Id="rId24" Type="http://schemas.openxmlformats.org/officeDocument/2006/relationships/hyperlink" Target="../../../../ob/IER/PROJEKTE/KLIMOPASS/2013-03%20Data/ENTSO-E/Statistical_Yearbook_2007.pdf" TargetMode="External"/><Relationship Id="rId5" Type="http://schemas.openxmlformats.org/officeDocument/2006/relationships/hyperlink" Target="../../../../ob/IER/PROJEKTE/KLIMOPASS/2013-03%20Data/IEA/IEA%20Electricity%20Information%202009.pdf" TargetMode="External"/><Relationship Id="rId15" Type="http://schemas.openxmlformats.org/officeDocument/2006/relationships/hyperlink" Target="../../../../ob/IER/PROJEKTE/KLIMOPASS/2013-03%20Data/ENTSO-E/Statistical_Yearbook_2007.pdf" TargetMode="External"/><Relationship Id="rId23" Type="http://schemas.openxmlformats.org/officeDocument/2006/relationships/hyperlink" Target="../../../../ob/IER/PROJEKTE/KLIMOPASS/2013-03%20Data/ENTSO-E/Statistical_Yearbook_2007.pdf" TargetMode="External"/><Relationship Id="rId28" Type="http://schemas.openxmlformats.org/officeDocument/2006/relationships/hyperlink" Target="../../../../ob/IER/PROJEKTE/KLIMOPASS/2013-03%20Data/ENTSO-E/Statistical_Yearbook_2007.pdf" TargetMode="External"/><Relationship Id="rId10" Type="http://schemas.openxmlformats.org/officeDocument/2006/relationships/hyperlink" Target="../../../../ob/IER/PROJEKTE/KLIMOPASS/2013-03%20Data/ENTSO-E/Statistical_Yearbook_2007.pdf" TargetMode="External"/><Relationship Id="rId19" Type="http://schemas.openxmlformats.org/officeDocument/2006/relationships/hyperlink" Target="../../../../ob/IER/PROJEKTE/KLIMOPASS/2013-03%20Data/ENTSO-E/Statistical_Yearbook_2007.pdf" TargetMode="External"/><Relationship Id="rId4" Type="http://schemas.openxmlformats.org/officeDocument/2006/relationships/hyperlink" Target="../../../../ob/IER/PROJEKTE/KLIMOPASS/2013-03%20Data/IEA%20Electricity%20Information%202009.pdf" TargetMode="External"/><Relationship Id="rId9" Type="http://schemas.openxmlformats.org/officeDocument/2006/relationships/hyperlink" Target="../../../../ob/IER/PROJEKTE/KLIMOPASS/2013-03%20Data/ENTSO-E/Statistical_Yearbook_2007.pdf" TargetMode="External"/><Relationship Id="rId14" Type="http://schemas.openxmlformats.org/officeDocument/2006/relationships/hyperlink" Target="../../../../ob/IER/PROJEKTE/KLIMOPASS/2013-03%20Data/ENTSO-E/Statistical_Yearbook_2007.pdf" TargetMode="External"/><Relationship Id="rId22" Type="http://schemas.openxmlformats.org/officeDocument/2006/relationships/hyperlink" Target="../../../../ob/IER/PROJEKTE/KLIMOPASS/2013-03%20Data/ENTSO-E/Statistical_Yearbook_2007.pdf" TargetMode="External"/><Relationship Id="rId27" Type="http://schemas.openxmlformats.org/officeDocument/2006/relationships/hyperlink" Target="../../../../ob/IER/PROJEKTE/KLIMOPASS/2013-03%20Data/ENTSO-E/Statistical_Yearbook_2007.pdf" TargetMode="External"/><Relationship Id="rId30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../../../../ob/IER/PROJEKTE/KLIMOPASS/2013-03%20Data/IEA/IEA%20Electricity%20Information%202009.pdf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../../../../ob/IER/PROJEKTE/KLIMOPASS/2013-03%20Data/IEA/IEA%20Electricity%20Information%202009.pdf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../../../../ob/IER/PROJEKTE/KLIMOPASS/2013-03%20Data/Hydropower%20economics4.pdf" TargetMode="External"/><Relationship Id="rId7" Type="http://schemas.openxmlformats.org/officeDocument/2006/relationships/printerSettings" Target="../printerSettings/printerSettings5.bin"/><Relationship Id="rId2" Type="http://schemas.openxmlformats.org/officeDocument/2006/relationships/hyperlink" Target="../../../../ob/IER/PROJEKTE/KLIMOPASS/2013-03%20Data/Hydropower%20economics4.xlsx" TargetMode="External"/><Relationship Id="rId1" Type="http://schemas.openxmlformats.org/officeDocument/2006/relationships/hyperlink" Target="../../../../ob/IER/PROJEKTE/KLIMOPASS/2013-03%20Data/IEA/IEA%20Electricity%20Information%202009.pdf" TargetMode="External"/><Relationship Id="rId6" Type="http://schemas.openxmlformats.org/officeDocument/2006/relationships/hyperlink" Target="http://en.wikipedia.org/wiki/List_of_pumped-storage_hydroelectric_power_stations" TargetMode="External"/><Relationship Id="rId5" Type="http://schemas.openxmlformats.org/officeDocument/2006/relationships/hyperlink" Target="../../../../ob/IER/PROJEKTE/KLIMOPASS/2013-03%20Data/ENTSO-E/Statistical_Yearbook_2007.pdf" TargetMode="External"/><Relationship Id="rId4" Type="http://schemas.openxmlformats.org/officeDocument/2006/relationships/hyperlink" Target="../../../../ob/IER/PROJEKTE/KLIMOPASS/2013-03%20Data/EURelectric/EURelectric%20(2010)%20-%20PowerStatistics2010_fullreport.pdf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../../../../ob/IER/PROJEKTE/KLIMOPASS/2013-03%20Data/Hydropower%20economics4.pdf" TargetMode="External"/><Relationship Id="rId7" Type="http://schemas.openxmlformats.org/officeDocument/2006/relationships/printerSettings" Target="../printerSettings/printerSettings6.bin"/><Relationship Id="rId2" Type="http://schemas.openxmlformats.org/officeDocument/2006/relationships/hyperlink" Target="../../../../ob/IER/PROJEKTE/KLIMOPASS/2013-03%20Data/Hydropower%20economics4.xlsx" TargetMode="External"/><Relationship Id="rId1" Type="http://schemas.openxmlformats.org/officeDocument/2006/relationships/hyperlink" Target="../../../../ob/IER/PROJEKTE/KLIMOPASS/2013-03%20Data/IEA/IEA%20Electricity%20Information%202009.pdf" TargetMode="External"/><Relationship Id="rId6" Type="http://schemas.openxmlformats.org/officeDocument/2006/relationships/hyperlink" Target="http://en.wikipedia.org/wiki/List_of_pumped-storage_hydroelectric_power_stations" TargetMode="External"/><Relationship Id="rId5" Type="http://schemas.openxmlformats.org/officeDocument/2006/relationships/hyperlink" Target="../../../../ob/IER/PROJEKTE/KLIMOPASS/2013-03%20Data/ENTSO-E/Statistical_Yearbook_2007.pdf" TargetMode="External"/><Relationship Id="rId4" Type="http://schemas.openxmlformats.org/officeDocument/2006/relationships/hyperlink" Target="../../../../ob/IER/PROJEKTE/KLIMOPASS/2013-03%20Data/EURelectric/EURelectric%20(2010)%20-%20PowerStatistics2010_fullreport.pdf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../../../../ob/IER/PROJEKTE/KLIMOPASS/2013-03%20Data/Hydropower%20economics4.pdf" TargetMode="External"/><Relationship Id="rId7" Type="http://schemas.openxmlformats.org/officeDocument/2006/relationships/printerSettings" Target="../printerSettings/printerSettings7.bin"/><Relationship Id="rId2" Type="http://schemas.openxmlformats.org/officeDocument/2006/relationships/hyperlink" Target="../../../../ob/IER/PROJEKTE/KLIMOPASS/2013-03%20Data/Hydropower%20economics4.xlsx" TargetMode="External"/><Relationship Id="rId1" Type="http://schemas.openxmlformats.org/officeDocument/2006/relationships/hyperlink" Target="../../../../ob/IER/PROJEKTE/KLIMOPASS/2013-03%20Data/IEA/IEA%20Electricity%20Information%202009.pdf" TargetMode="External"/><Relationship Id="rId6" Type="http://schemas.openxmlformats.org/officeDocument/2006/relationships/hyperlink" Target="http://en.wikipedia.org/wiki/List_of_pumped-storage_hydroelectric_power_stations" TargetMode="External"/><Relationship Id="rId5" Type="http://schemas.openxmlformats.org/officeDocument/2006/relationships/hyperlink" Target="../../../../ob/IER/PROJEKTE/KLIMOPASS/2013-03%20Data/ENTSO-E/Statistical_Yearbook_2007.pdf" TargetMode="External"/><Relationship Id="rId4" Type="http://schemas.openxmlformats.org/officeDocument/2006/relationships/hyperlink" Target="../../../../ob/IER/PROJEKTE/KLIMOPASS/2013-03%20Data/EURelectric/EURelectric%20(2010)%20-%20PowerStatistics2010_fullreport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7" workbookViewId="0">
      <selection activeCell="S18" sqref="S18"/>
    </sheetView>
  </sheetViews>
  <sheetFormatPr baseColWidth="10" defaultRowHeight="15" x14ac:dyDescent="0.25"/>
  <cols>
    <col min="9" max="9" width="8" customWidth="1"/>
  </cols>
  <sheetData/>
  <pageMargins left="0.7" right="0.7" top="0.78740157499999996" bottom="0.78740157499999996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3"/>
  <sheetViews>
    <sheetView tabSelected="1" workbookViewId="0">
      <selection activeCell="R33" sqref="R33"/>
    </sheetView>
  </sheetViews>
  <sheetFormatPr baseColWidth="10" defaultRowHeight="15" x14ac:dyDescent="0.25"/>
  <cols>
    <col min="1" max="1" width="11.42578125" style="1"/>
    <col min="2" max="19" width="8.85546875" style="57" customWidth="1"/>
    <col min="20" max="20" width="11.42578125" style="306"/>
    <col min="21" max="21" width="11.42578125" style="320"/>
  </cols>
  <sheetData>
    <row r="1" spans="1:27" s="304" customFormat="1" ht="35.25" customHeight="1" thickBot="1" x14ac:dyDescent="0.3">
      <c r="A1" s="303" t="s">
        <v>419</v>
      </c>
      <c r="B1" s="305"/>
      <c r="C1" s="305"/>
      <c r="D1" s="305"/>
      <c r="E1" s="501"/>
      <c r="F1" s="305"/>
      <c r="G1" s="305"/>
      <c r="H1" s="305"/>
      <c r="I1" s="380" t="s">
        <v>418</v>
      </c>
      <c r="J1" s="349"/>
      <c r="K1" s="422"/>
      <c r="L1" s="422"/>
      <c r="M1" s="422"/>
      <c r="N1" s="305"/>
      <c r="O1" s="305"/>
      <c r="P1" s="305"/>
      <c r="Q1" s="305"/>
      <c r="R1" s="305"/>
      <c r="S1" s="305"/>
      <c r="T1" s="307"/>
      <c r="U1" s="319"/>
      <c r="W1" s="581"/>
      <c r="X1" s="581"/>
      <c r="Y1" s="581"/>
      <c r="Z1" s="581"/>
      <c r="AA1" s="581"/>
    </row>
    <row r="2" spans="1:27" s="1" customFormat="1" ht="15.75" thickBot="1" x14ac:dyDescent="0.3">
      <c r="A2" s="316"/>
      <c r="B2" s="577" t="str">
        <f>NEWAGE_CCS!H9</f>
        <v>bNUC</v>
      </c>
      <c r="C2" s="577" t="str">
        <f>NEWAGE_CCS!I9</f>
        <v>bHYDRO</v>
      </c>
      <c r="D2" s="577" t="str">
        <f>NEWAGE_CCS!J9</f>
        <v xml:space="preserve"> pHYDRO</v>
      </c>
      <c r="E2" s="577" t="str">
        <f>NEWAGE_CCS!K9</f>
        <v>bGEO</v>
      </c>
      <c r="F2" s="577" t="str">
        <f>NEWAGE_CCS!L9</f>
        <v>mSOLAR</v>
      </c>
      <c r="G2" s="577" t="str">
        <f>NEWAGE_CCS!M9</f>
        <v>mWIND</v>
      </c>
      <c r="H2" s="577" t="str">
        <f>NEWAGE_CCS!N9</f>
        <v>bHC</v>
      </c>
      <c r="I2" s="577" t="str">
        <f>NEWAGE_CCS!O9</f>
        <v>mHC</v>
      </c>
      <c r="J2" s="577" t="str">
        <f>NEWAGE_CCS!P9</f>
        <v>bBC</v>
      </c>
      <c r="K2" s="577" t="str">
        <f>NEWAGE_CCS!Q9</f>
        <v>bOIL</v>
      </c>
      <c r="L2" s="577" t="str">
        <f>NEWAGE_CCS!R9</f>
        <v>mOIL</v>
      </c>
      <c r="M2" s="577" t="str">
        <f>NEWAGE_CCS!S9</f>
        <v>pOIL</v>
      </c>
      <c r="N2" s="577" t="str">
        <f>NEWAGE_CCS!T9</f>
        <v>bGAS</v>
      </c>
      <c r="O2" s="577" t="str">
        <f>NEWAGE_CCS!U9</f>
        <v>mGAS</v>
      </c>
      <c r="P2" s="577" t="str">
        <f>NEWAGE_CCS!V9</f>
        <v>pGAS</v>
      </c>
      <c r="Q2" s="577" t="str">
        <f>NEWAGE_CCS!W9</f>
        <v>bBIO</v>
      </c>
      <c r="R2" s="577" t="str">
        <f>NEWAGE_CCS!X9</f>
        <v>bCCS</v>
      </c>
      <c r="S2" s="577" t="str">
        <f>NEWAGE_CCS!Y9</f>
        <v>mCCS</v>
      </c>
      <c r="T2" s="551" t="s">
        <v>331</v>
      </c>
      <c r="U2" s="318"/>
      <c r="W2" s="828"/>
      <c r="X2" s="828"/>
      <c r="Y2" s="828"/>
      <c r="Z2" s="828"/>
      <c r="AA2" s="828"/>
    </row>
    <row r="3" spans="1:27" x14ac:dyDescent="0.25">
      <c r="A3" s="283" t="s">
        <v>238</v>
      </c>
      <c r="B3" s="717">
        <f>NEWAGE_CCS!H10</f>
        <v>140.53</v>
      </c>
      <c r="C3" s="572">
        <f>NEWAGE_CCS!I10</f>
        <v>20.86</v>
      </c>
      <c r="D3" s="573">
        <f>NEWAGE_CCS!J10</f>
        <v>7.6</v>
      </c>
      <c r="E3" s="573">
        <f>NEWAGE_CCS!K10</f>
        <v>0</v>
      </c>
      <c r="F3" s="572">
        <f>NEWAGE_CCS!L10</f>
        <v>3.0899999999999963</v>
      </c>
      <c r="G3" s="573">
        <f>NEWAGE_CCS!M10</f>
        <v>39.700000000000003</v>
      </c>
      <c r="H3" s="572">
        <f>NEWAGE_CCS!N10</f>
        <v>24.45102</v>
      </c>
      <c r="I3" s="573">
        <f>NEWAGE_CCS!O10</f>
        <v>106.49628</v>
      </c>
      <c r="J3" s="573">
        <f>NEWAGE_CCS!P10</f>
        <v>165.83489999999998</v>
      </c>
      <c r="K3" s="572">
        <f>NEWAGE_CCS!Q10</f>
        <v>5.25</v>
      </c>
      <c r="L3" s="572">
        <f>NEWAGE_CCS!R10</f>
        <v>0</v>
      </c>
      <c r="M3" s="573">
        <f>NEWAGE_CCS!S10</f>
        <v>5.83</v>
      </c>
      <c r="N3" s="572">
        <f>NEWAGE_CCS!T10</f>
        <v>49.24953</v>
      </c>
      <c r="O3" s="572">
        <f>NEWAGE_CCS!U10</f>
        <v>4.8861449999999973</v>
      </c>
      <c r="P3" s="573">
        <f>NEWAGE_CCS!V10</f>
        <v>18.227499999999999</v>
      </c>
      <c r="Q3" s="573">
        <f>NEWAGE_CCS!W10</f>
        <v>21.82</v>
      </c>
      <c r="R3" s="572">
        <f>NEWAGE_CCS!X10</f>
        <v>2.4195500000000152</v>
      </c>
      <c r="S3" s="576">
        <f>NEWAGE_CCS!Y10</f>
        <v>1.1250749999999954</v>
      </c>
      <c r="T3" s="718">
        <f>SUM(B3:S3)</f>
        <v>617.37</v>
      </c>
      <c r="U3" s="320" t="str">
        <f>IF(T3=SUM(NEWAGE_CCS!H10:Y10),"ok","error")</f>
        <v>ok</v>
      </c>
      <c r="W3" s="829"/>
      <c r="X3" s="829"/>
      <c r="Y3" s="829"/>
      <c r="Z3" s="829"/>
      <c r="AA3" s="829"/>
    </row>
    <row r="4" spans="1:27" x14ac:dyDescent="0.25">
      <c r="A4" s="284" t="s">
        <v>249</v>
      </c>
      <c r="B4" s="578">
        <f>NEWAGE_CCS!H11</f>
        <v>439.73</v>
      </c>
      <c r="C4" s="308">
        <f>NEWAGE_CCS!I11</f>
        <v>58.16</v>
      </c>
      <c r="D4" s="574">
        <f>NEWAGE_CCS!J11</f>
        <v>5.5</v>
      </c>
      <c r="E4" s="574">
        <f>NEWAGE_CCS!K11</f>
        <v>0</v>
      </c>
      <c r="F4" s="308">
        <f>NEWAGE_CCS!L11</f>
        <v>0.49000000000000021</v>
      </c>
      <c r="G4" s="574">
        <f>NEWAGE_CCS!M11</f>
        <v>4.0999999999999996</v>
      </c>
      <c r="H4" s="308">
        <f>NEWAGE_CCS!N11</f>
        <v>0</v>
      </c>
      <c r="I4" s="574">
        <f>NEWAGE_CCS!O11</f>
        <v>24.205500000000001</v>
      </c>
      <c r="J4" s="574">
        <f>NEWAGE_CCS!P11</f>
        <v>0</v>
      </c>
      <c r="K4" s="308">
        <f>NEWAGE_CCS!Q11</f>
        <v>0</v>
      </c>
      <c r="L4" s="308">
        <f>NEWAGE_CCS!R11</f>
        <v>0</v>
      </c>
      <c r="M4" s="574">
        <f>NEWAGE_CCS!S11</f>
        <v>6.16</v>
      </c>
      <c r="N4" s="308">
        <f>NEWAGE_CCS!T11</f>
        <v>0</v>
      </c>
      <c r="O4" s="308">
        <f>NEWAGE_CCS!U11</f>
        <v>5.4425250000000025</v>
      </c>
      <c r="P4" s="574">
        <f>NEWAGE_CCS!V11</f>
        <v>16.492499999999996</v>
      </c>
      <c r="Q4" s="574">
        <f>NEWAGE_CCS!W11</f>
        <v>2.0100000000000002</v>
      </c>
      <c r="R4" s="308">
        <f>NEWAGE_CCS!X11</f>
        <v>0</v>
      </c>
      <c r="S4" s="309">
        <f>NEWAGE_CCS!Y11</f>
        <v>0.29947499999999749</v>
      </c>
      <c r="T4" s="314">
        <f t="shared" ref="T4:T20" si="0">SUM(B4:S4)</f>
        <v>562.59</v>
      </c>
      <c r="U4" s="320" t="str">
        <f>IF(T4=SUM(NEWAGE_CCS!H11:Y11),"ok","error")</f>
        <v>ok</v>
      </c>
      <c r="W4" s="828"/>
      <c r="X4" s="828"/>
      <c r="Y4" s="828"/>
      <c r="Z4" s="828"/>
      <c r="AA4" s="828"/>
    </row>
    <row r="5" spans="1:27" x14ac:dyDescent="0.25">
      <c r="A5" s="285" t="s">
        <v>229</v>
      </c>
      <c r="B5" s="578">
        <f>NEWAGE_CCS!H12</f>
        <v>0</v>
      </c>
      <c r="C5" s="308">
        <f>NEWAGE_CCS!I12</f>
        <v>35.99</v>
      </c>
      <c r="D5" s="574">
        <f>NEWAGE_CCS!J12</f>
        <v>2.5</v>
      </c>
      <c r="E5" s="574">
        <f>NEWAGE_CCS!K12</f>
        <v>0</v>
      </c>
      <c r="F5" s="308">
        <f>NEWAGE_CCS!L12</f>
        <v>4.9999999999999822E-2</v>
      </c>
      <c r="G5" s="574">
        <f>NEWAGE_CCS!M12</f>
        <v>2</v>
      </c>
      <c r="H5" s="308">
        <f>NEWAGE_CCS!N12</f>
        <v>0.31125600000000003</v>
      </c>
      <c r="I5" s="574">
        <f>NEWAGE_CCS!O12</f>
        <v>5.8861439999999998</v>
      </c>
      <c r="J5" s="574">
        <f>NEWAGE_CCS!P12</f>
        <v>0</v>
      </c>
      <c r="K5" s="308">
        <f>NEWAGE_CCS!Q12</f>
        <v>0.68640000000000001</v>
      </c>
      <c r="L5" s="308">
        <f>NEWAGE_CCS!R12</f>
        <v>0</v>
      </c>
      <c r="M5" s="574">
        <f>NEWAGE_CCS!S12</f>
        <v>0.59360000000000002</v>
      </c>
      <c r="N5" s="308">
        <f>NEWAGE_CCS!T12</f>
        <v>5.6239920000000003</v>
      </c>
      <c r="O5" s="308">
        <f>NEWAGE_CCS!U12</f>
        <v>4.0495949999999992</v>
      </c>
      <c r="P5" s="574">
        <f>NEWAGE_CCS!V12</f>
        <v>9.8699999999999996E-2</v>
      </c>
      <c r="Q5" s="574">
        <f>NEWAGE_CCS!W12</f>
        <v>3.3400000000000003</v>
      </c>
      <c r="R5" s="308">
        <f>NEWAGE_CCS!X12</f>
        <v>5.9952000000000005E-2</v>
      </c>
      <c r="S5" s="309">
        <f>NEWAGE_CCS!Y12</f>
        <v>0.10036100000000125</v>
      </c>
      <c r="T5" s="314">
        <f t="shared" si="0"/>
        <v>61.290000000000006</v>
      </c>
      <c r="U5" s="320" t="str">
        <f>IF(T5=SUM(NEWAGE_CCS!H12:Y12),"ok","error")</f>
        <v>ok</v>
      </c>
      <c r="W5" s="582"/>
      <c r="X5" s="378"/>
      <c r="Y5" s="378"/>
      <c r="Z5" s="378"/>
      <c r="AA5" s="378"/>
    </row>
    <row r="6" spans="1:27" x14ac:dyDescent="0.25">
      <c r="A6" s="286" t="s">
        <v>246</v>
      </c>
      <c r="B6" s="578">
        <f>NEWAGE_CCS!H13</f>
        <v>27.93</v>
      </c>
      <c r="C6" s="308">
        <f>NEWAGE_CCS!I13</f>
        <v>35.24</v>
      </c>
      <c r="D6" s="574">
        <f>NEWAGE_CCS!J13</f>
        <v>1.5</v>
      </c>
      <c r="E6" s="574">
        <f>NEWAGE_CCS!K13</f>
        <v>0</v>
      </c>
      <c r="F6" s="308">
        <f>NEWAGE_CCS!L13</f>
        <v>0.04</v>
      </c>
      <c r="G6" s="574">
        <f>NEWAGE_CCS!M13</f>
        <v>0</v>
      </c>
      <c r="H6" s="308">
        <f>NEWAGE_CCS!N13</f>
        <v>0</v>
      </c>
      <c r="I6" s="574">
        <f>NEWAGE_CCS!O13</f>
        <v>0</v>
      </c>
      <c r="J6" s="574">
        <f>NEWAGE_CCS!P13</f>
        <v>0</v>
      </c>
      <c r="K6" s="308">
        <f>NEWAGE_CCS!Q13</f>
        <v>0</v>
      </c>
      <c r="L6" s="308">
        <f>NEWAGE_CCS!R13</f>
        <v>0</v>
      </c>
      <c r="M6" s="574">
        <f>NEWAGE_CCS!S13</f>
        <v>0.19</v>
      </c>
      <c r="N6" s="308">
        <f>NEWAGE_CCS!T13</f>
        <v>0</v>
      </c>
      <c r="O6" s="308">
        <f>NEWAGE_CCS!U13</f>
        <v>0.51975000000000005</v>
      </c>
      <c r="P6" s="574">
        <f>NEWAGE_CCS!V13</f>
        <v>0.22500000000000001</v>
      </c>
      <c r="Q6" s="574">
        <f>NEWAGE_CCS!W13</f>
        <v>0.30000000000000004</v>
      </c>
      <c r="R6" s="308">
        <f>NEWAGE_CCS!X13</f>
        <v>0</v>
      </c>
      <c r="S6" s="309">
        <f>NEWAGE_CCS!Y13</f>
        <v>5.2499999999999769E-3</v>
      </c>
      <c r="T6" s="314">
        <f t="shared" si="0"/>
        <v>65.95</v>
      </c>
      <c r="U6" s="320" t="str">
        <f>IF(T6=SUM(NEWAGE_CCS!H13:Y13),"ok","error")</f>
        <v>ok</v>
      </c>
      <c r="W6" s="378"/>
      <c r="X6" s="378"/>
      <c r="Y6" s="378"/>
      <c r="Z6" s="378"/>
      <c r="AA6" s="378"/>
    </row>
    <row r="7" spans="1:27" x14ac:dyDescent="0.25">
      <c r="A7" s="287" t="s">
        <v>236</v>
      </c>
      <c r="B7" s="578">
        <f>NEWAGE_CCS!H14</f>
        <v>215.68</v>
      </c>
      <c r="C7" s="308">
        <f>NEWAGE_CCS!I14</f>
        <v>90.047371300000009</v>
      </c>
      <c r="D7" s="574">
        <f>NEWAGE_CCS!J14</f>
        <v>6.7426287000000009</v>
      </c>
      <c r="E7" s="574">
        <f>NEWAGE_CCS!K14</f>
        <v>0</v>
      </c>
      <c r="F7" s="308">
        <f>NEWAGE_CCS!L14</f>
        <v>0.87000000000000099</v>
      </c>
      <c r="G7" s="574">
        <f>NEWAGE_CCS!M14</f>
        <v>20.53</v>
      </c>
      <c r="H7" s="308">
        <f>NEWAGE_CCS!N14</f>
        <v>183.5361</v>
      </c>
      <c r="I7" s="574">
        <f>NEWAGE_CCS!O14</f>
        <v>22.472999999999988</v>
      </c>
      <c r="J7" s="574">
        <f>NEWAGE_CCS!P14</f>
        <v>11.2959</v>
      </c>
      <c r="K7" s="308">
        <f>NEWAGE_CCS!Q14</f>
        <v>7.1349999999999998</v>
      </c>
      <c r="L7" s="308">
        <f>NEWAGE_CCS!R14</f>
        <v>0</v>
      </c>
      <c r="M7" s="574">
        <f>NEWAGE_CCS!S14</f>
        <v>6.0150000000000023</v>
      </c>
      <c r="N7" s="308">
        <f>NEWAGE_CCS!T14</f>
        <v>91.718549999999993</v>
      </c>
      <c r="O7" s="308">
        <f>NEWAGE_CCS!U14</f>
        <v>167.09022000000002</v>
      </c>
      <c r="P7" s="574">
        <f>NEWAGE_CCS!V14</f>
        <v>29.047000000000004</v>
      </c>
      <c r="Q7" s="574">
        <f>NEWAGE_CCS!W14</f>
        <v>33.86</v>
      </c>
      <c r="R7" s="308">
        <f>NEWAGE_CCS!X14</f>
        <v>2.8944500000000062</v>
      </c>
      <c r="S7" s="309">
        <f>NEWAGE_CCS!Y14</f>
        <v>1.9147800000000075</v>
      </c>
      <c r="T7" s="314">
        <f t="shared" si="0"/>
        <v>890.84999999999991</v>
      </c>
      <c r="U7" s="320" t="str">
        <f>IF(T7=SUM(NEWAGE_CCS!H14:Y14),"ok","error")</f>
        <v>ok</v>
      </c>
      <c r="W7" s="542" t="s">
        <v>409</v>
      </c>
    </row>
    <row r="8" spans="1:27" x14ac:dyDescent="0.25">
      <c r="A8" s="289" t="s">
        <v>235</v>
      </c>
      <c r="B8" s="578">
        <f>NEWAGE_CCS!H15</f>
        <v>60.800000000000004</v>
      </c>
      <c r="C8" s="308">
        <f>NEWAGE_CCS!I15</f>
        <v>80.703599999999994</v>
      </c>
      <c r="D8" s="574">
        <f>NEWAGE_CCS!J15</f>
        <v>10.086400000000001</v>
      </c>
      <c r="E8" s="574">
        <f>NEWAGE_CCS!K15</f>
        <v>5.7700000000000005</v>
      </c>
      <c r="F8" s="308">
        <f>NEWAGE_CCS!L15</f>
        <v>2.0100400000000036</v>
      </c>
      <c r="G8" s="574">
        <f>NEWAGE_CCS!M15</f>
        <v>37.339959999999998</v>
      </c>
      <c r="H8" s="308">
        <f>NEWAGE_CCS!N15</f>
        <v>107.8506</v>
      </c>
      <c r="I8" s="574">
        <f>NEWAGE_CCS!O15</f>
        <v>15.087600000000009</v>
      </c>
      <c r="J8" s="574">
        <f>NEWAGE_CCS!P15</f>
        <v>47.529899999999998</v>
      </c>
      <c r="K8" s="308">
        <f>NEWAGE_CCS!Q15</f>
        <v>52.53</v>
      </c>
      <c r="L8" s="308">
        <f>NEWAGE_CCS!R15</f>
        <v>13.72749999999999</v>
      </c>
      <c r="M8" s="574">
        <f>NEWAGE_CCS!S15</f>
        <v>11.692499999999997</v>
      </c>
      <c r="N8" s="308">
        <f>NEWAGE_CCS!T15</f>
        <v>161.57691</v>
      </c>
      <c r="O8" s="308">
        <f>NEWAGE_CCS!U15</f>
        <v>116.39726999999998</v>
      </c>
      <c r="P8" s="574">
        <f>NEWAGE_CCS!V15</f>
        <v>14.777999999999999</v>
      </c>
      <c r="Q8" s="574">
        <f>NEWAGE_CCS!W15</f>
        <v>7.8000000000000007</v>
      </c>
      <c r="R8" s="308">
        <f>NEWAGE_CCS!X15</f>
        <v>3.2015900000000101</v>
      </c>
      <c r="S8" s="309">
        <f>NEWAGE_CCS!Y15</f>
        <v>1.3281299999999874</v>
      </c>
      <c r="T8" s="314">
        <f t="shared" si="0"/>
        <v>750.20999999999992</v>
      </c>
      <c r="U8" s="320" t="str">
        <f>IF(T8=SUM(NEWAGE_CCS!H15:Y15),"ok","error")</f>
        <v>ok</v>
      </c>
      <c r="W8" s="541" t="s">
        <v>404</v>
      </c>
    </row>
    <row r="9" spans="1:27" x14ac:dyDescent="0.25">
      <c r="A9" s="291" t="s">
        <v>233</v>
      </c>
      <c r="B9" s="578">
        <f>NEWAGE_CCS!H16</f>
        <v>78.53</v>
      </c>
      <c r="C9" s="308">
        <f>NEWAGE_CCS!I16</f>
        <v>28.016677400000003</v>
      </c>
      <c r="D9" s="574">
        <f>NEWAGE_CCS!J16</f>
        <v>1.4733226000000001</v>
      </c>
      <c r="E9" s="574">
        <f>NEWAGE_CCS!K16</f>
        <v>0</v>
      </c>
      <c r="F9" s="308">
        <f>NEWAGE_CCS!L16</f>
        <v>0.10206966000000006</v>
      </c>
      <c r="G9" s="574">
        <f>NEWAGE_CCS!M16</f>
        <v>0.76793034000000004</v>
      </c>
      <c r="H9" s="308">
        <f>NEWAGE_CCS!N16</f>
        <v>24.924982500000002</v>
      </c>
      <c r="I9" s="574">
        <f>NEWAGE_CCS!O16</f>
        <v>75.906517500000007</v>
      </c>
      <c r="J9" s="574">
        <f>NEWAGE_CCS!P16</f>
        <v>155.58840000000001</v>
      </c>
      <c r="K9" s="308">
        <f>NEWAGE_CCS!Q16</f>
        <v>0.45119999999999999</v>
      </c>
      <c r="L9" s="308">
        <f>NEWAGE_CCS!R16</f>
        <v>2.2187999999999999</v>
      </c>
      <c r="M9" s="574">
        <f>NEWAGE_CCS!S16</f>
        <v>2.67</v>
      </c>
      <c r="N9" s="308">
        <f>NEWAGE_CCS!T16</f>
        <v>2.4096600000000001</v>
      </c>
      <c r="O9" s="308">
        <f>NEWAGE_CCS!U16</f>
        <v>15.900389999999996</v>
      </c>
      <c r="P9" s="574">
        <f>NEWAGE_CCS!V16</f>
        <v>18.494999999999997</v>
      </c>
      <c r="Q9" s="574">
        <f>NEWAGE_CCS!W16</f>
        <v>5.65</v>
      </c>
      <c r="R9" s="308">
        <f>NEWAGE_CCS!X16</f>
        <v>1.8477074999999843</v>
      </c>
      <c r="S9" s="309">
        <f>NEWAGE_CCS!Y16</f>
        <v>0.92734249999999463</v>
      </c>
      <c r="T9" s="314">
        <f t="shared" si="0"/>
        <v>415.88</v>
      </c>
      <c r="U9" s="320" t="str">
        <f>IF(T9=SUM(NEWAGE_CCS!H16:Y16),"ok","error")</f>
        <v>ok</v>
      </c>
      <c r="W9" s="541" t="s">
        <v>405</v>
      </c>
    </row>
    <row r="10" spans="1:27" x14ac:dyDescent="0.25">
      <c r="A10" s="292" t="s">
        <v>247</v>
      </c>
      <c r="B10" s="578">
        <f>NEWAGE_CCS!H17</f>
        <v>510.68</v>
      </c>
      <c r="C10" s="308">
        <f>NEWAGE_CCS!I17</f>
        <v>653.65</v>
      </c>
      <c r="D10" s="574">
        <f>NEWAGE_CCS!J17</f>
        <v>13.1</v>
      </c>
      <c r="E10" s="574">
        <f>NEWAGE_CCS!K17</f>
        <v>17.48</v>
      </c>
      <c r="F10" s="308">
        <f>NEWAGE_CCS!L17</f>
        <v>0.47999999999999865</v>
      </c>
      <c r="G10" s="574">
        <f>NEWAGE_CCS!M17</f>
        <v>10.700000000000001</v>
      </c>
      <c r="H10" s="308">
        <f>NEWAGE_CCS!N17</f>
        <v>517.8541327416799</v>
      </c>
      <c r="I10" s="574">
        <f>NEWAGE_CCS!O17</f>
        <v>120.19096725832009</v>
      </c>
      <c r="J10" s="574">
        <f>NEWAGE_CCS!P17</f>
        <v>125.97749999999999</v>
      </c>
      <c r="K10" s="308">
        <f>NEWAGE_CCS!Q17</f>
        <v>37.008238284352664</v>
      </c>
      <c r="L10" s="308">
        <f>NEWAGE_CCS!R17</f>
        <v>171.90476171564734</v>
      </c>
      <c r="M10" s="574">
        <f>NEWAGE_CCS!S17</f>
        <v>36.866999999999997</v>
      </c>
      <c r="N10" s="308">
        <f>NEWAGE_CCS!T17</f>
        <v>87.720972311801845</v>
      </c>
      <c r="O10" s="308">
        <f>NEWAGE_CCS!U17</f>
        <v>409.12587268819823</v>
      </c>
      <c r="P10" s="574">
        <f>NEWAGE_CCS!V17</f>
        <v>88.56450000000001</v>
      </c>
      <c r="Q10" s="574">
        <f>NEWAGE_CCS!W17</f>
        <v>30.210000000000004</v>
      </c>
      <c r="R10" s="308">
        <f>NEWAGE_CCS!X17</f>
        <v>7.389420253065623</v>
      </c>
      <c r="S10" s="309">
        <f>NEWAGE_CCS!Y17</f>
        <v>5.3466347469345692</v>
      </c>
      <c r="T10" s="314">
        <f t="shared" si="0"/>
        <v>2844.25</v>
      </c>
      <c r="U10" s="320" t="str">
        <f>IF(T10=SUM(NEWAGE_CCS!H17:Y17),"ok","error")</f>
        <v>ok</v>
      </c>
      <c r="W10" s="541" t="s">
        <v>375</v>
      </c>
    </row>
    <row r="11" spans="1:27" x14ac:dyDescent="0.25">
      <c r="A11" s="298" t="s">
        <v>420</v>
      </c>
      <c r="B11" s="578">
        <f>NEWAGE_CCS!H18</f>
        <v>836.63</v>
      </c>
      <c r="C11" s="308">
        <f>NEWAGE_CCS!I18</f>
        <v>249.65</v>
      </c>
      <c r="D11" s="574">
        <f>NEWAGE_CCS!J18</f>
        <v>25.9</v>
      </c>
      <c r="E11" s="574">
        <f>NEWAGE_CCS!K18</f>
        <v>16.8</v>
      </c>
      <c r="F11" s="308">
        <f>NEWAGE_CCS!L18</f>
        <v>1.8399999999999963</v>
      </c>
      <c r="G11" s="574">
        <f>NEWAGE_CCS!M18</f>
        <v>34.6</v>
      </c>
      <c r="H11" s="308">
        <f>NEWAGE_CCS!N18</f>
        <v>1502.990775</v>
      </c>
      <c r="I11" s="574">
        <f>NEWAGE_CCS!O18</f>
        <v>500.99692500000009</v>
      </c>
      <c r="J11" s="574">
        <f>NEWAGE_CCS!P18</f>
        <v>89.327700000000007</v>
      </c>
      <c r="K11" s="308">
        <f>NEWAGE_CCS!Q18</f>
        <v>18.748000000000001</v>
      </c>
      <c r="L11" s="308">
        <f>NEWAGE_CCS!R18</f>
        <v>43.763999999999996</v>
      </c>
      <c r="M11" s="574">
        <f>NEWAGE_CCS!S18</f>
        <v>15.628</v>
      </c>
      <c r="N11" s="308">
        <f>NEWAGE_CCS!T18</f>
        <v>211.56201000000001</v>
      </c>
      <c r="O11" s="308">
        <f>NEWAGE_CCS!U18</f>
        <v>513.27638999999999</v>
      </c>
      <c r="P11" s="574">
        <f>NEWAGE_CCS!V18</f>
        <v>183.04</v>
      </c>
      <c r="Q11" s="574">
        <f>NEWAGE_CCS!W18</f>
        <v>49.54</v>
      </c>
      <c r="R11" s="308">
        <f>NEWAGE_CCS!X18</f>
        <v>18.221014999999852</v>
      </c>
      <c r="S11" s="309">
        <f>NEWAGE_CCS!Y18</f>
        <v>10.245184999999992</v>
      </c>
      <c r="T11" s="314">
        <f t="shared" si="0"/>
        <v>4322.76</v>
      </c>
      <c r="U11" s="320" t="str">
        <f>IF(T11=SUM(NEWAGE_CCS!H18:Y18),"ok","error")</f>
        <v>ok</v>
      </c>
      <c r="W11" s="541" t="s">
        <v>335</v>
      </c>
    </row>
    <row r="12" spans="1:27" x14ac:dyDescent="0.25">
      <c r="A12" s="293" t="s">
        <v>232</v>
      </c>
      <c r="B12" s="578">
        <f>NEWAGE_CCS!H19</f>
        <v>12.35</v>
      </c>
      <c r="C12" s="308">
        <f>NEWAGE_CCS!I19</f>
        <v>355.31899999999996</v>
      </c>
      <c r="D12" s="574">
        <f>NEWAGE_CCS!J19</f>
        <v>18.701000000000001</v>
      </c>
      <c r="E12" s="574">
        <f>NEWAGE_CCS!K19</f>
        <v>0</v>
      </c>
      <c r="F12" s="308">
        <f>NEWAGE_CCS!L19</f>
        <v>0.10000000000000009</v>
      </c>
      <c r="G12" s="574">
        <f>NEWAGE_CCS!M19</f>
        <v>1.9</v>
      </c>
      <c r="H12" s="308">
        <f>NEWAGE_CCS!N19</f>
        <v>0</v>
      </c>
      <c r="I12" s="574">
        <f>NEWAGE_CCS!O19</f>
        <v>9.9000000000000005E-2</v>
      </c>
      <c r="J12" s="574">
        <f>NEWAGE_CCS!P19</f>
        <v>5.9004000000000003</v>
      </c>
      <c r="K12" s="308">
        <f>NEWAGE_CCS!Q19</f>
        <v>0</v>
      </c>
      <c r="L12" s="308">
        <f>NEWAGE_CCS!R19</f>
        <v>12.393000000000001</v>
      </c>
      <c r="M12" s="574">
        <f>NEWAGE_CCS!S19</f>
        <v>1.3769999999999998</v>
      </c>
      <c r="N12" s="308">
        <f>NEWAGE_CCS!T19</f>
        <v>0</v>
      </c>
      <c r="O12" s="308">
        <f>NEWAGE_CCS!U19</f>
        <v>13.810499999999999</v>
      </c>
      <c r="P12" s="574">
        <f>NEWAGE_CCS!V19</f>
        <v>1.55</v>
      </c>
      <c r="Q12" s="574">
        <f>NEWAGE_CCS!W19</f>
        <v>17.399999999999999</v>
      </c>
      <c r="R12" s="308">
        <f>NEWAGE_CCS!X19</f>
        <v>5.9599999999999653E-2</v>
      </c>
      <c r="S12" s="309">
        <f>NEWAGE_CCS!Y19</f>
        <v>0.1404999999999994</v>
      </c>
      <c r="T12" s="314">
        <f t="shared" si="0"/>
        <v>441.09999999999991</v>
      </c>
      <c r="U12" s="320" t="str">
        <f>IF(T12=SUM(NEWAGE_CCS!H19:Y19),"ok","error")</f>
        <v>ok</v>
      </c>
      <c r="W12" s="541" t="s">
        <v>410</v>
      </c>
    </row>
    <row r="13" spans="1:27" x14ac:dyDescent="0.25">
      <c r="A13" s="294" t="s">
        <v>244</v>
      </c>
      <c r="B13" s="578">
        <f>NEWAGE_CCS!H20</f>
        <v>160.04</v>
      </c>
      <c r="C13" s="308">
        <f>NEWAGE_CCS!I20</f>
        <v>177.19019999999998</v>
      </c>
      <c r="D13" s="574">
        <f>NEWAGE_CCS!J20</f>
        <v>1.7897999999999998</v>
      </c>
      <c r="E13" s="574">
        <f>NEWAGE_CCS!K20</f>
        <v>0.49</v>
      </c>
      <c r="F13" s="308">
        <f>NEWAGE_CCS!L20</f>
        <v>4.9999999999999871E-4</v>
      </c>
      <c r="G13" s="574">
        <f>NEWAGE_CCS!M20</f>
        <v>9.5000000000000015E-3</v>
      </c>
      <c r="H13" s="308">
        <f>NEWAGE_CCS!N20</f>
        <v>59.459400000000002</v>
      </c>
      <c r="I13" s="574">
        <f>NEWAGE_CCS!O20</f>
        <v>39.639599999999994</v>
      </c>
      <c r="J13" s="574">
        <f>NEWAGE_CCS!P20</f>
        <v>60.904800000000002</v>
      </c>
      <c r="K13" s="308">
        <f>NEWAGE_CCS!Q20</f>
        <v>1.7230000000000001</v>
      </c>
      <c r="L13" s="308">
        <f>NEWAGE_CCS!R20</f>
        <v>6.8919999999999995</v>
      </c>
      <c r="M13" s="574">
        <f>NEWAGE_CCS!S20</f>
        <v>8.6150000000000002</v>
      </c>
      <c r="N13" s="308">
        <f>NEWAGE_CCS!T20</f>
        <v>240.92144999999999</v>
      </c>
      <c r="O13" s="308">
        <f>NEWAGE_CCS!U20</f>
        <v>192.73715999999999</v>
      </c>
      <c r="P13" s="574">
        <f>NEWAGE_CCS!V20</f>
        <v>48.670999999999992</v>
      </c>
      <c r="Q13" s="574">
        <f>NEWAGE_CCS!W20</f>
        <v>0.01</v>
      </c>
      <c r="R13" s="308">
        <f>NEWAGE_CCS!X20</f>
        <v>3.6493499999999699</v>
      </c>
      <c r="S13" s="309">
        <f>NEWAGE_CCS!Y20</f>
        <v>2.3472399999999993</v>
      </c>
      <c r="T13" s="314">
        <f t="shared" si="0"/>
        <v>1005.0899999999999</v>
      </c>
      <c r="U13" s="320" t="str">
        <f>IF(T13=SUM(NEWAGE_CCS!H20:Y20),"ok","error")</f>
        <v>ok</v>
      </c>
      <c r="W13" s="387" t="s">
        <v>411</v>
      </c>
    </row>
    <row r="14" spans="1:27" x14ac:dyDescent="0.25">
      <c r="A14" s="295" t="s">
        <v>241</v>
      </c>
      <c r="B14" s="578">
        <f>NEWAGE_CCS!H21</f>
        <v>16.78</v>
      </c>
      <c r="C14" s="308">
        <f>NEWAGE_CCS!I21</f>
        <v>122.5917</v>
      </c>
      <c r="D14" s="574">
        <f>NEWAGE_CCS!J21</f>
        <v>1.2383</v>
      </c>
      <c r="E14" s="574">
        <f>NEWAGE_CCS!K21</f>
        <v>0</v>
      </c>
      <c r="F14" s="308">
        <f>NEWAGE_CCS!L21</f>
        <v>0.58349999999999902</v>
      </c>
      <c r="G14" s="574">
        <f>NEWAGE_CCS!M21</f>
        <v>11.086500000000001</v>
      </c>
      <c r="H14" s="308">
        <f>NEWAGE_CCS!N21</f>
        <v>383.55322500000005</v>
      </c>
      <c r="I14" s="574">
        <f>NEWAGE_CCS!O21</f>
        <v>127.85107499999998</v>
      </c>
      <c r="J14" s="574">
        <f>NEWAGE_CCS!P21</f>
        <v>18.6813</v>
      </c>
      <c r="K14" s="308">
        <f>NEWAGE_CCS!Q21</f>
        <v>1.7760000000000002</v>
      </c>
      <c r="L14" s="308">
        <f>NEWAGE_CCS!R21</f>
        <v>7.1039999999999957</v>
      </c>
      <c r="M14" s="574">
        <f>NEWAGE_CCS!S21</f>
        <v>26.640000000000004</v>
      </c>
      <c r="N14" s="308">
        <f>NEWAGE_CCS!T21</f>
        <v>3.2551200000000002</v>
      </c>
      <c r="O14" s="308">
        <f>NEWAGE_CCS!U21</f>
        <v>52.081920000000004</v>
      </c>
      <c r="P14" s="574">
        <f>NEWAGE_CCS!V21</f>
        <v>9.8640000000000008</v>
      </c>
      <c r="Q14" s="574">
        <f>NEWAGE_CCS!W21</f>
        <v>1.95</v>
      </c>
      <c r="R14" s="308">
        <f>NEWAGE_CCS!X21</f>
        <v>4.0958550000000287</v>
      </c>
      <c r="S14" s="309">
        <f>NEWAGE_CCS!Y21</f>
        <v>1.8175050000000113</v>
      </c>
      <c r="T14" s="314">
        <f t="shared" si="0"/>
        <v>790.95000000000016</v>
      </c>
      <c r="U14" s="320" t="str">
        <f>IF(T14=SUM(NEWAGE_CCS!H21:Y21),"ok","error")</f>
        <v>ok</v>
      </c>
      <c r="W14" t="s">
        <v>380</v>
      </c>
    </row>
    <row r="15" spans="1:27" x14ac:dyDescent="0.25">
      <c r="A15" s="296" t="s">
        <v>239</v>
      </c>
      <c r="B15" s="578">
        <f>NEWAGE_CCS!H22</f>
        <v>62.13</v>
      </c>
      <c r="C15" s="308">
        <f>NEWAGE_CCS!I22</f>
        <v>388.20799999999997</v>
      </c>
      <c r="D15" s="574">
        <f>NEWAGE_CCS!J22</f>
        <v>97.052000000000007</v>
      </c>
      <c r="E15" s="574">
        <f>NEWAGE_CCS!K22</f>
        <v>0</v>
      </c>
      <c r="F15" s="308">
        <f>NEWAGE_CCS!L22</f>
        <v>0.44549999999999912</v>
      </c>
      <c r="G15" s="574">
        <f>NEWAGE_CCS!M22</f>
        <v>8.464500000000001</v>
      </c>
      <c r="H15" s="308">
        <f>NEWAGE_CCS!N22</f>
        <v>1845.3550499999999</v>
      </c>
      <c r="I15" s="574">
        <f>NEWAGE_CCS!O22</f>
        <v>790.86644999999999</v>
      </c>
      <c r="J15" s="574">
        <f>NEWAGE_CCS!P22</f>
        <v>0</v>
      </c>
      <c r="K15" s="308">
        <f>NEWAGE_CCS!Q22</f>
        <v>0</v>
      </c>
      <c r="L15" s="308">
        <f>NEWAGE_CCS!R22</f>
        <v>1.6875</v>
      </c>
      <c r="M15" s="574">
        <f>NEWAGE_CCS!S22</f>
        <v>32.0625</v>
      </c>
      <c r="N15" s="308">
        <f>NEWAGE_CCS!T22</f>
        <v>0.40451400000000004</v>
      </c>
      <c r="O15" s="308">
        <f>NEWAGE_CCS!U22</f>
        <v>1.6180559999999993</v>
      </c>
      <c r="P15" s="574">
        <f>NEWAGE_CCS!V22</f>
        <v>38.817</v>
      </c>
      <c r="Q15" s="574">
        <f>NEWAGE_CCS!W22</f>
        <v>2.31</v>
      </c>
      <c r="R15" s="308">
        <f>NEWAGE_CCS!X22</f>
        <v>18.644035999999915</v>
      </c>
      <c r="S15" s="309">
        <f>NEWAGE_CCS!Y22</f>
        <v>8.0048940000000357</v>
      </c>
      <c r="T15" s="314">
        <f t="shared" si="0"/>
        <v>3296.0699999999993</v>
      </c>
      <c r="U15" s="320" t="str">
        <f>IF(T15=SUM(NEWAGE_CCS!H22:Y22),"ok","error")</f>
        <v>ok</v>
      </c>
    </row>
    <row r="16" spans="1:27" x14ac:dyDescent="0.25">
      <c r="A16" s="297" t="s">
        <v>245</v>
      </c>
      <c r="B16" s="578">
        <f>NEWAGE_CCS!H23</f>
        <v>11.32</v>
      </c>
      <c r="C16" s="308">
        <f>NEWAGE_CCS!I23</f>
        <v>0.39100000000000001</v>
      </c>
      <c r="D16" s="574">
        <f>NEWAGE_CCS!J23</f>
        <v>3.5190000000000001</v>
      </c>
      <c r="E16" s="574">
        <f>NEWAGE_CCS!K23</f>
        <v>0</v>
      </c>
      <c r="F16" s="308">
        <f>NEWAGE_CCS!L23</f>
        <v>2.5000000000000001E-2</v>
      </c>
      <c r="G16" s="574">
        <f>NEWAGE_CCS!M23</f>
        <v>2.5000000000000001E-2</v>
      </c>
      <c r="H16" s="308">
        <f>NEWAGE_CCS!N23</f>
        <v>171.02546999999998</v>
      </c>
      <c r="I16" s="574">
        <f>NEWAGE_CCS!O23</f>
        <v>73.296630000000007</v>
      </c>
      <c r="J16" s="574">
        <f>NEWAGE_CCS!P23</f>
        <v>0</v>
      </c>
      <c r="K16" s="308">
        <f>NEWAGE_CCS!Q23</f>
        <v>0</v>
      </c>
      <c r="L16" s="308">
        <f>NEWAGE_CCS!R23</f>
        <v>0</v>
      </c>
      <c r="M16" s="574">
        <f>NEWAGE_CCS!S23</f>
        <v>1.1499999999999999</v>
      </c>
      <c r="N16" s="308">
        <f>NEWAGE_CCS!T23</f>
        <v>0</v>
      </c>
      <c r="O16" s="308">
        <f>NEWAGE_CCS!U23</f>
        <v>0</v>
      </c>
      <c r="P16" s="574">
        <f>NEWAGE_CCS!V23</f>
        <v>0</v>
      </c>
      <c r="Q16" s="574">
        <f>NEWAGE_CCS!W23</f>
        <v>0.26</v>
      </c>
      <c r="R16" s="308">
        <f>NEWAGE_CCS!X23</f>
        <v>1.7275300000000016</v>
      </c>
      <c r="S16" s="309">
        <f>NEWAGE_CCS!Y23</f>
        <v>0.74036999999999864</v>
      </c>
      <c r="T16" s="314">
        <f t="shared" si="0"/>
        <v>263.47999999999996</v>
      </c>
      <c r="U16" s="320" t="str">
        <f>IF(T16=SUM(NEWAGE_CCS!H23:Y23),"ok","error")</f>
        <v>ok</v>
      </c>
    </row>
    <row r="17" spans="1:41" x14ac:dyDescent="0.25">
      <c r="A17" s="299" t="s">
        <v>422</v>
      </c>
      <c r="B17" s="578">
        <f>NEWAGE_CCS!H24</f>
        <v>0</v>
      </c>
      <c r="C17" s="308">
        <f>NEWAGE_CCS!I24</f>
        <v>39.392099999999999</v>
      </c>
      <c r="D17" s="574">
        <f>NEWAGE_CCS!J24</f>
        <v>0.39789999999999998</v>
      </c>
      <c r="E17" s="574">
        <f>NEWAGE_CCS!K24</f>
        <v>0</v>
      </c>
      <c r="F17" s="308">
        <f>NEWAGE_CCS!L24</f>
        <v>0.64500000000000002</v>
      </c>
      <c r="G17" s="574">
        <f>NEWAGE_CCS!M24</f>
        <v>0.64500000000000002</v>
      </c>
      <c r="H17" s="308">
        <f>NEWAGE_CCS!N24</f>
        <v>2.5819199999999998</v>
      </c>
      <c r="I17" s="574">
        <f>NEWAGE_CCS!O24</f>
        <v>10.327679999999999</v>
      </c>
      <c r="J17" s="574">
        <f>NEWAGE_CCS!P24</f>
        <v>0</v>
      </c>
      <c r="K17" s="308">
        <f>NEWAGE_CCS!Q24</f>
        <v>202.23699999999997</v>
      </c>
      <c r="L17" s="308">
        <f>NEWAGE_CCS!R24</f>
        <v>72.227500000000006</v>
      </c>
      <c r="M17" s="574">
        <f>NEWAGE_CCS!S24</f>
        <v>14.445499999999997</v>
      </c>
      <c r="N17" s="308">
        <f>NEWAGE_CCS!T24</f>
        <v>375.80004000000002</v>
      </c>
      <c r="O17" s="308">
        <f>NEWAGE_CCS!U24</f>
        <v>134.21429999999992</v>
      </c>
      <c r="P17" s="574">
        <f>NEWAGE_CCS!V24</f>
        <v>27.113999999999997</v>
      </c>
      <c r="Q17" s="574">
        <f>NEWAGE_CCS!W24</f>
        <v>0.01</v>
      </c>
      <c r="R17" s="308">
        <f>NEWAGE_CCS!X24</f>
        <v>3.8220399999999586</v>
      </c>
      <c r="S17" s="309">
        <f>NEWAGE_CCS!Y24</f>
        <v>1.4600200000000143</v>
      </c>
      <c r="T17" s="314">
        <f t="shared" si="0"/>
        <v>885.31999999999994</v>
      </c>
      <c r="U17" s="320" t="str">
        <f>IF(T17=SUM(NEWAGE_CCS!H24:Y24),"ok","error")</f>
        <v>ok</v>
      </c>
    </row>
    <row r="18" spans="1:41" x14ac:dyDescent="0.25">
      <c r="A18" s="712" t="s">
        <v>421</v>
      </c>
      <c r="B18" s="578">
        <f>NEWAGE_CCS!H25</f>
        <v>0</v>
      </c>
      <c r="C18" s="308">
        <f>NEWAGE_CCS!I25</f>
        <v>108.70200000000001</v>
      </c>
      <c r="D18" s="574">
        <f>NEWAGE_CCS!J25</f>
        <v>1.0980000000000001</v>
      </c>
      <c r="E18" s="574">
        <f>NEWAGE_CCS!K25</f>
        <v>7.02</v>
      </c>
      <c r="F18" s="308">
        <f>NEWAGE_CCS!L25</f>
        <v>0</v>
      </c>
      <c r="G18" s="574">
        <f>NEWAGE_CCS!M25</f>
        <v>0</v>
      </c>
      <c r="H18" s="308">
        <f>NEWAGE_CCS!N25</f>
        <v>0</v>
      </c>
      <c r="I18" s="574">
        <f>NEWAGE_CCS!O25</f>
        <v>0</v>
      </c>
      <c r="J18" s="574">
        <f>NEWAGE_CCS!P25</f>
        <v>63.191699999999997</v>
      </c>
      <c r="K18" s="308">
        <f>NEWAGE_CCS!Q25</f>
        <v>11.814</v>
      </c>
      <c r="L18" s="308">
        <f>NEWAGE_CCS!R25</f>
        <v>41.349000000000004</v>
      </c>
      <c r="M18" s="574">
        <f>NEWAGE_CCS!S25</f>
        <v>5.907</v>
      </c>
      <c r="N18" s="308">
        <f>NEWAGE_CCS!T25</f>
        <v>11.42658</v>
      </c>
      <c r="O18" s="308">
        <f>NEWAGE_CCS!U25</f>
        <v>37.136384999999997</v>
      </c>
      <c r="P18" s="574">
        <f>NEWAGE_CCS!V25</f>
        <v>8.6564999999999994</v>
      </c>
      <c r="Q18" s="574">
        <f>NEWAGE_CCS!W25</f>
        <v>0</v>
      </c>
      <c r="R18" s="308">
        <f>NEWAGE_CCS!X25</f>
        <v>0.75372000000000128</v>
      </c>
      <c r="S18" s="309">
        <f>NEWAGE_CCS!Y25</f>
        <v>0.37511500000000098</v>
      </c>
      <c r="T18" s="314">
        <f t="shared" si="0"/>
        <v>297.43</v>
      </c>
      <c r="U18" s="320" t="str">
        <f>IF(T18=SUM(NEWAGE_CCS!H25:Y25),"ok","error")</f>
        <v>ok</v>
      </c>
    </row>
    <row r="19" spans="1:41" ht="15.75" thickBot="1" x14ac:dyDescent="0.3">
      <c r="A19" s="713" t="s">
        <v>423</v>
      </c>
      <c r="B19" s="579">
        <f>NEWAGE_CCS!H26</f>
        <v>145.93</v>
      </c>
      <c r="C19" s="310">
        <f>NEWAGE_CCS!I26</f>
        <v>493.97150000000005</v>
      </c>
      <c r="D19" s="575">
        <f>NEWAGE_CCS!J26</f>
        <v>25.998500000000003</v>
      </c>
      <c r="E19" s="575">
        <f>NEWAGE_CCS!K26</f>
        <v>14.260000000000002</v>
      </c>
      <c r="F19" s="310">
        <f>NEWAGE_CCS!L26</f>
        <v>0.70000000000000018</v>
      </c>
      <c r="G19" s="575">
        <f>NEWAGE_CCS!M26</f>
        <v>0.7</v>
      </c>
      <c r="H19" s="310">
        <f>NEWAGE_CCS!N26</f>
        <v>279.18890999999996</v>
      </c>
      <c r="I19" s="575">
        <f>NEWAGE_CCS!O26</f>
        <v>119.65238999999993</v>
      </c>
      <c r="J19" s="575">
        <f>NEWAGE_CCS!P26</f>
        <v>107.33580000000001</v>
      </c>
      <c r="K19" s="310">
        <f>NEWAGE_CCS!Q26</f>
        <v>11.463000000000001</v>
      </c>
      <c r="L19" s="310">
        <f>NEWAGE_CCS!R26</f>
        <v>160.48200000000003</v>
      </c>
      <c r="M19" s="575">
        <f>NEWAGE_CCS!S26</f>
        <v>57.315000000000012</v>
      </c>
      <c r="N19" s="310">
        <f>NEWAGE_CCS!T26</f>
        <v>473.31207000000001</v>
      </c>
      <c r="O19" s="310">
        <f>NEWAGE_CCS!U26</f>
        <v>169.04002500000001</v>
      </c>
      <c r="P19" s="575">
        <f>NEWAGE_CCS!V26</f>
        <v>34.149499999999996</v>
      </c>
      <c r="Q19" s="575">
        <f>NEWAGE_CCS!W26</f>
        <v>14.03</v>
      </c>
      <c r="R19" s="310">
        <f>NEWAGE_CCS!X26</f>
        <v>8.6852199999999584</v>
      </c>
      <c r="S19" s="311">
        <f>NEWAGE_CCS!Y26</f>
        <v>2.9160850000000096</v>
      </c>
      <c r="T19" s="314">
        <f t="shared" si="0"/>
        <v>2119.1299999999997</v>
      </c>
      <c r="U19" s="320" t="str">
        <f>IF(T19=SUM(NEWAGE_CCS!H26:Y26),"ok","error")</f>
        <v>ok</v>
      </c>
    </row>
    <row r="20" spans="1:41" s="1" customFormat="1" ht="27.75" customHeight="1" thickBot="1" x14ac:dyDescent="0.3">
      <c r="A20" s="312" t="s">
        <v>331</v>
      </c>
      <c r="B20" s="580">
        <f t="shared" ref="B20:S20" si="1">SUM(B3:B19)</f>
        <v>2719.06</v>
      </c>
      <c r="C20" s="315">
        <f t="shared" si="1"/>
        <v>2938.0831487000005</v>
      </c>
      <c r="D20" s="580">
        <f t="shared" si="1"/>
        <v>224.19685130000002</v>
      </c>
      <c r="E20" s="580">
        <f t="shared" si="1"/>
        <v>61.820000000000007</v>
      </c>
      <c r="F20" s="315">
        <f t="shared" si="1"/>
        <v>11.471609659999995</v>
      </c>
      <c r="G20" s="580">
        <f t="shared" si="1"/>
        <v>172.56839034000001</v>
      </c>
      <c r="H20" s="315">
        <f t="shared" si="1"/>
        <v>5103.0828412416795</v>
      </c>
      <c r="I20" s="580">
        <f t="shared" si="1"/>
        <v>2032.9757587583201</v>
      </c>
      <c r="J20" s="580">
        <f t="shared" si="1"/>
        <v>851.56829999999991</v>
      </c>
      <c r="K20" s="315">
        <f t="shared" si="1"/>
        <v>350.82183828435268</v>
      </c>
      <c r="L20" s="315">
        <f t="shared" si="1"/>
        <v>533.75006171564735</v>
      </c>
      <c r="M20" s="580">
        <f t="shared" si="1"/>
        <v>233.15810000000005</v>
      </c>
      <c r="N20" s="315">
        <f t="shared" si="1"/>
        <v>1714.9813983118017</v>
      </c>
      <c r="O20" s="315">
        <f t="shared" si="1"/>
        <v>1837.3265036881983</v>
      </c>
      <c r="P20" s="580">
        <f t="shared" si="1"/>
        <v>537.79020000000003</v>
      </c>
      <c r="Q20" s="580">
        <f t="shared" si="1"/>
        <v>190.49999999999997</v>
      </c>
      <c r="R20" s="315">
        <f t="shared" si="1"/>
        <v>77.471035753065323</v>
      </c>
      <c r="S20" s="315">
        <f t="shared" si="1"/>
        <v>39.093962246934616</v>
      </c>
      <c r="T20" s="313">
        <f t="shared" si="0"/>
        <v>19629.719999999998</v>
      </c>
      <c r="U20" s="320"/>
    </row>
    <row r="21" spans="1:41" s="320" customFormat="1" x14ac:dyDescent="0.25">
      <c r="A21" s="318"/>
      <c r="B21" s="319" t="str">
        <f>IF(B20=SUM(NEWAGE_CCS!H10:H26),"ok","error")</f>
        <v>ok</v>
      </c>
      <c r="C21" s="319" t="str">
        <f>IF(C20=SUM(NEWAGE_CCS!I10:I26),"ok","error")</f>
        <v>ok</v>
      </c>
      <c r="D21" s="319" t="str">
        <f>IF(D20=SUM(NEWAGE_CCS!J10:J26),"ok","error")</f>
        <v>ok</v>
      </c>
      <c r="E21" s="319" t="str">
        <f>IF(E20=SUM(NEWAGE_CCS!K10:K26),"ok","error")</f>
        <v>ok</v>
      </c>
      <c r="F21" s="319" t="str">
        <f>IF(F20=SUM(NEWAGE_CCS!L10:L26),"ok","error")</f>
        <v>ok</v>
      </c>
      <c r="G21" s="319" t="str">
        <f>IF(G20=SUM(NEWAGE_CCS!M10:M26),"ok","error")</f>
        <v>ok</v>
      </c>
      <c r="H21" s="319" t="str">
        <f>IF(H20=SUM(NEWAGE_CCS!N10:N26),"ok","error")</f>
        <v>ok</v>
      </c>
      <c r="I21" s="319" t="str">
        <f>IF(I20=SUM(NEWAGE_CCS!O10:O26),"ok","error")</f>
        <v>ok</v>
      </c>
      <c r="J21" s="319" t="str">
        <f>IF(J20=SUM(NEWAGE_CCS!P10:P26),"ok","error")</f>
        <v>ok</v>
      </c>
      <c r="K21" s="319" t="str">
        <f>IF(K20=SUM(NEWAGE_CCS!Q10:Q26),"ok","error")</f>
        <v>ok</v>
      </c>
      <c r="L21" s="319" t="str">
        <f>IF(L20=SUM(NEWAGE_CCS!R10:R26),"ok","error")</f>
        <v>ok</v>
      </c>
      <c r="M21" s="319" t="str">
        <f>IF(M20=SUM(NEWAGE_CCS!S10:S26),"ok","error")</f>
        <v>ok</v>
      </c>
      <c r="N21" s="319" t="str">
        <f>IF(N20=SUM(NEWAGE_CCS!T10:T26),"ok","error")</f>
        <v>ok</v>
      </c>
      <c r="O21" s="319" t="str">
        <f>IF(O20=SUM(NEWAGE_CCS!U10:U26),"ok","error")</f>
        <v>ok</v>
      </c>
      <c r="P21" s="319" t="str">
        <f>IF(P20=SUM(NEWAGE_CCS!V10:V26),"ok","error")</f>
        <v>ok</v>
      </c>
      <c r="Q21" s="319" t="str">
        <f>IF(Q20=SUM(NEWAGE_CCS!W10:W26),"ok","error")</f>
        <v>ok</v>
      </c>
      <c r="R21" s="319" t="str">
        <f>IF(R20=SUM(NEWAGE_CCS!X10:X26),"ok","error")</f>
        <v>ok</v>
      </c>
      <c r="S21" s="319" t="str">
        <f>IF(S20=SUM(NEWAGE_CCS!Y10:Y26),"ok","error")</f>
        <v>ok</v>
      </c>
      <c r="U21" s="320" t="str">
        <f>IF(T20=SUM(NEWAGE_CCS!H10:Y26),"ok","error")</f>
        <v>ok</v>
      </c>
    </row>
    <row r="22" spans="1:41" x14ac:dyDescent="0.25">
      <c r="B22" s="317"/>
      <c r="C22" s="317"/>
      <c r="D22" s="317"/>
      <c r="E22" s="317"/>
      <c r="F22" s="317"/>
      <c r="G22" s="317"/>
      <c r="H22" s="317"/>
      <c r="I22" s="317"/>
      <c r="J22" s="317"/>
      <c r="K22" s="317"/>
      <c r="L22" s="317"/>
      <c r="M22" s="317"/>
      <c r="N22" s="317"/>
      <c r="O22" s="317"/>
      <c r="P22" s="317"/>
      <c r="Q22" s="317"/>
      <c r="R22" s="317"/>
      <c r="S22" s="317"/>
    </row>
    <row r="23" spans="1:41" ht="15.75" thickBot="1" x14ac:dyDescent="0.3"/>
    <row r="24" spans="1:41" x14ac:dyDescent="0.25">
      <c r="A24" s="986"/>
      <c r="B24" s="1018" t="s">
        <v>238</v>
      </c>
      <c r="C24" s="1018" t="s">
        <v>249</v>
      </c>
      <c r="D24" s="1018" t="s">
        <v>229</v>
      </c>
      <c r="E24" s="1018" t="s">
        <v>246</v>
      </c>
      <c r="F24" s="991" t="s">
        <v>236</v>
      </c>
      <c r="G24" s="991" t="s">
        <v>235</v>
      </c>
      <c r="H24" s="991" t="s">
        <v>233</v>
      </c>
      <c r="I24" s="989" t="s">
        <v>247</v>
      </c>
      <c r="J24" s="989" t="s">
        <v>420</v>
      </c>
      <c r="K24" s="990" t="s">
        <v>232</v>
      </c>
      <c r="L24" s="990" t="s">
        <v>244</v>
      </c>
      <c r="M24" s="990" t="s">
        <v>241</v>
      </c>
      <c r="N24" s="990" t="s">
        <v>239</v>
      </c>
      <c r="O24" s="990" t="s">
        <v>245</v>
      </c>
      <c r="P24" s="992" t="s">
        <v>422</v>
      </c>
      <c r="Q24" s="992" t="s">
        <v>421</v>
      </c>
      <c r="R24" s="993" t="s">
        <v>423</v>
      </c>
      <c r="S24" s="995" t="s">
        <v>331</v>
      </c>
      <c r="V24" s="1"/>
      <c r="W24" s="57"/>
      <c r="X24" s="57"/>
      <c r="Y24" s="57"/>
      <c r="Z24" s="57"/>
      <c r="AA24" s="57"/>
      <c r="AB24" s="57"/>
      <c r="AC24" s="57"/>
      <c r="AD24" s="57"/>
      <c r="AE24" s="57"/>
      <c r="AF24" s="57"/>
      <c r="AG24" s="57"/>
      <c r="AH24" s="57"/>
      <c r="AI24" s="57"/>
      <c r="AJ24" s="57"/>
      <c r="AK24" s="57"/>
      <c r="AL24" s="57"/>
      <c r="AM24" s="57"/>
      <c r="AN24" s="57"/>
      <c r="AO24" s="306"/>
    </row>
    <row r="25" spans="1:41" x14ac:dyDescent="0.25">
      <c r="A25" s="1011" t="s">
        <v>296</v>
      </c>
      <c r="B25" s="1019">
        <v>165.83489999999998</v>
      </c>
      <c r="C25" s="1019">
        <v>0</v>
      </c>
      <c r="D25" s="1019">
        <v>0</v>
      </c>
      <c r="E25" s="1019">
        <v>0</v>
      </c>
      <c r="F25" s="1012">
        <v>11.2959</v>
      </c>
      <c r="G25" s="1012">
        <v>47.529899999999998</v>
      </c>
      <c r="H25" s="1012">
        <v>155.58840000000001</v>
      </c>
      <c r="I25" s="1013">
        <v>125.97749999999999</v>
      </c>
      <c r="J25" s="1013">
        <v>89.327700000000007</v>
      </c>
      <c r="K25" s="1014">
        <v>5.9004000000000003</v>
      </c>
      <c r="L25" s="1014">
        <v>60.904800000000002</v>
      </c>
      <c r="M25" s="1014">
        <v>18.6813</v>
      </c>
      <c r="N25" s="1014">
        <v>0</v>
      </c>
      <c r="O25" s="1014">
        <v>0</v>
      </c>
      <c r="P25" s="1015">
        <v>0</v>
      </c>
      <c r="Q25" s="1015">
        <v>63.191699999999997</v>
      </c>
      <c r="R25" s="1016">
        <v>107.33580000000001</v>
      </c>
      <c r="S25" s="1017">
        <f>SUM(B25:R25)</f>
        <v>851.56829999999991</v>
      </c>
      <c r="V25" s="1"/>
      <c r="W25" s="57"/>
      <c r="X25" s="57"/>
      <c r="Y25" s="57"/>
      <c r="Z25" s="57"/>
      <c r="AA25" s="57"/>
      <c r="AB25" s="57"/>
      <c r="AC25" s="57"/>
      <c r="AD25" s="57"/>
      <c r="AE25" s="57"/>
      <c r="AF25" s="57"/>
      <c r="AG25" s="57"/>
      <c r="AH25" s="57"/>
      <c r="AI25" s="57"/>
      <c r="AJ25" s="57"/>
      <c r="AK25" s="57"/>
      <c r="AL25" s="57"/>
      <c r="AM25" s="57"/>
      <c r="AN25" s="57"/>
      <c r="AO25" s="306"/>
    </row>
    <row r="26" spans="1:41" x14ac:dyDescent="0.25">
      <c r="A26" s="987" t="s">
        <v>299</v>
      </c>
      <c r="B26" s="1020">
        <v>21.82</v>
      </c>
      <c r="C26" s="1020">
        <v>2.0100000000000002</v>
      </c>
      <c r="D26" s="1020">
        <v>3.3400000000000003</v>
      </c>
      <c r="E26" s="1020">
        <v>0.30000000000000004</v>
      </c>
      <c r="F26" s="996">
        <v>33.86</v>
      </c>
      <c r="G26" s="996">
        <v>7.8000000000000007</v>
      </c>
      <c r="H26" s="996">
        <v>5.65</v>
      </c>
      <c r="I26" s="997">
        <v>30.210000000000004</v>
      </c>
      <c r="J26" s="997">
        <v>49.54</v>
      </c>
      <c r="K26" s="998">
        <v>17.399999999999999</v>
      </c>
      <c r="L26" s="998">
        <v>0.01</v>
      </c>
      <c r="M26" s="998">
        <v>1.95</v>
      </c>
      <c r="N26" s="998">
        <v>2.31</v>
      </c>
      <c r="O26" s="998">
        <v>0.26</v>
      </c>
      <c r="P26" s="999">
        <v>0.01</v>
      </c>
      <c r="Q26" s="999">
        <v>0</v>
      </c>
      <c r="R26" s="1000">
        <v>14.03</v>
      </c>
      <c r="S26" s="1001">
        <f t="shared" ref="S26:S43" si="2">SUM(B26:R26)</f>
        <v>190.49999999999997</v>
      </c>
      <c r="V26" s="1"/>
      <c r="W26" s="57"/>
      <c r="X26" s="57"/>
      <c r="Y26" s="57"/>
      <c r="Z26" s="57"/>
      <c r="AA26" s="57"/>
      <c r="AB26" s="57"/>
      <c r="AC26" s="57"/>
      <c r="AD26" s="57"/>
      <c r="AE26" s="57"/>
      <c r="AF26" s="57"/>
      <c r="AG26" s="57"/>
      <c r="AH26" s="57"/>
      <c r="AI26" s="57"/>
      <c r="AJ26" s="57"/>
      <c r="AK26" s="57"/>
      <c r="AL26" s="57"/>
      <c r="AM26" s="57"/>
      <c r="AN26" s="57"/>
      <c r="AO26" s="306"/>
    </row>
    <row r="27" spans="1:41" x14ac:dyDescent="0.25">
      <c r="A27" s="987" t="s">
        <v>316</v>
      </c>
      <c r="B27" s="1020">
        <v>2.4195500000000152</v>
      </c>
      <c r="C27" s="1020">
        <v>0</v>
      </c>
      <c r="D27" s="1020">
        <v>5.9952000000000005E-2</v>
      </c>
      <c r="E27" s="1020">
        <v>0</v>
      </c>
      <c r="F27" s="996">
        <v>2.8944500000000062</v>
      </c>
      <c r="G27" s="996">
        <v>3.2015900000000101</v>
      </c>
      <c r="H27" s="996">
        <v>1.8477074999999843</v>
      </c>
      <c r="I27" s="997">
        <v>7.389420253065623</v>
      </c>
      <c r="J27" s="997">
        <v>18.221014999999852</v>
      </c>
      <c r="K27" s="998">
        <v>5.9599999999999653E-2</v>
      </c>
      <c r="L27" s="998">
        <v>3.6493499999999699</v>
      </c>
      <c r="M27" s="998">
        <v>4.0958550000000287</v>
      </c>
      <c r="N27" s="998">
        <v>18.644035999999915</v>
      </c>
      <c r="O27" s="998">
        <v>1.7275300000000016</v>
      </c>
      <c r="P27" s="999">
        <v>3.8220399999999586</v>
      </c>
      <c r="Q27" s="999">
        <v>0.75372000000000128</v>
      </c>
      <c r="R27" s="1000">
        <v>8.6852199999999584</v>
      </c>
      <c r="S27" s="1001">
        <f t="shared" si="2"/>
        <v>77.471035753065323</v>
      </c>
      <c r="V27" s="1"/>
      <c r="W27" s="57"/>
      <c r="X27" s="57"/>
      <c r="Y27" s="57"/>
      <c r="Z27" s="57"/>
      <c r="AA27" s="57"/>
      <c r="AB27" s="57"/>
      <c r="AC27" s="57"/>
      <c r="AD27" s="57"/>
      <c r="AE27" s="57"/>
      <c r="AF27" s="57"/>
      <c r="AG27" s="57"/>
      <c r="AH27" s="57"/>
      <c r="AI27" s="57"/>
      <c r="AJ27" s="57"/>
      <c r="AK27" s="57"/>
      <c r="AL27" s="57"/>
      <c r="AM27" s="57"/>
      <c r="AN27" s="57"/>
      <c r="AO27" s="306"/>
    </row>
    <row r="28" spans="1:41" x14ac:dyDescent="0.25">
      <c r="A28" s="987" t="s">
        <v>321</v>
      </c>
      <c r="B28" s="1020">
        <v>49.24953</v>
      </c>
      <c r="C28" s="1020">
        <v>0</v>
      </c>
      <c r="D28" s="1020">
        <v>5.6239920000000003</v>
      </c>
      <c r="E28" s="1020">
        <v>0</v>
      </c>
      <c r="F28" s="996">
        <v>91.718549999999993</v>
      </c>
      <c r="G28" s="996">
        <v>161.57691</v>
      </c>
      <c r="H28" s="996">
        <v>2.4096600000000001</v>
      </c>
      <c r="I28" s="997">
        <v>87.720972311801845</v>
      </c>
      <c r="J28" s="997">
        <v>211.56201000000001</v>
      </c>
      <c r="K28" s="998">
        <v>0</v>
      </c>
      <c r="L28" s="998">
        <v>240.92144999999999</v>
      </c>
      <c r="M28" s="998">
        <v>3.2551200000000002</v>
      </c>
      <c r="N28" s="998">
        <v>0.40451400000000004</v>
      </c>
      <c r="O28" s="998">
        <v>0</v>
      </c>
      <c r="P28" s="999">
        <v>375.80004000000002</v>
      </c>
      <c r="Q28" s="999">
        <v>11.42658</v>
      </c>
      <c r="R28" s="1000">
        <v>473.31207000000001</v>
      </c>
      <c r="S28" s="1001">
        <f t="shared" si="2"/>
        <v>1714.9813983118017</v>
      </c>
      <c r="V28" s="1"/>
      <c r="W28" s="57"/>
      <c r="X28" s="57"/>
      <c r="Y28" s="57"/>
      <c r="Z28" s="57"/>
      <c r="AA28" s="57"/>
      <c r="AB28" s="57"/>
      <c r="AC28" s="57"/>
      <c r="AD28" s="57"/>
      <c r="AE28" s="57"/>
      <c r="AF28" s="57"/>
      <c r="AG28" s="57"/>
      <c r="AH28" s="57"/>
      <c r="AI28" s="57"/>
      <c r="AJ28" s="57"/>
      <c r="AK28" s="57"/>
      <c r="AL28" s="57"/>
      <c r="AM28" s="57"/>
      <c r="AN28" s="57"/>
      <c r="AO28" s="306"/>
    </row>
    <row r="29" spans="1:41" x14ac:dyDescent="0.25">
      <c r="A29" s="987" t="s">
        <v>294</v>
      </c>
      <c r="B29" s="1020">
        <v>0</v>
      </c>
      <c r="C29" s="1020">
        <v>0</v>
      </c>
      <c r="D29" s="1020">
        <v>0</v>
      </c>
      <c r="E29" s="1020">
        <v>0</v>
      </c>
      <c r="F29" s="996">
        <v>0</v>
      </c>
      <c r="G29" s="996">
        <v>5.7700000000000005</v>
      </c>
      <c r="H29" s="996">
        <v>0</v>
      </c>
      <c r="I29" s="997">
        <v>17.48</v>
      </c>
      <c r="J29" s="997">
        <v>16.8</v>
      </c>
      <c r="K29" s="998">
        <v>0</v>
      </c>
      <c r="L29" s="998">
        <v>0.49</v>
      </c>
      <c r="M29" s="998">
        <v>0</v>
      </c>
      <c r="N29" s="998">
        <v>0</v>
      </c>
      <c r="O29" s="998">
        <v>0</v>
      </c>
      <c r="P29" s="999">
        <v>0</v>
      </c>
      <c r="Q29" s="999">
        <v>7.02</v>
      </c>
      <c r="R29" s="1000">
        <v>14.260000000000002</v>
      </c>
      <c r="S29" s="1001">
        <f t="shared" si="2"/>
        <v>61.820000000000007</v>
      </c>
      <c r="V29" s="1"/>
      <c r="W29" s="57"/>
      <c r="X29" s="57"/>
      <c r="Y29" s="57"/>
      <c r="Z29" s="57"/>
      <c r="AA29" s="57"/>
      <c r="AB29" s="57"/>
      <c r="AC29" s="57"/>
      <c r="AD29" s="57"/>
      <c r="AE29" s="57"/>
      <c r="AF29" s="57"/>
      <c r="AG29" s="57"/>
      <c r="AH29" s="57"/>
      <c r="AI29" s="57"/>
      <c r="AJ29" s="57"/>
      <c r="AK29" s="57"/>
      <c r="AL29" s="57"/>
      <c r="AM29" s="57"/>
      <c r="AN29" s="57"/>
      <c r="AO29" s="306"/>
    </row>
    <row r="30" spans="1:41" x14ac:dyDescent="0.25">
      <c r="A30" s="987" t="s">
        <v>318</v>
      </c>
      <c r="B30" s="1020">
        <v>24.45102</v>
      </c>
      <c r="C30" s="1020">
        <v>0</v>
      </c>
      <c r="D30" s="1020">
        <v>0.31125600000000003</v>
      </c>
      <c r="E30" s="1020">
        <v>0</v>
      </c>
      <c r="F30" s="996">
        <v>183.5361</v>
      </c>
      <c r="G30" s="996">
        <v>107.8506</v>
      </c>
      <c r="H30" s="996">
        <v>24.924982500000002</v>
      </c>
      <c r="I30" s="997">
        <v>517.8541327416799</v>
      </c>
      <c r="J30" s="997">
        <v>1502.990775</v>
      </c>
      <c r="K30" s="998">
        <v>0</v>
      </c>
      <c r="L30" s="998">
        <v>59.459400000000002</v>
      </c>
      <c r="M30" s="998">
        <v>383.55322500000005</v>
      </c>
      <c r="N30" s="998">
        <v>1845.3550499999999</v>
      </c>
      <c r="O30" s="998">
        <v>171.02546999999998</v>
      </c>
      <c r="P30" s="999">
        <v>2.5819199999999998</v>
      </c>
      <c r="Q30" s="999">
        <v>0</v>
      </c>
      <c r="R30" s="1000">
        <v>279.18890999999996</v>
      </c>
      <c r="S30" s="1001">
        <f t="shared" si="2"/>
        <v>5103.0828412416795</v>
      </c>
      <c r="V30" s="1"/>
      <c r="W30" s="57"/>
      <c r="X30" s="57"/>
      <c r="Y30" s="57"/>
      <c r="Z30" s="57"/>
      <c r="AA30" s="57"/>
      <c r="AB30" s="57"/>
      <c r="AC30" s="57"/>
      <c r="AD30" s="57"/>
      <c r="AE30" s="57"/>
      <c r="AF30" s="57"/>
      <c r="AG30" s="57"/>
      <c r="AH30" s="57"/>
      <c r="AI30" s="57"/>
      <c r="AJ30" s="57"/>
      <c r="AK30" s="57"/>
      <c r="AL30" s="57"/>
      <c r="AM30" s="57"/>
      <c r="AN30" s="57"/>
      <c r="AO30" s="306"/>
    </row>
    <row r="31" spans="1:41" x14ac:dyDescent="0.25">
      <c r="A31" s="987" t="s">
        <v>310</v>
      </c>
      <c r="B31" s="1020">
        <v>20.86</v>
      </c>
      <c r="C31" s="1020">
        <v>58.16</v>
      </c>
      <c r="D31" s="1020">
        <v>35.99</v>
      </c>
      <c r="E31" s="1020">
        <v>35.24</v>
      </c>
      <c r="F31" s="996">
        <v>90.047371300000009</v>
      </c>
      <c r="G31" s="996">
        <v>80.703599999999994</v>
      </c>
      <c r="H31" s="996">
        <v>28.016677400000003</v>
      </c>
      <c r="I31" s="997">
        <v>653.65</v>
      </c>
      <c r="J31" s="997">
        <v>249.65</v>
      </c>
      <c r="K31" s="998">
        <v>355.31899999999996</v>
      </c>
      <c r="L31" s="998">
        <v>177.19019999999998</v>
      </c>
      <c r="M31" s="998">
        <v>122.5917</v>
      </c>
      <c r="N31" s="998">
        <v>388.20799999999997</v>
      </c>
      <c r="O31" s="998">
        <v>0.39100000000000001</v>
      </c>
      <c r="P31" s="999">
        <v>39.392099999999999</v>
      </c>
      <c r="Q31" s="999">
        <v>108.70200000000001</v>
      </c>
      <c r="R31" s="1000">
        <v>493.97150000000005</v>
      </c>
      <c r="S31" s="1001">
        <f t="shared" si="2"/>
        <v>2938.0831487000005</v>
      </c>
      <c r="V31" s="1"/>
      <c r="W31" s="57"/>
      <c r="X31" s="57"/>
      <c r="Y31" s="57"/>
      <c r="Z31" s="57"/>
      <c r="AA31" s="57"/>
      <c r="AB31" s="57"/>
      <c r="AC31" s="57"/>
      <c r="AD31" s="57"/>
      <c r="AE31" s="57"/>
      <c r="AF31" s="57"/>
      <c r="AG31" s="57"/>
      <c r="AH31" s="57"/>
      <c r="AI31" s="57"/>
      <c r="AJ31" s="57"/>
      <c r="AK31" s="57"/>
      <c r="AL31" s="57"/>
      <c r="AM31" s="57"/>
      <c r="AN31" s="57"/>
      <c r="AO31" s="306"/>
    </row>
    <row r="32" spans="1:41" x14ac:dyDescent="0.25">
      <c r="A32" s="987" t="s">
        <v>292</v>
      </c>
      <c r="B32" s="1020">
        <v>140.53</v>
      </c>
      <c r="C32" s="1020">
        <v>439.73</v>
      </c>
      <c r="D32" s="1020">
        <v>0</v>
      </c>
      <c r="E32" s="1020">
        <v>27.93</v>
      </c>
      <c r="F32" s="996">
        <v>215.68</v>
      </c>
      <c r="G32" s="996">
        <v>60.800000000000004</v>
      </c>
      <c r="H32" s="996">
        <v>78.53</v>
      </c>
      <c r="I32" s="997">
        <v>510.68</v>
      </c>
      <c r="J32" s="997">
        <v>836.63</v>
      </c>
      <c r="K32" s="998">
        <v>12.35</v>
      </c>
      <c r="L32" s="998">
        <v>160.04</v>
      </c>
      <c r="M32" s="998">
        <v>16.78</v>
      </c>
      <c r="N32" s="998">
        <v>62.13</v>
      </c>
      <c r="O32" s="998">
        <v>11.32</v>
      </c>
      <c r="P32" s="999">
        <v>0</v>
      </c>
      <c r="Q32" s="999">
        <v>0</v>
      </c>
      <c r="R32" s="1000">
        <v>145.93</v>
      </c>
      <c r="S32" s="1001">
        <f t="shared" si="2"/>
        <v>2719.06</v>
      </c>
      <c r="V32" s="1"/>
      <c r="W32" s="57"/>
      <c r="X32" s="57"/>
      <c r="Y32" s="57"/>
      <c r="Z32" s="57"/>
      <c r="AA32" s="57"/>
      <c r="AB32" s="57"/>
      <c r="AC32" s="57"/>
      <c r="AD32" s="57"/>
      <c r="AE32" s="57"/>
      <c r="AF32" s="57"/>
      <c r="AG32" s="57"/>
      <c r="AH32" s="57"/>
      <c r="AI32" s="57"/>
      <c r="AJ32" s="57"/>
      <c r="AK32" s="57"/>
      <c r="AL32" s="57"/>
      <c r="AM32" s="57"/>
      <c r="AN32" s="57"/>
      <c r="AO32" s="306"/>
    </row>
    <row r="33" spans="1:41" x14ac:dyDescent="0.25">
      <c r="A33" s="988" t="s">
        <v>324</v>
      </c>
      <c r="B33" s="1021">
        <v>5.25</v>
      </c>
      <c r="C33" s="1021">
        <v>0</v>
      </c>
      <c r="D33" s="1021">
        <v>0.68640000000000001</v>
      </c>
      <c r="E33" s="1021">
        <v>0</v>
      </c>
      <c r="F33" s="1002">
        <v>7.1349999999999998</v>
      </c>
      <c r="G33" s="1002">
        <v>52.53</v>
      </c>
      <c r="H33" s="1002">
        <v>0.45119999999999999</v>
      </c>
      <c r="I33" s="1003">
        <v>37.008238284352664</v>
      </c>
      <c r="J33" s="1003">
        <v>18.748000000000001</v>
      </c>
      <c r="K33" s="1004">
        <v>0</v>
      </c>
      <c r="L33" s="1004">
        <v>1.7230000000000001</v>
      </c>
      <c r="M33" s="1004">
        <v>1.7760000000000002</v>
      </c>
      <c r="N33" s="1004">
        <v>0</v>
      </c>
      <c r="O33" s="1004">
        <v>0</v>
      </c>
      <c r="P33" s="1005">
        <v>202.23699999999997</v>
      </c>
      <c r="Q33" s="1005">
        <v>11.814</v>
      </c>
      <c r="R33" s="1006">
        <v>11.463000000000001</v>
      </c>
      <c r="S33" s="1007">
        <f t="shared" si="2"/>
        <v>350.82183828435268</v>
      </c>
      <c r="V33" s="1"/>
      <c r="W33" s="57"/>
      <c r="X33" s="57"/>
      <c r="Y33" s="57"/>
      <c r="Z33" s="57"/>
      <c r="AA33" s="57"/>
      <c r="AB33" s="57"/>
      <c r="AC33" s="57"/>
      <c r="AD33" s="57"/>
      <c r="AE33" s="57"/>
      <c r="AF33" s="57"/>
      <c r="AG33" s="57"/>
      <c r="AH33" s="57"/>
      <c r="AI33" s="57"/>
      <c r="AJ33" s="57"/>
      <c r="AK33" s="57"/>
      <c r="AL33" s="57"/>
      <c r="AM33" s="57"/>
      <c r="AN33" s="57"/>
      <c r="AO33" s="306"/>
    </row>
    <row r="34" spans="1:41" x14ac:dyDescent="0.25">
      <c r="A34" s="1011" t="s">
        <v>317</v>
      </c>
      <c r="B34" s="1019">
        <v>1.1250749999999954</v>
      </c>
      <c r="C34" s="1019">
        <v>0.29947499999999749</v>
      </c>
      <c r="D34" s="1019">
        <v>0.10036100000000125</v>
      </c>
      <c r="E34" s="1019">
        <v>5.2499999999999769E-3</v>
      </c>
      <c r="F34" s="1012">
        <v>1.9147800000000075</v>
      </c>
      <c r="G34" s="1012">
        <v>1.3281299999999874</v>
      </c>
      <c r="H34" s="1012">
        <v>0.92734249999999463</v>
      </c>
      <c r="I34" s="1013">
        <v>5.3466347469345692</v>
      </c>
      <c r="J34" s="1013">
        <v>10.245184999999992</v>
      </c>
      <c r="K34" s="1014">
        <v>0.1404999999999994</v>
      </c>
      <c r="L34" s="1014">
        <v>2.3472399999999993</v>
      </c>
      <c r="M34" s="1014">
        <v>1.8175050000000113</v>
      </c>
      <c r="N34" s="1014">
        <v>8.0048940000000357</v>
      </c>
      <c r="O34" s="1014">
        <v>0.74036999999999864</v>
      </c>
      <c r="P34" s="1015">
        <v>1.4600200000000143</v>
      </c>
      <c r="Q34" s="1015">
        <v>0.37511500000000098</v>
      </c>
      <c r="R34" s="1016">
        <v>2.9160850000000096</v>
      </c>
      <c r="S34" s="1017">
        <f t="shared" si="2"/>
        <v>39.093962246934616</v>
      </c>
      <c r="V34" s="1"/>
      <c r="W34" s="57"/>
      <c r="X34" s="57"/>
      <c r="Y34" s="57"/>
      <c r="Z34" s="57"/>
      <c r="AA34" s="57"/>
      <c r="AB34" s="57"/>
      <c r="AC34" s="57"/>
      <c r="AD34" s="57"/>
      <c r="AE34" s="57"/>
      <c r="AF34" s="57"/>
      <c r="AG34" s="57"/>
      <c r="AH34" s="57"/>
      <c r="AI34" s="57"/>
      <c r="AJ34" s="57"/>
      <c r="AK34" s="57"/>
      <c r="AL34" s="57"/>
      <c r="AM34" s="57"/>
      <c r="AN34" s="57"/>
      <c r="AO34" s="306"/>
    </row>
    <row r="35" spans="1:41" x14ac:dyDescent="0.25">
      <c r="A35" s="987" t="s">
        <v>322</v>
      </c>
      <c r="B35" s="1020">
        <v>4.8861449999999973</v>
      </c>
      <c r="C35" s="1020">
        <v>5.4425250000000025</v>
      </c>
      <c r="D35" s="1020">
        <v>4.0495949999999992</v>
      </c>
      <c r="E35" s="1020">
        <v>0.51975000000000005</v>
      </c>
      <c r="F35" s="996">
        <v>167.09022000000002</v>
      </c>
      <c r="G35" s="996">
        <v>116.39726999999998</v>
      </c>
      <c r="H35" s="996">
        <v>15.900389999999996</v>
      </c>
      <c r="I35" s="997">
        <v>409.12587268819823</v>
      </c>
      <c r="J35" s="997">
        <v>513.27638999999999</v>
      </c>
      <c r="K35" s="998">
        <v>13.810499999999999</v>
      </c>
      <c r="L35" s="998">
        <v>192.73715999999999</v>
      </c>
      <c r="M35" s="998">
        <v>52.081920000000004</v>
      </c>
      <c r="N35" s="998">
        <v>1.6180559999999993</v>
      </c>
      <c r="O35" s="998">
        <v>0</v>
      </c>
      <c r="P35" s="999">
        <v>134.21429999999992</v>
      </c>
      <c r="Q35" s="999">
        <v>37.136384999999997</v>
      </c>
      <c r="R35" s="1000">
        <v>169.04002500000001</v>
      </c>
      <c r="S35" s="1001">
        <f t="shared" si="2"/>
        <v>1837.3265036881983</v>
      </c>
      <c r="V35" s="1"/>
      <c r="W35" s="57"/>
      <c r="X35" s="57"/>
      <c r="Y35" s="57"/>
      <c r="Z35" s="57"/>
      <c r="AA35" s="57"/>
      <c r="AB35" s="57"/>
      <c r="AC35" s="57"/>
      <c r="AD35" s="57"/>
      <c r="AE35" s="57"/>
      <c r="AF35" s="57"/>
      <c r="AG35" s="57"/>
      <c r="AH35" s="57"/>
      <c r="AI35" s="57"/>
      <c r="AJ35" s="57"/>
      <c r="AK35" s="57"/>
      <c r="AL35" s="57"/>
      <c r="AM35" s="57"/>
      <c r="AN35" s="57"/>
      <c r="AO35" s="306"/>
    </row>
    <row r="36" spans="1:41" x14ac:dyDescent="0.25">
      <c r="A36" s="987" t="s">
        <v>314</v>
      </c>
      <c r="B36" s="1020">
        <v>106.49628</v>
      </c>
      <c r="C36" s="1020">
        <v>24.205500000000001</v>
      </c>
      <c r="D36" s="1020">
        <v>5.8861439999999998</v>
      </c>
      <c r="E36" s="1020">
        <v>0</v>
      </c>
      <c r="F36" s="996">
        <v>22.472999999999988</v>
      </c>
      <c r="G36" s="996">
        <v>15.087600000000009</v>
      </c>
      <c r="H36" s="996">
        <v>75.906517500000007</v>
      </c>
      <c r="I36" s="997">
        <v>120.19096725832009</v>
      </c>
      <c r="J36" s="997">
        <v>500.99692500000009</v>
      </c>
      <c r="K36" s="998">
        <v>9.9000000000000005E-2</v>
      </c>
      <c r="L36" s="998">
        <v>39.639599999999994</v>
      </c>
      <c r="M36" s="998">
        <v>127.85107499999998</v>
      </c>
      <c r="N36" s="998">
        <v>790.86644999999999</v>
      </c>
      <c r="O36" s="998">
        <v>73.296630000000007</v>
      </c>
      <c r="P36" s="999">
        <v>10.327679999999999</v>
      </c>
      <c r="Q36" s="999">
        <v>0</v>
      </c>
      <c r="R36" s="1000">
        <v>119.65238999999993</v>
      </c>
      <c r="S36" s="1001">
        <f t="shared" si="2"/>
        <v>2032.9757587583201</v>
      </c>
      <c r="V36" s="1"/>
      <c r="W36" s="57"/>
      <c r="X36" s="57"/>
      <c r="Y36" s="57"/>
      <c r="Z36" s="57"/>
      <c r="AA36" s="57"/>
      <c r="AB36" s="57"/>
      <c r="AC36" s="57"/>
      <c r="AD36" s="57"/>
      <c r="AE36" s="57"/>
      <c r="AF36" s="57"/>
      <c r="AG36" s="57"/>
      <c r="AH36" s="57"/>
      <c r="AI36" s="57"/>
      <c r="AJ36" s="57"/>
      <c r="AK36" s="57"/>
      <c r="AL36" s="57"/>
      <c r="AM36" s="57"/>
      <c r="AN36" s="57"/>
      <c r="AO36" s="306"/>
    </row>
    <row r="37" spans="1:41" x14ac:dyDescent="0.25">
      <c r="A37" s="987" t="s">
        <v>319</v>
      </c>
      <c r="B37" s="1020">
        <v>0</v>
      </c>
      <c r="C37" s="1020">
        <v>0</v>
      </c>
      <c r="D37" s="1020">
        <v>0</v>
      </c>
      <c r="E37" s="1020">
        <v>0</v>
      </c>
      <c r="F37" s="996">
        <v>0</v>
      </c>
      <c r="G37" s="996">
        <v>13.72749999999999</v>
      </c>
      <c r="H37" s="996">
        <v>2.2187999999999999</v>
      </c>
      <c r="I37" s="997">
        <v>171.90476171564734</v>
      </c>
      <c r="J37" s="997">
        <v>43.763999999999996</v>
      </c>
      <c r="K37" s="998">
        <v>12.393000000000001</v>
      </c>
      <c r="L37" s="998">
        <v>6.8919999999999995</v>
      </c>
      <c r="M37" s="998">
        <v>7.1039999999999957</v>
      </c>
      <c r="N37" s="998">
        <v>1.6875</v>
      </c>
      <c r="O37" s="998">
        <v>0</v>
      </c>
      <c r="P37" s="999">
        <v>72.227500000000006</v>
      </c>
      <c r="Q37" s="999">
        <v>41.349000000000004</v>
      </c>
      <c r="R37" s="1000">
        <v>160.48200000000003</v>
      </c>
      <c r="S37" s="1001">
        <f t="shared" si="2"/>
        <v>533.75006171564735</v>
      </c>
      <c r="V37" s="1"/>
      <c r="W37" s="57"/>
      <c r="X37" s="57"/>
      <c r="Y37" s="57"/>
      <c r="Z37" s="57"/>
      <c r="AA37" s="57"/>
      <c r="AB37" s="57"/>
      <c r="AC37" s="57"/>
      <c r="AD37" s="57"/>
      <c r="AE37" s="57"/>
      <c r="AF37" s="57"/>
      <c r="AG37" s="57"/>
      <c r="AH37" s="57"/>
      <c r="AI37" s="57"/>
      <c r="AJ37" s="57"/>
      <c r="AK37" s="57"/>
      <c r="AL37" s="57"/>
      <c r="AM37" s="57"/>
      <c r="AN37" s="57"/>
      <c r="AO37" s="306"/>
    </row>
    <row r="38" spans="1:41" x14ac:dyDescent="0.25">
      <c r="A38" s="987" t="s">
        <v>312</v>
      </c>
      <c r="B38" s="1020">
        <v>3.0899999999999963</v>
      </c>
      <c r="C38" s="1020">
        <v>0.49000000000000021</v>
      </c>
      <c r="D38" s="1020">
        <v>4.9999999999999822E-2</v>
      </c>
      <c r="E38" s="1020">
        <v>0.04</v>
      </c>
      <c r="F38" s="996">
        <v>0.87000000000000099</v>
      </c>
      <c r="G38" s="996">
        <v>2.0100400000000036</v>
      </c>
      <c r="H38" s="996">
        <v>0.10206966000000006</v>
      </c>
      <c r="I38" s="997">
        <v>0.47999999999999865</v>
      </c>
      <c r="J38" s="997">
        <v>1.8399999999999963</v>
      </c>
      <c r="K38" s="998">
        <v>0.10000000000000009</v>
      </c>
      <c r="L38" s="998">
        <v>4.9999999999999871E-4</v>
      </c>
      <c r="M38" s="998">
        <v>0.58349999999999902</v>
      </c>
      <c r="N38" s="998">
        <v>0.44549999999999912</v>
      </c>
      <c r="O38" s="998">
        <v>2.5000000000000001E-2</v>
      </c>
      <c r="P38" s="999">
        <v>0.64500000000000002</v>
      </c>
      <c r="Q38" s="999">
        <v>0</v>
      </c>
      <c r="R38" s="1000">
        <v>0.70000000000000018</v>
      </c>
      <c r="S38" s="1001">
        <f t="shared" si="2"/>
        <v>11.471609659999995</v>
      </c>
      <c r="V38" s="1"/>
      <c r="W38" s="57"/>
      <c r="X38" s="57"/>
      <c r="Y38" s="57"/>
      <c r="Z38" s="57"/>
      <c r="AA38" s="57"/>
      <c r="AB38" s="57"/>
      <c r="AC38" s="57"/>
      <c r="AD38" s="57"/>
      <c r="AE38" s="57"/>
      <c r="AF38" s="57"/>
      <c r="AG38" s="57"/>
      <c r="AH38" s="57"/>
      <c r="AI38" s="57"/>
      <c r="AJ38" s="57"/>
      <c r="AK38" s="57"/>
      <c r="AL38" s="57"/>
      <c r="AM38" s="57"/>
      <c r="AN38" s="57"/>
      <c r="AO38" s="306"/>
    </row>
    <row r="39" spans="1:41" x14ac:dyDescent="0.25">
      <c r="A39" s="988" t="s">
        <v>313</v>
      </c>
      <c r="B39" s="1021">
        <v>39.700000000000003</v>
      </c>
      <c r="C39" s="1021">
        <v>4.0999999999999996</v>
      </c>
      <c r="D39" s="1021">
        <v>2</v>
      </c>
      <c r="E39" s="1021">
        <v>0</v>
      </c>
      <c r="F39" s="1002">
        <v>20.53</v>
      </c>
      <c r="G39" s="1002">
        <v>37.339959999999998</v>
      </c>
      <c r="H39" s="1002">
        <v>0.76793034000000004</v>
      </c>
      <c r="I39" s="1003">
        <v>10.700000000000001</v>
      </c>
      <c r="J39" s="1003">
        <v>34.6</v>
      </c>
      <c r="K39" s="1004">
        <v>1.9</v>
      </c>
      <c r="L39" s="1004">
        <v>9.5000000000000015E-3</v>
      </c>
      <c r="M39" s="1004">
        <v>11.086500000000001</v>
      </c>
      <c r="N39" s="1004">
        <v>8.464500000000001</v>
      </c>
      <c r="O39" s="1004">
        <v>2.5000000000000001E-2</v>
      </c>
      <c r="P39" s="1005">
        <v>0.64500000000000002</v>
      </c>
      <c r="Q39" s="1005">
        <v>0</v>
      </c>
      <c r="R39" s="1006">
        <v>0.7</v>
      </c>
      <c r="S39" s="1007">
        <f t="shared" si="2"/>
        <v>172.56839034000001</v>
      </c>
      <c r="V39" s="1"/>
      <c r="W39" s="57"/>
      <c r="X39" s="57"/>
      <c r="Y39" s="57"/>
      <c r="Z39" s="57"/>
      <c r="AA39" s="57"/>
      <c r="AB39" s="57"/>
      <c r="AC39" s="57"/>
      <c r="AD39" s="57"/>
      <c r="AE39" s="57"/>
      <c r="AF39" s="57"/>
      <c r="AG39" s="57"/>
      <c r="AH39" s="57"/>
      <c r="AI39" s="57"/>
      <c r="AJ39" s="57"/>
      <c r="AK39" s="57"/>
      <c r="AL39" s="57"/>
      <c r="AM39" s="57"/>
      <c r="AN39" s="57"/>
      <c r="AO39" s="306"/>
    </row>
    <row r="40" spans="1:41" x14ac:dyDescent="0.25">
      <c r="A40" s="987" t="s">
        <v>323</v>
      </c>
      <c r="B40" s="1020">
        <v>18.227499999999999</v>
      </c>
      <c r="C40" s="1020">
        <v>16.492499999999996</v>
      </c>
      <c r="D40" s="1020">
        <v>9.8699999999999996E-2</v>
      </c>
      <c r="E40" s="1020">
        <v>0.22500000000000001</v>
      </c>
      <c r="F40" s="996">
        <v>29.047000000000004</v>
      </c>
      <c r="G40" s="996">
        <v>14.777999999999999</v>
      </c>
      <c r="H40" s="996">
        <v>18.494999999999997</v>
      </c>
      <c r="I40" s="997">
        <v>88.56450000000001</v>
      </c>
      <c r="J40" s="997">
        <v>183.04</v>
      </c>
      <c r="K40" s="998">
        <v>1.55</v>
      </c>
      <c r="L40" s="998">
        <v>48.670999999999992</v>
      </c>
      <c r="M40" s="998">
        <v>9.8640000000000008</v>
      </c>
      <c r="N40" s="998">
        <v>38.817</v>
      </c>
      <c r="O40" s="998">
        <v>0</v>
      </c>
      <c r="P40" s="999">
        <v>27.113999999999997</v>
      </c>
      <c r="Q40" s="999">
        <v>8.6564999999999994</v>
      </c>
      <c r="R40" s="1000">
        <v>34.149499999999996</v>
      </c>
      <c r="S40" s="1001">
        <f t="shared" si="2"/>
        <v>537.79020000000003</v>
      </c>
      <c r="V40" s="1"/>
      <c r="W40" s="57"/>
      <c r="X40" s="57"/>
      <c r="Y40" s="57"/>
      <c r="Z40" s="57"/>
      <c r="AA40" s="57"/>
      <c r="AB40" s="57"/>
      <c r="AC40" s="57"/>
      <c r="AD40" s="57"/>
      <c r="AE40" s="57"/>
      <c r="AF40" s="57"/>
      <c r="AG40" s="57"/>
      <c r="AH40" s="57"/>
      <c r="AI40" s="57"/>
      <c r="AJ40" s="57"/>
      <c r="AK40" s="57"/>
      <c r="AL40" s="57"/>
      <c r="AM40" s="57"/>
      <c r="AN40" s="57"/>
      <c r="AO40" s="306"/>
    </row>
    <row r="41" spans="1:41" x14ac:dyDescent="0.25">
      <c r="A41" s="987" t="s">
        <v>332</v>
      </c>
      <c r="B41" s="1020">
        <v>7.6</v>
      </c>
      <c r="C41" s="1020">
        <v>5.5</v>
      </c>
      <c r="D41" s="1020">
        <v>2.5</v>
      </c>
      <c r="E41" s="1020">
        <v>1.5</v>
      </c>
      <c r="F41" s="996">
        <v>6.7426287000000009</v>
      </c>
      <c r="G41" s="996">
        <v>10.086400000000001</v>
      </c>
      <c r="H41" s="996">
        <v>1.4733226000000001</v>
      </c>
      <c r="I41" s="997">
        <v>13.1</v>
      </c>
      <c r="J41" s="997">
        <v>25.9</v>
      </c>
      <c r="K41" s="998">
        <v>18.701000000000001</v>
      </c>
      <c r="L41" s="998">
        <v>1.7897999999999998</v>
      </c>
      <c r="M41" s="998">
        <v>1.2383</v>
      </c>
      <c r="N41" s="998">
        <v>97.052000000000007</v>
      </c>
      <c r="O41" s="998">
        <v>3.5190000000000001</v>
      </c>
      <c r="P41" s="999">
        <v>0.39789999999999998</v>
      </c>
      <c r="Q41" s="999">
        <v>1.0980000000000001</v>
      </c>
      <c r="R41" s="1000">
        <v>25.998500000000003</v>
      </c>
      <c r="S41" s="1001">
        <f t="shared" si="2"/>
        <v>224.19685130000002</v>
      </c>
      <c r="V41" s="1"/>
      <c r="W41" s="57"/>
      <c r="X41" s="57"/>
      <c r="Y41" s="57"/>
      <c r="Z41" s="57"/>
      <c r="AA41" s="57"/>
      <c r="AB41" s="57"/>
      <c r="AC41" s="57"/>
      <c r="AD41" s="57"/>
      <c r="AE41" s="57"/>
      <c r="AF41" s="57"/>
      <c r="AG41" s="57"/>
      <c r="AH41" s="57"/>
      <c r="AI41" s="57"/>
      <c r="AJ41" s="57"/>
      <c r="AK41" s="57"/>
      <c r="AL41" s="57"/>
      <c r="AM41" s="57"/>
      <c r="AN41" s="57"/>
      <c r="AO41" s="306"/>
    </row>
    <row r="42" spans="1:41" x14ac:dyDescent="0.25">
      <c r="A42" s="988" t="s">
        <v>320</v>
      </c>
      <c r="B42" s="1021">
        <v>5.83</v>
      </c>
      <c r="C42" s="1021">
        <v>6.16</v>
      </c>
      <c r="D42" s="1021">
        <v>0.59360000000000002</v>
      </c>
      <c r="E42" s="1021">
        <v>0.19</v>
      </c>
      <c r="F42" s="1002">
        <v>6.0150000000000023</v>
      </c>
      <c r="G42" s="1002">
        <v>11.692499999999997</v>
      </c>
      <c r="H42" s="1002">
        <v>2.67</v>
      </c>
      <c r="I42" s="1003">
        <v>36.866999999999997</v>
      </c>
      <c r="J42" s="1003">
        <v>15.628</v>
      </c>
      <c r="K42" s="1004">
        <v>1.3769999999999998</v>
      </c>
      <c r="L42" s="1004">
        <v>8.6150000000000002</v>
      </c>
      <c r="M42" s="1004">
        <v>26.640000000000004</v>
      </c>
      <c r="N42" s="1004">
        <v>32.0625</v>
      </c>
      <c r="O42" s="1004">
        <v>1.1499999999999999</v>
      </c>
      <c r="P42" s="1005">
        <v>14.445499999999997</v>
      </c>
      <c r="Q42" s="1005">
        <v>5.907</v>
      </c>
      <c r="R42" s="1006">
        <v>57.315000000000012</v>
      </c>
      <c r="S42" s="1007">
        <f t="shared" si="2"/>
        <v>233.15810000000005</v>
      </c>
      <c r="V42" s="1"/>
      <c r="W42" s="57"/>
      <c r="X42" s="57"/>
      <c r="Y42" s="57"/>
      <c r="Z42" s="57"/>
      <c r="AA42" s="57"/>
      <c r="AB42" s="57"/>
      <c r="AC42" s="57"/>
      <c r="AD42" s="57"/>
      <c r="AE42" s="57"/>
      <c r="AF42" s="57"/>
      <c r="AG42" s="57"/>
      <c r="AH42" s="57"/>
      <c r="AI42" s="57"/>
      <c r="AJ42" s="57"/>
      <c r="AK42" s="57"/>
      <c r="AL42" s="57"/>
      <c r="AM42" s="57"/>
      <c r="AN42" s="57"/>
      <c r="AO42" s="306"/>
    </row>
    <row r="43" spans="1:41" ht="15.75" thickBot="1" x14ac:dyDescent="0.3">
      <c r="A43" s="994" t="s">
        <v>331</v>
      </c>
      <c r="B43" s="1008">
        <f>SUM(B25:B42)</f>
        <v>617.37</v>
      </c>
      <c r="C43" s="1008">
        <f t="shared" ref="C43:R43" si="3">SUM(C25:C42)</f>
        <v>562.58999999999992</v>
      </c>
      <c r="D43" s="1008">
        <f t="shared" si="3"/>
        <v>61.29</v>
      </c>
      <c r="E43" s="1008">
        <f t="shared" si="3"/>
        <v>65.949999999999989</v>
      </c>
      <c r="F43" s="1008">
        <f t="shared" si="3"/>
        <v>890.85</v>
      </c>
      <c r="G43" s="1008">
        <f t="shared" si="3"/>
        <v>750.20999999999992</v>
      </c>
      <c r="H43" s="1008">
        <f t="shared" si="3"/>
        <v>415.88000000000005</v>
      </c>
      <c r="I43" s="1008">
        <f t="shared" si="3"/>
        <v>2844.2500000000005</v>
      </c>
      <c r="J43" s="1008">
        <f t="shared" si="3"/>
        <v>4322.7599999999993</v>
      </c>
      <c r="K43" s="1008">
        <f t="shared" si="3"/>
        <v>441.1</v>
      </c>
      <c r="L43" s="1008">
        <f t="shared" si="3"/>
        <v>1005.0899999999999</v>
      </c>
      <c r="M43" s="1008">
        <f t="shared" si="3"/>
        <v>790.95</v>
      </c>
      <c r="N43" s="1008">
        <f t="shared" si="3"/>
        <v>3296.0699999999997</v>
      </c>
      <c r="O43" s="1008">
        <f t="shared" si="3"/>
        <v>263.4799999999999</v>
      </c>
      <c r="P43" s="1008">
        <f t="shared" si="3"/>
        <v>885.31999999999994</v>
      </c>
      <c r="Q43" s="1008">
        <f t="shared" si="3"/>
        <v>297.42999999999995</v>
      </c>
      <c r="R43" s="1009">
        <f t="shared" si="3"/>
        <v>2119.13</v>
      </c>
      <c r="S43" s="1010">
        <f>SUM(B43:R43)</f>
        <v>19629.720000000005</v>
      </c>
    </row>
  </sheetData>
  <autoFilter ref="A24:S43">
    <sortState ref="A25:S43">
      <sortCondition ref="A24:A43"/>
    </sortState>
  </autoFilter>
  <mergeCells count="3">
    <mergeCell ref="W2:AA2"/>
    <mergeCell ref="W3:AA3"/>
    <mergeCell ref="W4:AA4"/>
  </mergeCells>
  <conditionalFormatting sqref="B3:S19">
    <cfRule type="cellIs" dxfId="5" priority="8" operator="equal">
      <formula>0</formula>
    </cfRule>
  </conditionalFormatting>
  <conditionalFormatting sqref="B20:T20">
    <cfRule type="cellIs" dxfId="4" priority="7" operator="equal">
      <formula>0</formula>
    </cfRule>
  </conditionalFormatting>
  <conditionalFormatting sqref="B3:T20">
    <cfRule type="cellIs" dxfId="3" priority="6" operator="greaterThan">
      <formula>0</formula>
    </cfRule>
  </conditionalFormatting>
  <conditionalFormatting sqref="U1:U1048576">
    <cfRule type="cellIs" dxfId="2" priority="4" operator="equal">
      <formula>"error"</formula>
    </cfRule>
    <cfRule type="cellIs" dxfId="1" priority="5" operator="equal">
      <formula>"ok"</formula>
    </cfRule>
  </conditionalFormatting>
  <conditionalFormatting sqref="B25:S43">
    <cfRule type="cellIs" dxfId="0" priority="1" operator="equal">
      <formula>0</formula>
    </cfRule>
  </conditionalFormatting>
  <hyperlinks>
    <hyperlink ref="W10" r:id="rId1"/>
    <hyperlink ref="W8" r:id="rId2"/>
    <hyperlink ref="W9" r:id="rId3"/>
    <hyperlink ref="W11" r:id="rId4"/>
    <hyperlink ref="W12" r:id="rId5"/>
    <hyperlink ref="W13" r:id="rId6"/>
  </hyperlinks>
  <pageMargins left="0.7" right="0.7" top="0.78740157499999996" bottom="0.78740157499999996" header="0.3" footer="0.3"/>
  <pageSetup paperSize="9" orientation="portrait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3"/>
  <sheetViews>
    <sheetView workbookViewId="0">
      <selection activeCell="O24" sqref="O24"/>
    </sheetView>
  </sheetViews>
  <sheetFormatPr baseColWidth="10" defaultRowHeight="15" x14ac:dyDescent="0.25"/>
  <cols>
    <col min="1" max="1" width="9.140625" style="1" customWidth="1"/>
    <col min="2" max="19" width="9.140625" style="57" customWidth="1"/>
    <col min="20" max="20" width="9.140625" style="306" customWidth="1"/>
    <col min="21" max="21" width="9.140625" style="320" customWidth="1"/>
    <col min="22" max="28" width="9.140625" customWidth="1"/>
    <col min="29" max="29" width="6.5703125" customWidth="1"/>
  </cols>
  <sheetData>
    <row r="1" spans="1:28" s="304" customFormat="1" ht="35.25" customHeight="1" x14ac:dyDescent="0.25">
      <c r="A1" s="597" t="s">
        <v>419</v>
      </c>
      <c r="B1" s="598"/>
      <c r="C1" s="598"/>
      <c r="D1" s="598"/>
      <c r="E1" s="599"/>
      <c r="F1" s="598"/>
      <c r="G1" s="598"/>
      <c r="H1" s="598"/>
      <c r="I1" s="598"/>
      <c r="J1" s="598"/>
      <c r="K1" s="598"/>
      <c r="L1" s="598"/>
      <c r="M1" s="598"/>
      <c r="N1" s="598"/>
      <c r="O1" s="598"/>
      <c r="P1" s="598"/>
      <c r="Q1" s="598"/>
      <c r="R1" s="598"/>
      <c r="S1" s="598"/>
      <c r="T1" s="600"/>
      <c r="U1" s="601"/>
      <c r="V1" s="602"/>
      <c r="W1" s="603"/>
      <c r="X1" s="603"/>
      <c r="Y1" s="603"/>
      <c r="Z1" s="603"/>
      <c r="AA1" s="603"/>
      <c r="AB1" s="602"/>
    </row>
    <row r="2" spans="1:28" x14ac:dyDescent="0.25">
      <c r="A2" s="588"/>
      <c r="B2" s="589" t="s">
        <v>238</v>
      </c>
      <c r="C2" s="589" t="s">
        <v>249</v>
      </c>
      <c r="D2" s="589" t="s">
        <v>229</v>
      </c>
      <c r="E2" s="589" t="s">
        <v>246</v>
      </c>
      <c r="F2" s="589" t="s">
        <v>231</v>
      </c>
      <c r="G2" s="589" t="s">
        <v>242</v>
      </c>
      <c r="H2" s="589" t="s">
        <v>236</v>
      </c>
      <c r="I2" s="589" t="s">
        <v>235</v>
      </c>
      <c r="J2" s="589" t="s">
        <v>233</v>
      </c>
      <c r="K2" s="589" t="s">
        <v>240</v>
      </c>
      <c r="L2" s="589" t="s">
        <v>247</v>
      </c>
      <c r="M2" s="589" t="s">
        <v>232</v>
      </c>
      <c r="N2" s="589" t="s">
        <v>244</v>
      </c>
      <c r="O2" s="589" t="s">
        <v>241</v>
      </c>
      <c r="P2" s="589" t="s">
        <v>239</v>
      </c>
      <c r="Q2" s="589" t="s">
        <v>245</v>
      </c>
      <c r="R2" s="589" t="s">
        <v>243</v>
      </c>
      <c r="S2" s="589" t="s">
        <v>234</v>
      </c>
      <c r="T2" s="589" t="s">
        <v>228</v>
      </c>
      <c r="U2" s="589" t="s">
        <v>224</v>
      </c>
      <c r="V2" s="589" t="s">
        <v>230</v>
      </c>
      <c r="W2" s="589" t="s">
        <v>237</v>
      </c>
      <c r="X2" s="589" t="s">
        <v>223</v>
      </c>
      <c r="Y2" s="589" t="s">
        <v>226</v>
      </c>
      <c r="Z2" s="589" t="s">
        <v>225</v>
      </c>
      <c r="AA2" s="589" t="s">
        <v>227</v>
      </c>
      <c r="AB2" s="590" t="s">
        <v>331</v>
      </c>
    </row>
    <row r="3" spans="1:28" x14ac:dyDescent="0.25">
      <c r="A3" s="587" t="s">
        <v>296</v>
      </c>
      <c r="B3" s="583">
        <v>165.83489999999998</v>
      </c>
      <c r="C3" s="583">
        <v>0</v>
      </c>
      <c r="D3" s="583">
        <v>0</v>
      </c>
      <c r="E3" s="583">
        <v>0</v>
      </c>
      <c r="F3" s="583">
        <v>0</v>
      </c>
      <c r="G3" s="583">
        <v>0</v>
      </c>
      <c r="H3" s="583">
        <v>11.2959</v>
      </c>
      <c r="I3" s="583">
        <v>42.619499999999995</v>
      </c>
      <c r="J3" s="583">
        <v>160.49880000000002</v>
      </c>
      <c r="K3" s="583">
        <v>0</v>
      </c>
      <c r="L3" s="583">
        <v>89.327700000000007</v>
      </c>
      <c r="M3" s="583">
        <v>5.9004000000000003</v>
      </c>
      <c r="N3" s="583">
        <v>60.904800000000002</v>
      </c>
      <c r="O3" s="583">
        <v>18.6813</v>
      </c>
      <c r="P3" s="583">
        <v>0</v>
      </c>
      <c r="Q3" s="583">
        <v>0</v>
      </c>
      <c r="R3" s="583">
        <v>0</v>
      </c>
      <c r="S3" s="584">
        <v>69.052499999999995</v>
      </c>
      <c r="T3" s="584">
        <v>120.11669999999999</v>
      </c>
      <c r="U3" s="585">
        <v>0</v>
      </c>
      <c r="V3" s="584">
        <v>0</v>
      </c>
      <c r="W3" s="584">
        <v>0</v>
      </c>
      <c r="X3" s="584">
        <v>71.428499999999985</v>
      </c>
      <c r="Y3" s="583">
        <v>0</v>
      </c>
      <c r="Z3" s="583">
        <v>0</v>
      </c>
      <c r="AA3" s="583">
        <v>35.907299999999992</v>
      </c>
      <c r="AB3" s="593">
        <f t="shared" ref="AB3:AB20" si="0">SUM(B3:AA3)</f>
        <v>851.56829999999991</v>
      </c>
    </row>
    <row r="4" spans="1:28" x14ac:dyDescent="0.25">
      <c r="A4" s="587" t="s">
        <v>299</v>
      </c>
      <c r="B4" s="583">
        <v>21.82</v>
      </c>
      <c r="C4" s="583">
        <v>2.0100000000000002</v>
      </c>
      <c r="D4" s="583">
        <v>3.3400000000000003</v>
      </c>
      <c r="E4" s="583">
        <v>0.30000000000000004</v>
      </c>
      <c r="F4" s="583">
        <v>4.96</v>
      </c>
      <c r="G4" s="583">
        <v>8.24</v>
      </c>
      <c r="H4" s="583">
        <v>20.66</v>
      </c>
      <c r="I4" s="583">
        <v>7.68</v>
      </c>
      <c r="J4" s="583">
        <v>5.77</v>
      </c>
      <c r="K4" s="583">
        <v>0.32</v>
      </c>
      <c r="L4" s="583">
        <v>49.54</v>
      </c>
      <c r="M4" s="583">
        <v>17.399999999999999</v>
      </c>
      <c r="N4" s="583">
        <v>0.01</v>
      </c>
      <c r="O4" s="583">
        <v>1.95</v>
      </c>
      <c r="P4" s="583">
        <v>2.31</v>
      </c>
      <c r="Q4" s="583">
        <v>0.26</v>
      </c>
      <c r="R4" s="583">
        <v>16.13</v>
      </c>
      <c r="S4" s="584">
        <v>10.950000000000001</v>
      </c>
      <c r="T4" s="584">
        <v>2.81</v>
      </c>
      <c r="U4" s="585">
        <v>0</v>
      </c>
      <c r="V4" s="584">
        <v>0.01</v>
      </c>
      <c r="W4" s="584">
        <v>0</v>
      </c>
      <c r="X4" s="584">
        <v>0.11000000000000001</v>
      </c>
      <c r="Y4" s="583">
        <v>8.5400000000000009</v>
      </c>
      <c r="Z4" s="583">
        <v>0.51</v>
      </c>
      <c r="AA4" s="583">
        <v>4.8699999999999992</v>
      </c>
      <c r="AB4" s="593">
        <f t="shared" si="0"/>
        <v>190.49999999999994</v>
      </c>
    </row>
    <row r="5" spans="1:28" x14ac:dyDescent="0.25">
      <c r="A5" s="587" t="s">
        <v>316</v>
      </c>
      <c r="B5" s="583">
        <v>2.4195500000000152</v>
      </c>
      <c r="C5" s="583">
        <v>0</v>
      </c>
      <c r="D5" s="583">
        <v>5.9952000000000005E-2</v>
      </c>
      <c r="E5" s="583">
        <v>0</v>
      </c>
      <c r="F5" s="583">
        <v>0.71262000000001535</v>
      </c>
      <c r="G5" s="583">
        <v>2.0604999999999905</v>
      </c>
      <c r="H5" s="583">
        <v>0.14295500000000061</v>
      </c>
      <c r="I5" s="583">
        <v>3.3235300000000052</v>
      </c>
      <c r="J5" s="583">
        <v>1.9097074999999961</v>
      </c>
      <c r="K5" s="583">
        <v>0</v>
      </c>
      <c r="L5" s="583">
        <v>18.221014999999852</v>
      </c>
      <c r="M5" s="583">
        <v>5.9599999999999653E-2</v>
      </c>
      <c r="N5" s="583">
        <v>3.6493499999999699</v>
      </c>
      <c r="O5" s="583">
        <v>4.0958550000000287</v>
      </c>
      <c r="P5" s="583">
        <v>18.644035999999915</v>
      </c>
      <c r="Q5" s="583">
        <v>1.7275300000000016</v>
      </c>
      <c r="R5" s="583">
        <v>5.2146900000000187</v>
      </c>
      <c r="S5" s="584">
        <v>1.1806800000000095</v>
      </c>
      <c r="T5" s="584">
        <v>2.4663600000000088</v>
      </c>
      <c r="U5" s="585">
        <v>1.0660699999999963</v>
      </c>
      <c r="V5" s="584">
        <v>2.7559699999999339</v>
      </c>
      <c r="W5" s="584">
        <v>7.0619999999999905E-2</v>
      </c>
      <c r="X5" s="584">
        <v>1.6759400000000255</v>
      </c>
      <c r="Y5" s="583">
        <v>0.47329499999999314</v>
      </c>
      <c r="Z5" s="583">
        <v>2.1009999999999973E-2</v>
      </c>
      <c r="AA5" s="583">
        <v>5.3951399999999694</v>
      </c>
      <c r="AB5" s="593">
        <f t="shared" si="0"/>
        <v>77.345975499999753</v>
      </c>
    </row>
    <row r="6" spans="1:28" x14ac:dyDescent="0.25">
      <c r="A6" s="587" t="s">
        <v>321</v>
      </c>
      <c r="B6" s="583">
        <v>49.24953</v>
      </c>
      <c r="C6" s="583">
        <v>0</v>
      </c>
      <c r="D6" s="583">
        <v>5.6239920000000003</v>
      </c>
      <c r="E6" s="583">
        <v>0</v>
      </c>
      <c r="F6" s="583">
        <v>48.321899999999999</v>
      </c>
      <c r="G6" s="583">
        <v>133.60545000000002</v>
      </c>
      <c r="H6" s="583">
        <v>1.1483999999999999</v>
      </c>
      <c r="I6" s="583">
        <v>202.39064999999999</v>
      </c>
      <c r="J6" s="583">
        <v>2.4492600000000002</v>
      </c>
      <c r="K6" s="583">
        <v>0</v>
      </c>
      <c r="L6" s="583">
        <v>211.56201000000001</v>
      </c>
      <c r="M6" s="583">
        <v>0</v>
      </c>
      <c r="N6" s="583">
        <v>240.92144999999999</v>
      </c>
      <c r="O6" s="583">
        <v>3.2551200000000002</v>
      </c>
      <c r="P6" s="583">
        <v>0.40451400000000004</v>
      </c>
      <c r="Q6" s="583">
        <v>0</v>
      </c>
      <c r="R6" s="583">
        <v>239.53644000000003</v>
      </c>
      <c r="S6" s="584">
        <v>9.6109200000000001</v>
      </c>
      <c r="T6" s="584">
        <v>15.39054</v>
      </c>
      <c r="U6" s="585">
        <v>102.95900999999999</v>
      </c>
      <c r="V6" s="584">
        <v>272.84102999999999</v>
      </c>
      <c r="W6" s="584">
        <v>6.9913800000000004</v>
      </c>
      <c r="X6" s="584">
        <v>61.882919999999999</v>
      </c>
      <c r="Y6" s="583">
        <v>41.346854999999998</v>
      </c>
      <c r="Z6" s="583">
        <v>0.30046499999999998</v>
      </c>
      <c r="AA6" s="583">
        <v>296.49312000000003</v>
      </c>
      <c r="AB6" s="593">
        <f t="shared" si="0"/>
        <v>1946.2849560000002</v>
      </c>
    </row>
    <row r="7" spans="1:28" x14ac:dyDescent="0.25">
      <c r="A7" s="587" t="s">
        <v>294</v>
      </c>
      <c r="B7" s="583">
        <v>0</v>
      </c>
      <c r="C7" s="583">
        <v>0</v>
      </c>
      <c r="D7" s="583">
        <v>0</v>
      </c>
      <c r="E7" s="583">
        <v>0</v>
      </c>
      <c r="F7" s="583">
        <v>0</v>
      </c>
      <c r="G7" s="583">
        <v>0</v>
      </c>
      <c r="H7" s="583">
        <v>0</v>
      </c>
      <c r="I7" s="583">
        <v>5.7700000000000005</v>
      </c>
      <c r="J7" s="583">
        <v>0</v>
      </c>
      <c r="K7" s="583">
        <v>3.58</v>
      </c>
      <c r="L7" s="583">
        <v>16.8</v>
      </c>
      <c r="M7" s="583">
        <v>0</v>
      </c>
      <c r="N7" s="583">
        <v>0.49</v>
      </c>
      <c r="O7" s="583">
        <v>0</v>
      </c>
      <c r="P7" s="583">
        <v>0</v>
      </c>
      <c r="Q7" s="583">
        <v>0</v>
      </c>
      <c r="R7" s="583">
        <v>3.04</v>
      </c>
      <c r="S7" s="584">
        <v>7.4</v>
      </c>
      <c r="T7" s="584">
        <v>10.48</v>
      </c>
      <c r="U7" s="585">
        <v>0</v>
      </c>
      <c r="V7" s="584">
        <v>0</v>
      </c>
      <c r="W7" s="584">
        <v>0</v>
      </c>
      <c r="X7" s="584">
        <v>0.16</v>
      </c>
      <c r="Y7" s="583">
        <v>2.8600000000000003</v>
      </c>
      <c r="Z7" s="583">
        <v>1.02</v>
      </c>
      <c r="AA7" s="583">
        <v>10.220000000000001</v>
      </c>
      <c r="AB7" s="593">
        <f t="shared" si="0"/>
        <v>61.82</v>
      </c>
    </row>
    <row r="8" spans="1:28" x14ac:dyDescent="0.25">
      <c r="A8" s="587" t="s">
        <v>318</v>
      </c>
      <c r="B8" s="583">
        <v>24.45102</v>
      </c>
      <c r="C8" s="583">
        <v>0</v>
      </c>
      <c r="D8" s="583">
        <v>0.31125600000000003</v>
      </c>
      <c r="E8" s="583">
        <v>0</v>
      </c>
      <c r="F8" s="583">
        <v>22.227479999999996</v>
      </c>
      <c r="G8" s="583">
        <v>70.384050000000002</v>
      </c>
      <c r="H8" s="583">
        <v>1.7082449999999998</v>
      </c>
      <c r="I8" s="583">
        <v>84.019320000000008</v>
      </c>
      <c r="J8" s="583">
        <v>26.112982500000001</v>
      </c>
      <c r="K8" s="583">
        <v>0</v>
      </c>
      <c r="L8" s="583">
        <v>1502.990775</v>
      </c>
      <c r="M8" s="583">
        <v>0</v>
      </c>
      <c r="N8" s="583">
        <v>59.459400000000002</v>
      </c>
      <c r="O8" s="583">
        <v>383.55322500000005</v>
      </c>
      <c r="P8" s="583">
        <v>1845.3550499999999</v>
      </c>
      <c r="Q8" s="583">
        <v>171.02546999999998</v>
      </c>
      <c r="R8" s="583">
        <v>276.71786999999995</v>
      </c>
      <c r="S8" s="584">
        <v>38.2239</v>
      </c>
      <c r="T8" s="584">
        <v>108.66240000000002</v>
      </c>
      <c r="U8" s="585">
        <v>2.5819199999999998</v>
      </c>
      <c r="V8" s="584">
        <v>0</v>
      </c>
      <c r="W8" s="584">
        <v>0</v>
      </c>
      <c r="X8" s="584">
        <v>32.606640000000006</v>
      </c>
      <c r="Y8" s="583">
        <v>5.5093500000000004</v>
      </c>
      <c r="Z8" s="583">
        <v>1.779525</v>
      </c>
      <c r="AA8" s="583">
        <v>201.71843999999993</v>
      </c>
      <c r="AB8" s="593">
        <f t="shared" si="0"/>
        <v>4859.3983184999997</v>
      </c>
    </row>
    <row r="9" spans="1:28" x14ac:dyDescent="0.25">
      <c r="A9" s="587" t="s">
        <v>310</v>
      </c>
      <c r="B9" s="583">
        <v>20.86</v>
      </c>
      <c r="C9" s="583">
        <v>58.16</v>
      </c>
      <c r="D9" s="583">
        <v>35.99</v>
      </c>
      <c r="E9" s="583">
        <v>35.24</v>
      </c>
      <c r="F9" s="583">
        <v>0.60999999999999988</v>
      </c>
      <c r="G9" s="583">
        <v>5.7699999999999987</v>
      </c>
      <c r="H9" s="583">
        <v>83.667371299999999</v>
      </c>
      <c r="I9" s="583">
        <v>73.22</v>
      </c>
      <c r="J9" s="583">
        <v>35.500277400000002</v>
      </c>
      <c r="K9" s="583">
        <v>137.94</v>
      </c>
      <c r="L9" s="583">
        <v>249.65</v>
      </c>
      <c r="M9" s="583">
        <v>355.31899999999996</v>
      </c>
      <c r="N9" s="583">
        <v>177.19019999999998</v>
      </c>
      <c r="O9" s="583">
        <v>122.5917</v>
      </c>
      <c r="P9" s="583">
        <v>388.20799999999997</v>
      </c>
      <c r="Q9" s="583">
        <v>0.39100000000000001</v>
      </c>
      <c r="R9" s="583">
        <v>77.670000000000016</v>
      </c>
      <c r="S9" s="584">
        <v>395.59999999999997</v>
      </c>
      <c r="T9" s="584">
        <v>48.93</v>
      </c>
      <c r="U9" s="585">
        <v>16.948800000000002</v>
      </c>
      <c r="V9" s="584">
        <v>22.443299999999997</v>
      </c>
      <c r="W9" s="584">
        <v>97.524900000000002</v>
      </c>
      <c r="X9" s="584">
        <v>63.37980000000001</v>
      </c>
      <c r="Y9" s="583">
        <v>193.02100000000002</v>
      </c>
      <c r="Z9" s="583">
        <v>70.488</v>
      </c>
      <c r="AA9" s="583">
        <v>172.49150000000003</v>
      </c>
      <c r="AB9" s="593">
        <f t="shared" si="0"/>
        <v>2938.8048487000001</v>
      </c>
    </row>
    <row r="10" spans="1:28" x14ac:dyDescent="0.25">
      <c r="A10" s="587" t="s">
        <v>292</v>
      </c>
      <c r="B10" s="583">
        <v>140.53</v>
      </c>
      <c r="C10" s="583">
        <v>439.73</v>
      </c>
      <c r="D10" s="583">
        <v>0</v>
      </c>
      <c r="E10" s="583">
        <v>27.93</v>
      </c>
      <c r="F10" s="583">
        <v>52.43</v>
      </c>
      <c r="G10" s="583">
        <v>63.03</v>
      </c>
      <c r="H10" s="583">
        <v>100.22</v>
      </c>
      <c r="I10" s="583">
        <v>55.1</v>
      </c>
      <c r="J10" s="583">
        <v>84.23</v>
      </c>
      <c r="K10" s="583">
        <v>0</v>
      </c>
      <c r="L10" s="583">
        <v>836.63</v>
      </c>
      <c r="M10" s="583">
        <v>12.35</v>
      </c>
      <c r="N10" s="583">
        <v>160.04</v>
      </c>
      <c r="O10" s="583">
        <v>16.78</v>
      </c>
      <c r="P10" s="583">
        <v>62.13</v>
      </c>
      <c r="Q10" s="583">
        <v>11.32</v>
      </c>
      <c r="R10" s="583">
        <v>406.77</v>
      </c>
      <c r="S10" s="584">
        <v>103.91</v>
      </c>
      <c r="T10" s="584">
        <v>0</v>
      </c>
      <c r="U10" s="585">
        <v>0</v>
      </c>
      <c r="V10" s="584">
        <v>0</v>
      </c>
      <c r="W10" s="584">
        <v>0</v>
      </c>
      <c r="X10" s="584">
        <v>92.54</v>
      </c>
      <c r="Y10" s="583">
        <v>7.22</v>
      </c>
      <c r="Z10" s="583">
        <v>0</v>
      </c>
      <c r="AA10" s="583">
        <v>46.169999999999995</v>
      </c>
      <c r="AB10" s="593">
        <f t="shared" si="0"/>
        <v>2719.0599999999995</v>
      </c>
    </row>
    <row r="11" spans="1:28" x14ac:dyDescent="0.25">
      <c r="A11" s="587" t="s">
        <v>324</v>
      </c>
      <c r="B11" s="583">
        <v>5.25</v>
      </c>
      <c r="C11" s="583">
        <v>0</v>
      </c>
      <c r="D11" s="583">
        <v>0.68640000000000001</v>
      </c>
      <c r="E11" s="583">
        <v>0</v>
      </c>
      <c r="F11" s="583">
        <v>2.347</v>
      </c>
      <c r="G11" s="583">
        <v>2.258</v>
      </c>
      <c r="H11" s="583">
        <v>0</v>
      </c>
      <c r="I11" s="583">
        <v>37.799999999999997</v>
      </c>
      <c r="J11" s="583">
        <v>0.45119999999999999</v>
      </c>
      <c r="K11" s="583">
        <v>0</v>
      </c>
      <c r="L11" s="583">
        <v>18.748000000000001</v>
      </c>
      <c r="M11" s="583">
        <v>0</v>
      </c>
      <c r="N11" s="583">
        <v>1.7230000000000001</v>
      </c>
      <c r="O11" s="583">
        <v>1.7760000000000002</v>
      </c>
      <c r="P11" s="583">
        <v>0</v>
      </c>
      <c r="Q11" s="583">
        <v>0</v>
      </c>
      <c r="R11" s="583">
        <v>36.998238284352666</v>
      </c>
      <c r="S11" s="584">
        <v>0.01</v>
      </c>
      <c r="T11" s="584">
        <v>0.39880000000000004</v>
      </c>
      <c r="U11" s="585">
        <v>31.962000000000003</v>
      </c>
      <c r="V11" s="584">
        <v>170.27500000000001</v>
      </c>
      <c r="W11" s="584">
        <v>4.274</v>
      </c>
      <c r="X11" s="584">
        <v>0.86699999999999999</v>
      </c>
      <c r="Y11" s="583">
        <v>41.107500000000002</v>
      </c>
      <c r="Z11" s="583">
        <v>1.0024999999999999</v>
      </c>
      <c r="AA11" s="583">
        <v>5.4594999999999994</v>
      </c>
      <c r="AB11" s="593">
        <f t="shared" si="0"/>
        <v>363.39413828435272</v>
      </c>
    </row>
    <row r="12" spans="1:28" x14ac:dyDescent="0.25">
      <c r="A12" s="587" t="s">
        <v>317</v>
      </c>
      <c r="B12" s="583">
        <v>1.1250749999999954</v>
      </c>
      <c r="C12" s="583">
        <v>0.29947499999999749</v>
      </c>
      <c r="D12" s="583">
        <v>0.10036100000000125</v>
      </c>
      <c r="E12" s="583">
        <v>5.2499999999999769E-3</v>
      </c>
      <c r="F12" s="583">
        <v>0.40471600000000052</v>
      </c>
      <c r="G12" s="583">
        <v>0.98085999999999274</v>
      </c>
      <c r="H12" s="583">
        <v>0.44384500000000315</v>
      </c>
      <c r="I12" s="583">
        <v>1.0938449999999875</v>
      </c>
      <c r="J12" s="583">
        <v>0.96189249999999049</v>
      </c>
      <c r="K12" s="583">
        <v>5.0000000000000044E-4</v>
      </c>
      <c r="L12" s="583">
        <v>10.24518500000022</v>
      </c>
      <c r="M12" s="583">
        <v>0.14049999999999585</v>
      </c>
      <c r="N12" s="583">
        <v>2.3472399999999993</v>
      </c>
      <c r="O12" s="583">
        <v>1.8175050000000113</v>
      </c>
      <c r="P12" s="583">
        <v>8.0048940000000357</v>
      </c>
      <c r="Q12" s="583">
        <v>0.74036999999999864</v>
      </c>
      <c r="R12" s="583">
        <v>2.4356699999999023</v>
      </c>
      <c r="S12" s="584">
        <v>1.7858099999999979</v>
      </c>
      <c r="T12" s="584">
        <v>0.78088999999999942</v>
      </c>
      <c r="U12" s="585">
        <v>0.47574500000000342</v>
      </c>
      <c r="V12" s="584">
        <v>0.98427499999999668</v>
      </c>
      <c r="W12" s="584">
        <v>0.22951500000000635</v>
      </c>
      <c r="X12" s="584">
        <v>1.2753900000000016</v>
      </c>
      <c r="Y12" s="583">
        <v>0.63100000000000023</v>
      </c>
      <c r="Z12" s="583">
        <v>9.9450000000000927E-2</v>
      </c>
      <c r="AA12" s="583">
        <v>1.9428399999999897</v>
      </c>
      <c r="AB12" s="593">
        <f t="shared" si="0"/>
        <v>39.352098500000125</v>
      </c>
    </row>
    <row r="13" spans="1:28" x14ac:dyDescent="0.25">
      <c r="A13" s="587" t="s">
        <v>322</v>
      </c>
      <c r="B13" s="583">
        <v>4.8861449999999973</v>
      </c>
      <c r="C13" s="583">
        <v>5.4425250000000025</v>
      </c>
      <c r="D13" s="583">
        <v>4.0495949999999992</v>
      </c>
      <c r="E13" s="583">
        <v>0.51975000000000005</v>
      </c>
      <c r="F13" s="583">
        <v>31.218263999999994</v>
      </c>
      <c r="G13" s="583">
        <v>26.721089999999986</v>
      </c>
      <c r="H13" s="583">
        <v>11.484</v>
      </c>
      <c r="I13" s="583">
        <v>72.282374999999988</v>
      </c>
      <c r="J13" s="583">
        <v>17.598240000000001</v>
      </c>
      <c r="K13" s="583">
        <v>0</v>
      </c>
      <c r="L13" s="583">
        <v>513.27638999999999</v>
      </c>
      <c r="M13" s="583">
        <v>13.810499999999999</v>
      </c>
      <c r="N13" s="583">
        <v>192.73715999999999</v>
      </c>
      <c r="O13" s="583">
        <v>52.081920000000004</v>
      </c>
      <c r="P13" s="583">
        <v>1.6180559999999993</v>
      </c>
      <c r="Q13" s="583">
        <v>0</v>
      </c>
      <c r="R13" s="583">
        <v>92.129400000000004</v>
      </c>
      <c r="S13" s="584">
        <v>138.57129</v>
      </c>
      <c r="T13" s="584">
        <v>50.142509999999994</v>
      </c>
      <c r="U13" s="585">
        <v>36.77107500000001</v>
      </c>
      <c r="V13" s="584">
        <v>97.443225000000012</v>
      </c>
      <c r="W13" s="584">
        <v>22.721985</v>
      </c>
      <c r="X13" s="584">
        <v>77.353649999999988</v>
      </c>
      <c r="Y13" s="583">
        <v>45.940950000000001</v>
      </c>
      <c r="Z13" s="583">
        <v>4.5069749999999997</v>
      </c>
      <c r="AA13" s="583">
        <v>105.89039999999999</v>
      </c>
      <c r="AB13" s="593">
        <f t="shared" si="0"/>
        <v>1619.1974699999998</v>
      </c>
    </row>
    <row r="14" spans="1:28" x14ac:dyDescent="0.25">
      <c r="A14" s="587" t="s">
        <v>314</v>
      </c>
      <c r="B14" s="583">
        <v>106.49628</v>
      </c>
      <c r="C14" s="583">
        <v>24.205500000000001</v>
      </c>
      <c r="D14" s="583">
        <v>5.8861439999999998</v>
      </c>
      <c r="E14" s="583">
        <v>0</v>
      </c>
      <c r="F14" s="583">
        <v>8.8486200000000022</v>
      </c>
      <c r="G14" s="583">
        <v>70.384050000000002</v>
      </c>
      <c r="H14" s="583">
        <v>32.456654999999998</v>
      </c>
      <c r="I14" s="583">
        <v>36.008279999999999</v>
      </c>
      <c r="J14" s="583">
        <v>77.629117500000007</v>
      </c>
      <c r="K14" s="583">
        <v>4.9500000000000002E-2</v>
      </c>
      <c r="L14" s="583">
        <v>500.99692500000009</v>
      </c>
      <c r="M14" s="583">
        <v>9.9000000000000005E-2</v>
      </c>
      <c r="N14" s="583">
        <v>39.639599999999994</v>
      </c>
      <c r="O14" s="583">
        <v>127.85107499999998</v>
      </c>
      <c r="P14" s="583">
        <v>790.86644999999999</v>
      </c>
      <c r="Q14" s="583">
        <v>73.296630000000007</v>
      </c>
      <c r="R14" s="583">
        <v>149.00193000000002</v>
      </c>
      <c r="S14" s="584">
        <v>38.2239</v>
      </c>
      <c r="T14" s="584">
        <v>27.165599999999998</v>
      </c>
      <c r="U14" s="585">
        <v>10.327679999999999</v>
      </c>
      <c r="V14" s="584">
        <v>0</v>
      </c>
      <c r="W14" s="584">
        <v>0</v>
      </c>
      <c r="X14" s="584">
        <v>48.909959999999998</v>
      </c>
      <c r="Y14" s="583">
        <v>16.52805</v>
      </c>
      <c r="Z14" s="583">
        <v>5.3385749999999987</v>
      </c>
      <c r="AA14" s="583">
        <v>86.450759999999988</v>
      </c>
      <c r="AB14" s="593">
        <f t="shared" si="0"/>
        <v>2276.6602815000001</v>
      </c>
    </row>
    <row r="15" spans="1:28" x14ac:dyDescent="0.25">
      <c r="A15" s="587" t="s">
        <v>319</v>
      </c>
      <c r="B15" s="583">
        <v>0</v>
      </c>
      <c r="C15" s="583">
        <v>0</v>
      </c>
      <c r="D15" s="583">
        <v>0</v>
      </c>
      <c r="E15" s="583">
        <v>0</v>
      </c>
      <c r="F15" s="583">
        <v>0</v>
      </c>
      <c r="G15" s="583">
        <v>0</v>
      </c>
      <c r="H15" s="583">
        <v>0</v>
      </c>
      <c r="I15" s="583">
        <v>26.459999999999997</v>
      </c>
      <c r="J15" s="583">
        <v>3.3937999999999993</v>
      </c>
      <c r="K15" s="583">
        <v>0</v>
      </c>
      <c r="L15" s="583">
        <v>43.763999999999996</v>
      </c>
      <c r="M15" s="583">
        <v>12.393000000000001</v>
      </c>
      <c r="N15" s="583">
        <v>6.8919999999999995</v>
      </c>
      <c r="O15" s="583">
        <v>7.1039999999999957</v>
      </c>
      <c r="P15" s="583">
        <v>1.6875</v>
      </c>
      <c r="Q15" s="583">
        <v>0</v>
      </c>
      <c r="R15" s="583">
        <v>108.16976171564735</v>
      </c>
      <c r="S15" s="584">
        <v>31.045000000000002</v>
      </c>
      <c r="T15" s="584">
        <v>19.5412</v>
      </c>
      <c r="U15" s="585">
        <v>11.415000000000001</v>
      </c>
      <c r="V15" s="584">
        <v>60.812499999999993</v>
      </c>
      <c r="W15" s="584">
        <v>14.958999999999996</v>
      </c>
      <c r="X15" s="584">
        <v>1.3004999999999995</v>
      </c>
      <c r="Y15" s="583">
        <v>45.675000000000004</v>
      </c>
      <c r="Z15" s="583">
        <v>15.037499999999996</v>
      </c>
      <c r="AA15" s="583">
        <v>76.432999999999979</v>
      </c>
      <c r="AB15" s="593">
        <f t="shared" si="0"/>
        <v>486.08276171564739</v>
      </c>
    </row>
    <row r="16" spans="1:28" x14ac:dyDescent="0.25">
      <c r="A16" s="587" t="s">
        <v>312</v>
      </c>
      <c r="B16" s="583">
        <v>3.0899999999999963</v>
      </c>
      <c r="C16" s="583">
        <v>0.49000000000000021</v>
      </c>
      <c r="D16" s="583">
        <v>4.9999999999999822E-2</v>
      </c>
      <c r="E16" s="583">
        <v>0.04</v>
      </c>
      <c r="F16" s="583">
        <v>0.47999999999999954</v>
      </c>
      <c r="G16" s="583">
        <v>0</v>
      </c>
      <c r="H16" s="583">
        <v>0.39000000000000057</v>
      </c>
      <c r="I16" s="583">
        <v>2.0100000000000051</v>
      </c>
      <c r="J16" s="583">
        <v>0.1021096600000001</v>
      </c>
      <c r="K16" s="583">
        <v>0.18000000000000005</v>
      </c>
      <c r="L16" s="583">
        <v>1.8399999999999963</v>
      </c>
      <c r="M16" s="583">
        <v>0.10000000000000009</v>
      </c>
      <c r="N16" s="583">
        <v>4.9999999999999871E-4</v>
      </c>
      <c r="O16" s="583">
        <v>0.58349999999999902</v>
      </c>
      <c r="P16" s="583">
        <v>0.44549999999999912</v>
      </c>
      <c r="Q16" s="583">
        <v>2.5000000000000001E-2</v>
      </c>
      <c r="R16" s="583">
        <v>0.14999999999999991</v>
      </c>
      <c r="S16" s="584">
        <v>5.0000000000000266E-2</v>
      </c>
      <c r="T16" s="584">
        <v>0.10000000000000009</v>
      </c>
      <c r="U16" s="585">
        <v>0.57499999999999996</v>
      </c>
      <c r="V16" s="584">
        <v>7.0000000000000007E-2</v>
      </c>
      <c r="W16" s="584">
        <v>0</v>
      </c>
      <c r="X16" s="584">
        <v>0.20499999999999999</v>
      </c>
      <c r="Y16" s="583">
        <v>0.20499999999999999</v>
      </c>
      <c r="Z16" s="583">
        <v>0.02</v>
      </c>
      <c r="AA16" s="583">
        <v>0.27</v>
      </c>
      <c r="AB16" s="593">
        <f t="shared" si="0"/>
        <v>11.471609659999995</v>
      </c>
    </row>
    <row r="17" spans="1:29" x14ac:dyDescent="0.25">
      <c r="A17" s="587" t="s">
        <v>313</v>
      </c>
      <c r="B17" s="583">
        <v>39.700000000000003</v>
      </c>
      <c r="C17" s="583">
        <v>4.0999999999999996</v>
      </c>
      <c r="D17" s="583">
        <v>2</v>
      </c>
      <c r="E17" s="583">
        <v>0</v>
      </c>
      <c r="F17" s="583">
        <v>4</v>
      </c>
      <c r="G17" s="583">
        <v>7.25</v>
      </c>
      <c r="H17" s="583">
        <v>9.2799999999999994</v>
      </c>
      <c r="I17" s="583">
        <v>37.299999999999997</v>
      </c>
      <c r="J17" s="583">
        <v>0.80789034000000004</v>
      </c>
      <c r="K17" s="583">
        <v>0.9</v>
      </c>
      <c r="L17" s="583">
        <v>34.6</v>
      </c>
      <c r="M17" s="583">
        <v>1.9</v>
      </c>
      <c r="N17" s="583">
        <v>9.5000000000000015E-3</v>
      </c>
      <c r="O17" s="583">
        <v>11.086500000000001</v>
      </c>
      <c r="P17" s="583">
        <v>8.464500000000001</v>
      </c>
      <c r="Q17" s="583">
        <v>2.5000000000000001E-2</v>
      </c>
      <c r="R17" s="583">
        <v>3</v>
      </c>
      <c r="S17" s="584">
        <v>3.3</v>
      </c>
      <c r="T17" s="584">
        <v>3.5</v>
      </c>
      <c r="U17" s="585">
        <v>0.57499999999999996</v>
      </c>
      <c r="V17" s="584">
        <v>7.0000000000000007E-2</v>
      </c>
      <c r="W17" s="584">
        <v>0</v>
      </c>
      <c r="X17" s="584">
        <v>0.20499999999999999</v>
      </c>
      <c r="Y17" s="583">
        <v>0.20499999999999999</v>
      </c>
      <c r="Z17" s="583">
        <v>0.02</v>
      </c>
      <c r="AA17" s="583">
        <v>0.27</v>
      </c>
      <c r="AB17" s="593">
        <f t="shared" si="0"/>
        <v>172.56839034000004</v>
      </c>
    </row>
    <row r="18" spans="1:29" x14ac:dyDescent="0.25">
      <c r="A18" s="587" t="s">
        <v>323</v>
      </c>
      <c r="B18" s="583">
        <v>18.227499999999999</v>
      </c>
      <c r="C18" s="583">
        <v>16.492499999999996</v>
      </c>
      <c r="D18" s="583">
        <v>9.8699999999999996E-2</v>
      </c>
      <c r="E18" s="583">
        <v>0.22500000000000001</v>
      </c>
      <c r="F18" s="583">
        <v>6.9863999999999997</v>
      </c>
      <c r="G18" s="583">
        <v>17.994</v>
      </c>
      <c r="H18" s="583">
        <v>10.44</v>
      </c>
      <c r="I18" s="583">
        <v>14.602499999999999</v>
      </c>
      <c r="J18" s="583">
        <v>20.25</v>
      </c>
      <c r="K18" s="583">
        <v>0.73</v>
      </c>
      <c r="L18" s="583">
        <v>183.04</v>
      </c>
      <c r="M18" s="583">
        <v>1.55</v>
      </c>
      <c r="N18" s="583">
        <v>48.670999999999992</v>
      </c>
      <c r="O18" s="583">
        <v>9.8640000000000008</v>
      </c>
      <c r="P18" s="583">
        <v>38.817</v>
      </c>
      <c r="Q18" s="583">
        <v>0</v>
      </c>
      <c r="R18" s="583">
        <v>37.224000000000004</v>
      </c>
      <c r="S18" s="584">
        <v>16.631</v>
      </c>
      <c r="T18" s="584">
        <v>7.3550000000000004</v>
      </c>
      <c r="U18" s="585">
        <v>7.4284999999999988</v>
      </c>
      <c r="V18" s="584">
        <v>19.685500000000001</v>
      </c>
      <c r="W18" s="584">
        <v>5.2965000000000009</v>
      </c>
      <c r="X18" s="584">
        <v>15.627000000000001</v>
      </c>
      <c r="Y18" s="583">
        <v>4.6405000000000003</v>
      </c>
      <c r="Z18" s="583">
        <v>1.214</v>
      </c>
      <c r="AA18" s="583">
        <v>21.392000000000003</v>
      </c>
      <c r="AB18" s="593">
        <f t="shared" si="0"/>
        <v>524.48259999999993</v>
      </c>
    </row>
    <row r="19" spans="1:29" x14ac:dyDescent="0.25">
      <c r="A19" s="587" t="s">
        <v>332</v>
      </c>
      <c r="B19" s="583">
        <v>7.6</v>
      </c>
      <c r="C19" s="583">
        <v>5.5</v>
      </c>
      <c r="D19" s="583">
        <v>2.5</v>
      </c>
      <c r="E19" s="583">
        <v>1.5</v>
      </c>
      <c r="F19" s="583">
        <v>2.1</v>
      </c>
      <c r="G19" s="583">
        <v>4.2</v>
      </c>
      <c r="H19" s="583">
        <v>0.44262870000000004</v>
      </c>
      <c r="I19" s="583">
        <v>9.9</v>
      </c>
      <c r="J19" s="583">
        <v>1.6597226</v>
      </c>
      <c r="K19" s="583">
        <v>5.5</v>
      </c>
      <c r="L19" s="583">
        <v>25.9</v>
      </c>
      <c r="M19" s="583">
        <v>18.701000000000001</v>
      </c>
      <c r="N19" s="583">
        <v>1.7897999999999998</v>
      </c>
      <c r="O19" s="583">
        <v>1.2383</v>
      </c>
      <c r="P19" s="583">
        <v>97.052000000000007</v>
      </c>
      <c r="Q19" s="583">
        <v>3.5190000000000001</v>
      </c>
      <c r="R19" s="583">
        <v>11.6</v>
      </c>
      <c r="S19" s="584">
        <v>0.2</v>
      </c>
      <c r="T19" s="584">
        <v>0.6</v>
      </c>
      <c r="U19" s="585">
        <v>0.17120000000000002</v>
      </c>
      <c r="V19" s="584">
        <v>0.22669999999999998</v>
      </c>
      <c r="W19" s="584">
        <v>0.98510000000000009</v>
      </c>
      <c r="X19" s="584">
        <v>0.6402000000000001</v>
      </c>
      <c r="Y19" s="583">
        <v>10.159000000000001</v>
      </c>
      <c r="Z19" s="583">
        <v>0.71200000000000008</v>
      </c>
      <c r="AA19" s="583">
        <v>9.0785000000000018</v>
      </c>
      <c r="AB19" s="593">
        <f t="shared" si="0"/>
        <v>223.47515129999991</v>
      </c>
    </row>
    <row r="20" spans="1:29" x14ac:dyDescent="0.25">
      <c r="A20" s="587" t="s">
        <v>320</v>
      </c>
      <c r="B20" s="583">
        <v>5.83</v>
      </c>
      <c r="C20" s="583">
        <v>6.16</v>
      </c>
      <c r="D20" s="583">
        <v>0.59360000000000002</v>
      </c>
      <c r="E20" s="583">
        <v>0.19</v>
      </c>
      <c r="F20" s="583">
        <v>0.68300000000000027</v>
      </c>
      <c r="G20" s="583">
        <v>4.5720000000000001</v>
      </c>
      <c r="H20" s="583">
        <v>3.29</v>
      </c>
      <c r="I20" s="583">
        <v>11.34</v>
      </c>
      <c r="J20" s="583">
        <v>3.8450000000000002</v>
      </c>
      <c r="K20" s="583">
        <v>0.03</v>
      </c>
      <c r="L20" s="583">
        <v>15.628</v>
      </c>
      <c r="M20" s="583">
        <v>1.3769999999999998</v>
      </c>
      <c r="N20" s="583">
        <v>8.6150000000000002</v>
      </c>
      <c r="O20" s="583">
        <v>26.640000000000004</v>
      </c>
      <c r="P20" s="583">
        <v>32.0625</v>
      </c>
      <c r="Q20" s="583">
        <v>1.1499999999999999</v>
      </c>
      <c r="R20" s="583">
        <v>36.292000000000002</v>
      </c>
      <c r="S20" s="584">
        <v>31.055</v>
      </c>
      <c r="T20" s="584">
        <v>19.940000000000001</v>
      </c>
      <c r="U20" s="585">
        <v>2.2829999999999999</v>
      </c>
      <c r="V20" s="584">
        <v>12.1625</v>
      </c>
      <c r="W20" s="584">
        <v>2.137</v>
      </c>
      <c r="X20" s="584">
        <v>6.5025000000000004</v>
      </c>
      <c r="Y20" s="583">
        <v>4.5675000000000008</v>
      </c>
      <c r="Z20" s="583">
        <v>4.01</v>
      </c>
      <c r="AA20" s="583">
        <v>27.297499999999996</v>
      </c>
      <c r="AB20" s="593">
        <f t="shared" si="0"/>
        <v>268.25310000000002</v>
      </c>
    </row>
    <row r="21" spans="1:29" x14ac:dyDescent="0.25">
      <c r="A21" s="594" t="s">
        <v>331</v>
      </c>
      <c r="B21" s="591">
        <f t="shared" ref="B21:AB21" si="1">SUM(B3:B20)</f>
        <v>617.37</v>
      </c>
      <c r="C21" s="592">
        <f t="shared" si="1"/>
        <v>562.58999999999992</v>
      </c>
      <c r="D21" s="592">
        <f t="shared" si="1"/>
        <v>61.29</v>
      </c>
      <c r="E21" s="592">
        <f t="shared" si="1"/>
        <v>65.949999999999989</v>
      </c>
      <c r="F21" s="592">
        <f t="shared" si="1"/>
        <v>186.33</v>
      </c>
      <c r="G21" s="592">
        <f t="shared" si="1"/>
        <v>417.45</v>
      </c>
      <c r="H21" s="592">
        <f t="shared" si="1"/>
        <v>287.07</v>
      </c>
      <c r="I21" s="592">
        <f t="shared" si="1"/>
        <v>722.92000000000007</v>
      </c>
      <c r="J21" s="596">
        <f t="shared" si="1"/>
        <v>443.17</v>
      </c>
      <c r="K21" s="592">
        <f t="shared" si="1"/>
        <v>149.22999999999999</v>
      </c>
      <c r="L21" s="592">
        <f t="shared" si="1"/>
        <v>4322.76</v>
      </c>
      <c r="M21" s="592">
        <f t="shared" si="1"/>
        <v>441.1</v>
      </c>
      <c r="N21" s="592">
        <f t="shared" si="1"/>
        <v>1005.0899999999999</v>
      </c>
      <c r="O21" s="592">
        <f t="shared" si="1"/>
        <v>790.95</v>
      </c>
      <c r="P21" s="592">
        <f t="shared" si="1"/>
        <v>3296.0699999999997</v>
      </c>
      <c r="Q21" s="592">
        <f t="shared" si="1"/>
        <v>263.4799999999999</v>
      </c>
      <c r="R21" s="596">
        <f t="shared" si="1"/>
        <v>1502.0799999999997</v>
      </c>
      <c r="S21" s="592">
        <f t="shared" si="1"/>
        <v>896.79999999999973</v>
      </c>
      <c r="T21" s="592">
        <f t="shared" si="1"/>
        <v>438.38000000000011</v>
      </c>
      <c r="U21" s="592">
        <f t="shared" si="1"/>
        <v>225.53999999999991</v>
      </c>
      <c r="V21" s="592">
        <f t="shared" si="1"/>
        <v>659.7800000000002</v>
      </c>
      <c r="W21" s="592">
        <f t="shared" si="1"/>
        <v>155.19</v>
      </c>
      <c r="X21" s="592">
        <f t="shared" si="1"/>
        <v>476.67</v>
      </c>
      <c r="Y21" s="592">
        <f t="shared" si="1"/>
        <v>428.63</v>
      </c>
      <c r="Z21" s="596">
        <f t="shared" si="1"/>
        <v>106.07999999999998</v>
      </c>
      <c r="AA21" s="595">
        <f t="shared" si="1"/>
        <v>1107.7499999999998</v>
      </c>
      <c r="AB21" s="595">
        <f t="shared" si="1"/>
        <v>19629.719999999998</v>
      </c>
      <c r="AC21" s="586">
        <f>SUM(AB3:AB20)-AB21</f>
        <v>0</v>
      </c>
    </row>
    <row r="26" spans="1:29" x14ac:dyDescent="0.25">
      <c r="G26" s="542" t="s">
        <v>409</v>
      </c>
    </row>
    <row r="27" spans="1:29" x14ac:dyDescent="0.25">
      <c r="G27" s="541" t="s">
        <v>404</v>
      </c>
    </row>
    <row r="28" spans="1:29" x14ac:dyDescent="0.25">
      <c r="G28" s="541" t="s">
        <v>405</v>
      </c>
    </row>
    <row r="29" spans="1:29" x14ac:dyDescent="0.25">
      <c r="G29" s="541" t="s">
        <v>375</v>
      </c>
    </row>
    <row r="30" spans="1:29" x14ac:dyDescent="0.25">
      <c r="G30" s="541" t="s">
        <v>335</v>
      </c>
    </row>
    <row r="31" spans="1:29" x14ac:dyDescent="0.25">
      <c r="G31" s="541" t="s">
        <v>410</v>
      </c>
    </row>
    <row r="32" spans="1:29" x14ac:dyDescent="0.25">
      <c r="G32" s="387" t="s">
        <v>411</v>
      </c>
    </row>
    <row r="33" spans="7:7" x14ac:dyDescent="0.25">
      <c r="G33" t="s">
        <v>380</v>
      </c>
    </row>
  </sheetData>
  <sortState ref="A4:AB22">
    <sortCondition ref="A4:A22"/>
  </sortState>
  <conditionalFormatting sqref="U22:U1048576 U1">
    <cfRule type="cellIs" dxfId="25" priority="5" operator="equal">
      <formula>"error"</formula>
    </cfRule>
    <cfRule type="cellIs" dxfId="24" priority="6" operator="equal">
      <formula>"ok"</formula>
    </cfRule>
  </conditionalFormatting>
  <conditionalFormatting sqref="B3:S20 C21:I21 V3:AB20 K21:Q21 S21:Y21 AA21:AB21">
    <cfRule type="cellIs" dxfId="23" priority="4" operator="equal">
      <formula>0</formula>
    </cfRule>
  </conditionalFormatting>
  <conditionalFormatting sqref="B3:T20 C21:I21 V3:AB20 K21:Q21 S21:Y21 AA21:AB21">
    <cfRule type="cellIs" dxfId="22" priority="3" operator="greaterThan">
      <formula>0</formula>
    </cfRule>
  </conditionalFormatting>
  <conditionalFormatting sqref="B21 J21 R21 Z21">
    <cfRule type="cellIs" dxfId="21" priority="2" operator="equal">
      <formula>0</formula>
    </cfRule>
  </conditionalFormatting>
  <conditionalFormatting sqref="B21 J21 R21 Z21">
    <cfRule type="cellIs" dxfId="20" priority="1" operator="greaterThan">
      <formula>0</formula>
    </cfRule>
  </conditionalFormatting>
  <hyperlinks>
    <hyperlink ref="G29" r:id="rId1"/>
    <hyperlink ref="G27" r:id="rId2"/>
    <hyperlink ref="G28" r:id="rId3"/>
    <hyperlink ref="G30" r:id="rId4"/>
    <hyperlink ref="G31" r:id="rId5"/>
    <hyperlink ref="G32" r:id="rId6"/>
  </hyperlinks>
  <pageMargins left="0.7" right="0.7" top="0.78740157499999996" bottom="0.78740157499999996" header="0.3" footer="0.3"/>
  <pageSetup paperSize="9" orientation="portrait" r:id="rId7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38" sqref="E38"/>
    </sheetView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70"/>
  <sheetViews>
    <sheetView topLeftCell="A112" zoomScale="80" zoomScaleNormal="80" workbookViewId="0">
      <selection activeCell="E12" sqref="E12"/>
    </sheetView>
  </sheetViews>
  <sheetFormatPr baseColWidth="10" defaultRowHeight="15" x14ac:dyDescent="0.25"/>
  <cols>
    <col min="1" max="1" width="21" style="55" customWidth="1"/>
    <col min="2" max="2" width="6.7109375" bestFit="1" customWidth="1"/>
    <col min="3" max="3" width="8.42578125" bestFit="1" customWidth="1"/>
    <col min="4" max="4" width="17.85546875" bestFit="1" customWidth="1"/>
    <col min="5" max="5" width="21.7109375" customWidth="1"/>
    <col min="6" max="6" width="10.85546875" bestFit="1" customWidth="1"/>
    <col min="7" max="7" width="10.7109375" bestFit="1" customWidth="1"/>
    <col min="8" max="8" width="11.7109375" bestFit="1" customWidth="1"/>
    <col min="9" max="9" width="15.7109375" bestFit="1" customWidth="1"/>
    <col min="10" max="10" width="10" bestFit="1" customWidth="1"/>
    <col min="11" max="11" width="21.28515625" customWidth="1"/>
    <col min="12" max="12" width="19.140625" bestFit="1" customWidth="1"/>
    <col min="13" max="13" width="23.42578125" bestFit="1" customWidth="1"/>
    <col min="14" max="14" width="13.42578125" bestFit="1" customWidth="1"/>
    <col min="15" max="15" width="2.85546875" customWidth="1"/>
    <col min="16" max="16" width="9.5703125" bestFit="1" customWidth="1"/>
    <col min="17" max="17" width="6.5703125" bestFit="1" customWidth="1"/>
    <col min="18" max="18" width="11.7109375" bestFit="1" customWidth="1"/>
    <col min="19" max="19" width="14.85546875" bestFit="1" customWidth="1"/>
    <col min="20" max="20" width="9.85546875" bestFit="1" customWidth="1"/>
    <col min="21" max="21" width="11.28515625" bestFit="1" customWidth="1"/>
    <col min="22" max="22" width="5.140625" bestFit="1" customWidth="1"/>
    <col min="23" max="23" width="6.5703125" bestFit="1" customWidth="1"/>
    <col min="24" max="24" width="3.7109375" bestFit="1" customWidth="1"/>
    <col min="25" max="25" width="5.140625" bestFit="1" customWidth="1"/>
    <col min="26" max="26" width="6.42578125" bestFit="1" customWidth="1"/>
    <col min="27" max="27" width="13.42578125" bestFit="1" customWidth="1"/>
    <col min="28" max="29" width="15" bestFit="1" customWidth="1"/>
  </cols>
  <sheetData>
    <row r="1" spans="1:29" ht="15.75" x14ac:dyDescent="0.25">
      <c r="A1" s="240" t="s">
        <v>341</v>
      </c>
      <c r="B1" s="27"/>
      <c r="C1" s="27"/>
      <c r="D1" s="27"/>
      <c r="E1" s="5"/>
      <c r="F1" s="5"/>
      <c r="G1" s="39" t="s">
        <v>216</v>
      </c>
      <c r="H1" s="39" t="s">
        <v>217</v>
      </c>
      <c r="I1" s="6"/>
      <c r="J1" s="6"/>
      <c r="K1" s="50" t="s">
        <v>375</v>
      </c>
      <c r="L1" s="6"/>
      <c r="M1" s="7"/>
      <c r="P1" t="s">
        <v>266</v>
      </c>
    </row>
    <row r="2" spans="1:29" s="3" customFormat="1" ht="16.5" customHeight="1" x14ac:dyDescent="0.25">
      <c r="A2" s="241" t="s">
        <v>102</v>
      </c>
      <c r="B2" s="27"/>
      <c r="C2" s="27"/>
      <c r="D2" s="27"/>
      <c r="E2" s="26"/>
      <c r="F2" s="26"/>
      <c r="G2" s="26"/>
      <c r="H2" s="27"/>
      <c r="I2" s="27"/>
      <c r="J2" s="27"/>
      <c r="K2" s="27"/>
      <c r="L2" s="27"/>
      <c r="M2" s="28"/>
      <c r="P2" s="830" t="s">
        <v>259</v>
      </c>
      <c r="Q2" s="831"/>
      <c r="R2" s="831"/>
      <c r="S2" s="831"/>
      <c r="T2" s="831"/>
      <c r="U2" s="831"/>
      <c r="V2" s="831"/>
      <c r="W2" s="831"/>
      <c r="X2" s="831"/>
      <c r="Y2" s="831"/>
      <c r="Z2" s="831"/>
      <c r="AA2" s="831"/>
      <c r="AB2" s="831"/>
      <c r="AC2" s="832"/>
    </row>
    <row r="3" spans="1:29" s="3" customFormat="1" ht="16.5" customHeight="1" x14ac:dyDescent="0.25">
      <c r="A3" s="242" t="s">
        <v>2</v>
      </c>
      <c r="B3" s="27"/>
      <c r="C3" s="27"/>
      <c r="D3" s="27"/>
      <c r="E3" s="26"/>
      <c r="F3" s="26"/>
      <c r="G3" s="26"/>
      <c r="H3" s="27"/>
      <c r="I3" s="27"/>
      <c r="J3" s="27"/>
      <c r="K3" s="27"/>
      <c r="L3" s="27"/>
      <c r="M3" s="28"/>
      <c r="P3" s="833" t="s">
        <v>257</v>
      </c>
      <c r="Q3" s="836" t="s">
        <v>256</v>
      </c>
      <c r="R3" s="837"/>
      <c r="S3" s="838"/>
      <c r="T3" s="845" t="s">
        <v>258</v>
      </c>
      <c r="U3" s="846"/>
      <c r="V3" s="846"/>
      <c r="W3" s="846"/>
      <c r="X3" s="846"/>
      <c r="Y3" s="846"/>
      <c r="Z3" s="846"/>
      <c r="AA3" s="846"/>
      <c r="AB3" s="846"/>
      <c r="AC3" s="847"/>
    </row>
    <row r="4" spans="1:29" ht="15.75" x14ac:dyDescent="0.25">
      <c r="A4" s="243"/>
      <c r="B4" s="27"/>
      <c r="C4" s="27"/>
      <c r="D4" s="27"/>
      <c r="E4" s="66" t="s">
        <v>254</v>
      </c>
      <c r="F4" s="10"/>
      <c r="G4" s="10"/>
      <c r="H4" s="11"/>
      <c r="I4" s="11"/>
      <c r="J4" s="11"/>
      <c r="K4" s="11"/>
      <c r="L4" s="11"/>
      <c r="M4" s="12"/>
      <c r="P4" s="834"/>
      <c r="Q4" s="839"/>
      <c r="R4" s="840"/>
      <c r="S4" s="841"/>
      <c r="T4" s="836" t="s">
        <v>251</v>
      </c>
      <c r="U4" s="837"/>
      <c r="V4" s="837"/>
      <c r="W4" s="837"/>
      <c r="X4" s="837"/>
      <c r="Y4" s="838"/>
      <c r="Z4" s="836" t="s">
        <v>252</v>
      </c>
      <c r="AA4" s="837"/>
      <c r="AB4" s="837"/>
      <c r="AC4" s="838"/>
    </row>
    <row r="5" spans="1:29" s="53" customFormat="1" x14ac:dyDescent="0.25">
      <c r="A5" s="155" t="s">
        <v>264</v>
      </c>
      <c r="B5" s="71" t="s">
        <v>222</v>
      </c>
      <c r="C5" s="71" t="s">
        <v>262</v>
      </c>
      <c r="D5" s="71" t="s">
        <v>275</v>
      </c>
      <c r="E5" s="54" t="s">
        <v>53</v>
      </c>
      <c r="F5" s="54" t="s">
        <v>54</v>
      </c>
      <c r="G5" s="54" t="s">
        <v>55</v>
      </c>
      <c r="H5" s="54" t="s">
        <v>56</v>
      </c>
      <c r="I5" s="54" t="s">
        <v>57</v>
      </c>
      <c r="J5" s="54" t="s">
        <v>3</v>
      </c>
      <c r="K5" s="54" t="s">
        <v>58</v>
      </c>
      <c r="L5" s="54" t="s">
        <v>59</v>
      </c>
      <c r="M5" s="54" t="s">
        <v>60</v>
      </c>
      <c r="N5" s="71" t="s">
        <v>263</v>
      </c>
      <c r="P5" s="835"/>
      <c r="Q5" s="842"/>
      <c r="R5" s="843"/>
      <c r="S5" s="844"/>
      <c r="T5" s="848" t="s">
        <v>253</v>
      </c>
      <c r="U5" s="849"/>
      <c r="V5" s="849"/>
      <c r="W5" s="850"/>
      <c r="X5" s="842"/>
      <c r="Y5" s="844"/>
      <c r="Z5" s="842"/>
      <c r="AA5" s="843"/>
      <c r="AB5" s="843"/>
      <c r="AC5" s="844"/>
    </row>
    <row r="6" spans="1:29" x14ac:dyDescent="0.25">
      <c r="A6" s="160" t="s">
        <v>73</v>
      </c>
      <c r="B6" s="190">
        <v>12</v>
      </c>
      <c r="C6" s="160" t="s">
        <v>238</v>
      </c>
      <c r="D6" s="120">
        <v>1</v>
      </c>
      <c r="E6" s="23">
        <v>637.1</v>
      </c>
      <c r="F6" s="23">
        <v>46</v>
      </c>
      <c r="G6" s="23">
        <v>62.5</v>
      </c>
      <c r="H6" s="23">
        <v>38.700000000000003</v>
      </c>
      <c r="I6" s="23">
        <v>9.1</v>
      </c>
      <c r="J6" s="23">
        <v>572.79999999999995</v>
      </c>
      <c r="K6" s="23">
        <v>29.5</v>
      </c>
      <c r="L6" s="23">
        <v>15.9</v>
      </c>
      <c r="M6" s="23">
        <v>527.4</v>
      </c>
      <c r="N6" s="51" t="s">
        <v>62</v>
      </c>
      <c r="P6" s="52" t="s">
        <v>186</v>
      </c>
      <c r="Q6" s="52" t="s">
        <v>187</v>
      </c>
      <c r="R6" s="52" t="s">
        <v>188</v>
      </c>
      <c r="S6" s="70" t="s">
        <v>189</v>
      </c>
      <c r="T6" s="52" t="s">
        <v>201</v>
      </c>
      <c r="U6" s="52" t="s">
        <v>202</v>
      </c>
      <c r="V6" s="52" t="s">
        <v>203</v>
      </c>
      <c r="W6" s="70" t="s">
        <v>204</v>
      </c>
      <c r="X6" s="52" t="s">
        <v>205</v>
      </c>
      <c r="Y6" s="52" t="s">
        <v>206</v>
      </c>
      <c r="Z6" s="52" t="s">
        <v>207</v>
      </c>
      <c r="AA6" s="52" t="s">
        <v>208</v>
      </c>
      <c r="AB6" s="52" t="s">
        <v>209</v>
      </c>
      <c r="AC6" s="52" t="s">
        <v>210</v>
      </c>
    </row>
    <row r="7" spans="1:29" x14ac:dyDescent="0.25">
      <c r="A7" s="165" t="s">
        <v>72</v>
      </c>
      <c r="B7" s="195">
        <v>11</v>
      </c>
      <c r="C7" s="165" t="s">
        <v>249</v>
      </c>
      <c r="D7" s="125">
        <v>2</v>
      </c>
      <c r="E7" s="24">
        <v>569.79999999999995</v>
      </c>
      <c r="F7" s="24">
        <v>10.8</v>
      </c>
      <c r="G7" s="24">
        <v>67.599999999999994</v>
      </c>
      <c r="H7" s="24">
        <v>25.4</v>
      </c>
      <c r="I7" s="24">
        <v>7.7</v>
      </c>
      <c r="J7" s="24">
        <v>479.9</v>
      </c>
      <c r="K7" s="24">
        <v>31.6</v>
      </c>
      <c r="L7" s="24">
        <v>22.4</v>
      </c>
      <c r="M7" s="24">
        <v>425.9</v>
      </c>
      <c r="N7" s="51" t="s">
        <v>62</v>
      </c>
    </row>
    <row r="8" spans="1:29" s="1" customFormat="1" x14ac:dyDescent="0.25">
      <c r="A8" s="156" t="s">
        <v>67</v>
      </c>
      <c r="B8" s="186">
        <v>5</v>
      </c>
      <c r="C8" s="156" t="s">
        <v>229</v>
      </c>
      <c r="D8" s="116">
        <v>3</v>
      </c>
      <c r="E8" s="24">
        <v>63.4</v>
      </c>
      <c r="F8" s="24">
        <v>22.1</v>
      </c>
      <c r="G8" s="24">
        <v>15.5</v>
      </c>
      <c r="H8" s="24">
        <v>4.0999999999999996</v>
      </c>
      <c r="I8" s="24">
        <v>3</v>
      </c>
      <c r="J8" s="24">
        <v>63</v>
      </c>
      <c r="K8" s="24">
        <v>3.4</v>
      </c>
      <c r="L8" s="24">
        <v>1.3</v>
      </c>
      <c r="M8" s="24">
        <v>58.3</v>
      </c>
      <c r="N8" s="51" t="s">
        <v>62</v>
      </c>
    </row>
    <row r="9" spans="1:29" x14ac:dyDescent="0.25">
      <c r="A9" s="179" t="s">
        <v>89</v>
      </c>
      <c r="B9" s="210">
        <v>30</v>
      </c>
      <c r="C9" s="179" t="s">
        <v>246</v>
      </c>
      <c r="D9" s="138">
        <v>4</v>
      </c>
      <c r="E9" s="24">
        <v>68</v>
      </c>
      <c r="F9" s="24">
        <v>34.799999999999997</v>
      </c>
      <c r="G9" s="24">
        <v>36.9</v>
      </c>
      <c r="H9" s="24">
        <v>2.1</v>
      </c>
      <c r="I9" s="24">
        <v>2.1</v>
      </c>
      <c r="J9" s="24">
        <v>61.7</v>
      </c>
      <c r="K9" s="24">
        <v>4.2</v>
      </c>
      <c r="L9" s="24" t="s">
        <v>62</v>
      </c>
      <c r="M9" s="24">
        <v>57.4</v>
      </c>
      <c r="N9" s="51" t="s">
        <v>62</v>
      </c>
    </row>
    <row r="10" spans="1:29" x14ac:dyDescent="0.25">
      <c r="A10" s="157" t="s">
        <v>68</v>
      </c>
      <c r="B10" s="187">
        <v>6</v>
      </c>
      <c r="C10" s="163" t="s">
        <v>236</v>
      </c>
      <c r="D10" s="123">
        <v>5</v>
      </c>
      <c r="E10" s="24">
        <v>88.8</v>
      </c>
      <c r="F10" s="24">
        <v>15.8</v>
      </c>
      <c r="G10" s="24">
        <v>9</v>
      </c>
      <c r="H10" s="24">
        <v>3.7</v>
      </c>
      <c r="I10" s="24">
        <v>1.7</v>
      </c>
      <c r="J10" s="24">
        <v>90.2</v>
      </c>
      <c r="K10" s="24">
        <v>4.0999999999999996</v>
      </c>
      <c r="L10" s="24">
        <v>3.2</v>
      </c>
      <c r="M10" s="24">
        <v>82.9</v>
      </c>
      <c r="N10" s="51" t="s">
        <v>62</v>
      </c>
    </row>
    <row r="11" spans="1:29" x14ac:dyDescent="0.25">
      <c r="A11" s="163" t="s">
        <v>70</v>
      </c>
      <c r="B11" s="193">
        <v>9</v>
      </c>
      <c r="C11" s="163" t="s">
        <v>236</v>
      </c>
      <c r="D11" s="123">
        <v>5</v>
      </c>
      <c r="E11" s="24">
        <v>39.200000000000003</v>
      </c>
      <c r="F11" s="24">
        <v>10.4</v>
      </c>
      <c r="G11" s="24">
        <v>11.4</v>
      </c>
      <c r="H11" s="24">
        <v>1.9</v>
      </c>
      <c r="I11" s="24">
        <v>0</v>
      </c>
      <c r="J11" s="24">
        <v>36.299999999999997</v>
      </c>
      <c r="K11" s="24">
        <v>1.8</v>
      </c>
      <c r="L11" s="24">
        <v>0.8</v>
      </c>
      <c r="M11" s="24">
        <v>33.700000000000003</v>
      </c>
      <c r="N11" s="51" t="s">
        <v>62</v>
      </c>
    </row>
    <row r="12" spans="1:29" x14ac:dyDescent="0.25">
      <c r="A12" s="163" t="s">
        <v>156</v>
      </c>
      <c r="B12" s="193">
        <v>128</v>
      </c>
      <c r="C12" s="163" t="s">
        <v>236</v>
      </c>
      <c r="D12" s="123">
        <v>5</v>
      </c>
      <c r="E12" s="41">
        <v>12.2</v>
      </c>
      <c r="F12" s="41">
        <v>0.3</v>
      </c>
      <c r="G12" s="41">
        <v>2.8</v>
      </c>
      <c r="H12" s="41">
        <v>1.2</v>
      </c>
      <c r="I12" s="41">
        <v>0</v>
      </c>
      <c r="J12" s="41">
        <v>8.5</v>
      </c>
      <c r="K12" s="41">
        <v>1.4</v>
      </c>
      <c r="L12" s="41">
        <v>0.4</v>
      </c>
      <c r="M12" s="41">
        <v>6.8</v>
      </c>
      <c r="N12" s="51" t="s">
        <v>62</v>
      </c>
    </row>
    <row r="13" spans="1:29" x14ac:dyDescent="0.25">
      <c r="A13" s="163" t="s">
        <v>71</v>
      </c>
      <c r="B13" s="193">
        <v>10</v>
      </c>
      <c r="C13" s="163" t="s">
        <v>236</v>
      </c>
      <c r="D13" s="123">
        <v>5</v>
      </c>
      <c r="E13" s="24">
        <v>81.2</v>
      </c>
      <c r="F13" s="24">
        <v>15.4</v>
      </c>
      <c r="G13" s="24">
        <v>2.9</v>
      </c>
      <c r="H13" s="24">
        <v>3.4</v>
      </c>
      <c r="I13" s="24">
        <v>0</v>
      </c>
      <c r="J13" s="24">
        <v>90.3</v>
      </c>
      <c r="K13" s="24">
        <v>3</v>
      </c>
      <c r="L13" s="24">
        <v>1.2</v>
      </c>
      <c r="M13" s="24">
        <v>86.1</v>
      </c>
      <c r="N13" s="51" t="s">
        <v>62</v>
      </c>
    </row>
    <row r="14" spans="1:29" x14ac:dyDescent="0.25">
      <c r="A14" s="261" t="s">
        <v>306</v>
      </c>
      <c r="B14" s="262">
        <v>119</v>
      </c>
      <c r="C14" s="163" t="s">
        <v>236</v>
      </c>
      <c r="D14" s="123">
        <v>5</v>
      </c>
      <c r="E14" s="239">
        <v>0.2</v>
      </c>
      <c r="F14" s="239" t="s">
        <v>62</v>
      </c>
      <c r="G14" s="239" t="s">
        <v>62</v>
      </c>
      <c r="H14" s="239">
        <v>0</v>
      </c>
      <c r="I14" s="239" t="s">
        <v>62</v>
      </c>
      <c r="J14" s="239">
        <v>0.1</v>
      </c>
      <c r="K14" s="239" t="s">
        <v>62</v>
      </c>
      <c r="L14" s="239" t="s">
        <v>62</v>
      </c>
      <c r="M14" s="239">
        <v>0.1</v>
      </c>
      <c r="N14" s="236" t="s">
        <v>305</v>
      </c>
    </row>
    <row r="15" spans="1:29" x14ac:dyDescent="0.25">
      <c r="A15" s="180" t="s">
        <v>77</v>
      </c>
      <c r="B15" s="211">
        <v>16</v>
      </c>
      <c r="C15" s="163" t="s">
        <v>236</v>
      </c>
      <c r="D15" s="123">
        <v>5</v>
      </c>
      <c r="E15" s="24">
        <v>28.2</v>
      </c>
      <c r="F15" s="24">
        <v>1.4</v>
      </c>
      <c r="G15" s="24">
        <v>0.1</v>
      </c>
      <c r="H15" s="24">
        <v>0.5</v>
      </c>
      <c r="I15" s="24">
        <v>0.5</v>
      </c>
      <c r="J15" s="24">
        <v>28.5</v>
      </c>
      <c r="K15" s="24">
        <v>2.2999999999999998</v>
      </c>
      <c r="L15" s="24">
        <v>0.2</v>
      </c>
      <c r="M15" s="24">
        <v>26.1</v>
      </c>
      <c r="N15" s="51" t="s">
        <v>62</v>
      </c>
    </row>
    <row r="16" spans="1:29" x14ac:dyDescent="0.25">
      <c r="A16" s="163" t="s">
        <v>160</v>
      </c>
      <c r="B16" s="193">
        <v>132</v>
      </c>
      <c r="C16" s="163" t="s">
        <v>236</v>
      </c>
      <c r="D16" s="123">
        <v>5</v>
      </c>
      <c r="E16" s="41">
        <v>4.8</v>
      </c>
      <c r="F16" s="41">
        <v>5</v>
      </c>
      <c r="G16" s="41">
        <v>2</v>
      </c>
      <c r="H16" s="41">
        <v>0.2</v>
      </c>
      <c r="I16" s="41" t="s">
        <v>62</v>
      </c>
      <c r="J16" s="41">
        <v>7.6</v>
      </c>
      <c r="K16" s="41">
        <v>0.8</v>
      </c>
      <c r="L16" s="41">
        <v>0.2</v>
      </c>
      <c r="M16" s="41">
        <v>6.6</v>
      </c>
      <c r="N16" s="51" t="s">
        <v>62</v>
      </c>
    </row>
    <row r="17" spans="1:14" x14ac:dyDescent="0.25">
      <c r="A17" s="163" t="s">
        <v>161</v>
      </c>
      <c r="B17" s="193">
        <v>133</v>
      </c>
      <c r="C17" s="163" t="s">
        <v>236</v>
      </c>
      <c r="D17" s="123">
        <v>5</v>
      </c>
      <c r="E17" s="41">
        <v>14</v>
      </c>
      <c r="F17" s="41">
        <v>5.8</v>
      </c>
      <c r="G17" s="41">
        <v>7.2</v>
      </c>
      <c r="H17" s="41">
        <v>1.1000000000000001</v>
      </c>
      <c r="I17" s="41">
        <v>0.8</v>
      </c>
      <c r="J17" s="41">
        <v>10.8</v>
      </c>
      <c r="K17" s="41">
        <v>1.1000000000000001</v>
      </c>
      <c r="L17" s="41">
        <v>0.8</v>
      </c>
      <c r="M17" s="41">
        <v>8.9</v>
      </c>
      <c r="N17" s="51" t="s">
        <v>62</v>
      </c>
    </row>
    <row r="18" spans="1:14" x14ac:dyDescent="0.25">
      <c r="A18" s="157" t="s">
        <v>81</v>
      </c>
      <c r="B18" s="187">
        <v>20</v>
      </c>
      <c r="C18" s="163" t="s">
        <v>236</v>
      </c>
      <c r="D18" s="123">
        <v>5</v>
      </c>
      <c r="E18" s="24">
        <v>4</v>
      </c>
      <c r="F18" s="24">
        <v>6.8</v>
      </c>
      <c r="G18" s="24">
        <v>2.9</v>
      </c>
      <c r="H18" s="24">
        <v>0</v>
      </c>
      <c r="I18" s="24">
        <v>1.1000000000000001</v>
      </c>
      <c r="J18" s="24">
        <v>6.8</v>
      </c>
      <c r="K18" s="24">
        <v>0.1</v>
      </c>
      <c r="L18" s="24" t="s">
        <v>62</v>
      </c>
      <c r="M18" s="24">
        <v>6.7</v>
      </c>
      <c r="N18" s="51" t="s">
        <v>62</v>
      </c>
    </row>
    <row r="19" spans="1:14" x14ac:dyDescent="0.25">
      <c r="A19" s="157" t="s">
        <v>83</v>
      </c>
      <c r="B19" s="187">
        <v>22</v>
      </c>
      <c r="C19" s="163" t="s">
        <v>236</v>
      </c>
      <c r="D19" s="123">
        <v>5</v>
      </c>
      <c r="E19" s="24">
        <v>103.2</v>
      </c>
      <c r="F19" s="24">
        <v>23.1</v>
      </c>
      <c r="G19" s="24">
        <v>5.6</v>
      </c>
      <c r="H19" s="24">
        <v>4</v>
      </c>
      <c r="I19" s="24" t="s">
        <v>62</v>
      </c>
      <c r="J19" s="24">
        <v>116.8</v>
      </c>
      <c r="K19" s="24">
        <v>4.5999999999999996</v>
      </c>
      <c r="L19" s="24">
        <v>5.4</v>
      </c>
      <c r="M19" s="24">
        <v>106.8</v>
      </c>
      <c r="N19" s="51" t="s">
        <v>62</v>
      </c>
    </row>
    <row r="20" spans="1:14" x14ac:dyDescent="0.25">
      <c r="A20" s="163" t="s">
        <v>88</v>
      </c>
      <c r="B20" s="193">
        <v>29</v>
      </c>
      <c r="C20" s="163" t="s">
        <v>236</v>
      </c>
      <c r="D20" s="123">
        <v>5</v>
      </c>
      <c r="E20" s="24">
        <v>148.80000000000001</v>
      </c>
      <c r="F20" s="24">
        <v>16.100000000000001</v>
      </c>
      <c r="G20" s="24">
        <v>14.7</v>
      </c>
      <c r="H20" s="24">
        <v>3.7</v>
      </c>
      <c r="I20" s="24">
        <v>1.9</v>
      </c>
      <c r="J20" s="24">
        <v>144.5</v>
      </c>
      <c r="K20" s="24">
        <v>10.8</v>
      </c>
      <c r="L20" s="24">
        <v>2.7</v>
      </c>
      <c r="M20" s="24">
        <v>131.1</v>
      </c>
      <c r="N20" s="51" t="s">
        <v>62</v>
      </c>
    </row>
    <row r="21" spans="1:14" x14ac:dyDescent="0.25">
      <c r="A21" s="180" t="s">
        <v>96</v>
      </c>
      <c r="B21" s="211">
        <v>32</v>
      </c>
      <c r="C21" s="163" t="s">
        <v>236</v>
      </c>
      <c r="D21" s="123">
        <v>5</v>
      </c>
      <c r="E21" s="24">
        <v>396.1</v>
      </c>
      <c r="F21" s="24">
        <v>8.6</v>
      </c>
      <c r="G21" s="24">
        <v>3.4</v>
      </c>
      <c r="H21" s="24">
        <v>17.7</v>
      </c>
      <c r="I21" s="24">
        <v>5.0999999999999996</v>
      </c>
      <c r="J21" s="24">
        <v>378.6</v>
      </c>
      <c r="K21" s="24">
        <v>28</v>
      </c>
      <c r="L21" s="24">
        <v>8.6999999999999993</v>
      </c>
      <c r="M21" s="24">
        <v>341.9</v>
      </c>
      <c r="N21" s="51" t="s">
        <v>62</v>
      </c>
    </row>
    <row r="22" spans="1:14" x14ac:dyDescent="0.25">
      <c r="A22" s="164" t="s">
        <v>142</v>
      </c>
      <c r="B22" s="194">
        <v>116</v>
      </c>
      <c r="C22" s="164" t="s">
        <v>235</v>
      </c>
      <c r="D22" s="124">
        <v>6</v>
      </c>
      <c r="E22" s="24">
        <v>12.2</v>
      </c>
      <c r="F22" s="24">
        <v>7.8</v>
      </c>
      <c r="G22" s="24">
        <v>1.5</v>
      </c>
      <c r="H22" s="24">
        <v>0.5</v>
      </c>
      <c r="I22" s="24">
        <v>0.2</v>
      </c>
      <c r="J22" s="24">
        <v>17.8</v>
      </c>
      <c r="K22" s="24">
        <v>2</v>
      </c>
      <c r="L22" s="24">
        <v>0.5</v>
      </c>
      <c r="M22" s="24">
        <v>15.4</v>
      </c>
      <c r="N22" s="51" t="s">
        <v>62</v>
      </c>
    </row>
    <row r="23" spans="1:14" x14ac:dyDescent="0.25">
      <c r="A23" s="164" t="s">
        <v>143</v>
      </c>
      <c r="B23" s="194">
        <v>117</v>
      </c>
      <c r="C23" s="164" t="s">
        <v>235</v>
      </c>
      <c r="D23" s="124">
        <v>6</v>
      </c>
      <c r="E23" s="24">
        <v>4.9000000000000004</v>
      </c>
      <c r="F23" s="24" t="s">
        <v>62</v>
      </c>
      <c r="G23" s="24" t="s">
        <v>62</v>
      </c>
      <c r="H23" s="24">
        <v>0.3</v>
      </c>
      <c r="I23" s="24" t="s">
        <v>62</v>
      </c>
      <c r="J23" s="24">
        <v>4.5999999999999996</v>
      </c>
      <c r="K23" s="24">
        <v>0.2</v>
      </c>
      <c r="L23" s="24">
        <v>0</v>
      </c>
      <c r="M23" s="24">
        <v>4.4000000000000004</v>
      </c>
      <c r="N23" s="51" t="s">
        <v>62</v>
      </c>
    </row>
    <row r="24" spans="1:14" x14ac:dyDescent="0.25">
      <c r="A24" s="164" t="s">
        <v>74</v>
      </c>
      <c r="B24" s="194">
        <v>13</v>
      </c>
      <c r="C24" s="164" t="s">
        <v>235</v>
      </c>
      <c r="D24" s="124">
        <v>6</v>
      </c>
      <c r="E24" s="24">
        <v>63.5</v>
      </c>
      <c r="F24" s="24">
        <v>6.4</v>
      </c>
      <c r="G24" s="24">
        <v>2.1</v>
      </c>
      <c r="H24" s="24">
        <v>4.4000000000000004</v>
      </c>
      <c r="I24" s="24">
        <v>1.1000000000000001</v>
      </c>
      <c r="J24" s="24">
        <v>62.3</v>
      </c>
      <c r="K24" s="24">
        <v>4.9000000000000004</v>
      </c>
      <c r="L24" s="24">
        <v>2.2999999999999998</v>
      </c>
      <c r="M24" s="24">
        <v>55.2</v>
      </c>
      <c r="N24" s="51" t="s">
        <v>62</v>
      </c>
    </row>
    <row r="25" spans="1:14" x14ac:dyDescent="0.25">
      <c r="A25" s="164" t="s">
        <v>78</v>
      </c>
      <c r="B25" s="194">
        <v>17</v>
      </c>
      <c r="C25" s="164" t="s">
        <v>235</v>
      </c>
      <c r="D25" s="124">
        <v>6</v>
      </c>
      <c r="E25" s="24">
        <v>313.89999999999998</v>
      </c>
      <c r="F25" s="24">
        <v>48.9</v>
      </c>
      <c r="G25" s="24">
        <v>2.6</v>
      </c>
      <c r="H25" s="24">
        <v>12.6</v>
      </c>
      <c r="I25" s="24">
        <v>7.7</v>
      </c>
      <c r="J25" s="24">
        <v>339.9</v>
      </c>
      <c r="K25" s="24">
        <v>21</v>
      </c>
      <c r="L25" s="24">
        <v>9.6</v>
      </c>
      <c r="M25" s="24">
        <v>309.3</v>
      </c>
      <c r="N25" s="51" t="s">
        <v>62</v>
      </c>
    </row>
    <row r="26" spans="1:14" x14ac:dyDescent="0.25">
      <c r="A26" s="164" t="s">
        <v>148</v>
      </c>
      <c r="B26" s="194">
        <v>120</v>
      </c>
      <c r="C26" s="164" t="s">
        <v>235</v>
      </c>
      <c r="D26" s="124">
        <v>6</v>
      </c>
      <c r="E26" s="41">
        <v>2.2999999999999998</v>
      </c>
      <c r="F26" s="41" t="s">
        <v>62</v>
      </c>
      <c r="G26" s="41" t="s">
        <v>62</v>
      </c>
      <c r="H26" s="41">
        <v>0.1</v>
      </c>
      <c r="I26" s="41" t="s">
        <v>62</v>
      </c>
      <c r="J26" s="41">
        <v>2.2000000000000002</v>
      </c>
      <c r="K26" s="41">
        <v>0.3</v>
      </c>
      <c r="L26" s="41" t="s">
        <v>62</v>
      </c>
      <c r="M26" s="41">
        <v>1.9</v>
      </c>
      <c r="N26" s="51" t="s">
        <v>62</v>
      </c>
    </row>
    <row r="27" spans="1:14" x14ac:dyDescent="0.25">
      <c r="A27" s="164" t="s">
        <v>86</v>
      </c>
      <c r="B27" s="194">
        <v>26</v>
      </c>
      <c r="C27" s="164" t="s">
        <v>235</v>
      </c>
      <c r="D27" s="124">
        <v>6</v>
      </c>
      <c r="E27" s="24">
        <v>47.3</v>
      </c>
      <c r="F27" s="24">
        <v>9.6</v>
      </c>
      <c r="G27" s="24">
        <v>2.2000000000000002</v>
      </c>
      <c r="H27" s="24">
        <v>1.3</v>
      </c>
      <c r="I27" s="24">
        <v>0.5</v>
      </c>
      <c r="J27" s="24">
        <v>52.9</v>
      </c>
      <c r="K27" s="24">
        <v>3.2</v>
      </c>
      <c r="L27" s="24">
        <v>0.7</v>
      </c>
      <c r="M27" s="24">
        <v>49</v>
      </c>
      <c r="N27" s="51" t="s">
        <v>62</v>
      </c>
    </row>
    <row r="28" spans="1:14" x14ac:dyDescent="0.25">
      <c r="A28" s="164" t="s">
        <v>151</v>
      </c>
      <c r="B28" s="194">
        <v>123</v>
      </c>
      <c r="C28" s="164" t="s">
        <v>235</v>
      </c>
      <c r="D28" s="124">
        <v>6</v>
      </c>
      <c r="E28" s="24">
        <v>15</v>
      </c>
      <c r="F28" s="24">
        <v>6.1</v>
      </c>
      <c r="G28" s="24">
        <v>5.9</v>
      </c>
      <c r="H28" s="24">
        <v>1</v>
      </c>
      <c r="I28" s="24" t="s">
        <v>62</v>
      </c>
      <c r="J28" s="24">
        <v>14.3</v>
      </c>
      <c r="K28" s="24">
        <v>0.9</v>
      </c>
      <c r="L28" s="24">
        <v>0.1</v>
      </c>
      <c r="M28" s="24">
        <v>13.3</v>
      </c>
      <c r="N28" s="51" t="s">
        <v>62</v>
      </c>
    </row>
    <row r="29" spans="1:14" x14ac:dyDescent="0.25">
      <c r="A29" s="164" t="s">
        <v>87</v>
      </c>
      <c r="B29" s="194">
        <v>28</v>
      </c>
      <c r="C29" s="164" t="s">
        <v>235</v>
      </c>
      <c r="D29" s="124">
        <v>6</v>
      </c>
      <c r="E29" s="24">
        <v>303.3</v>
      </c>
      <c r="F29" s="24">
        <v>8.8000000000000007</v>
      </c>
      <c r="G29" s="24">
        <v>14.5</v>
      </c>
      <c r="H29" s="24">
        <v>11.7</v>
      </c>
      <c r="I29" s="24">
        <v>4.3</v>
      </c>
      <c r="J29" s="24">
        <v>281.5</v>
      </c>
      <c r="K29" s="24">
        <v>15</v>
      </c>
      <c r="L29" s="24">
        <v>8.3000000000000007</v>
      </c>
      <c r="M29" s="24">
        <v>258.10000000000002</v>
      </c>
      <c r="N29" s="51" t="s">
        <v>62</v>
      </c>
    </row>
    <row r="30" spans="1:14" x14ac:dyDescent="0.25">
      <c r="A30" s="162" t="s">
        <v>141</v>
      </c>
      <c r="B30" s="192">
        <v>115</v>
      </c>
      <c r="C30" s="162" t="s">
        <v>233</v>
      </c>
      <c r="D30" s="122">
        <v>7</v>
      </c>
      <c r="E30" s="24">
        <v>43.3</v>
      </c>
      <c r="F30" s="24">
        <v>3.1</v>
      </c>
      <c r="G30" s="24">
        <v>7.5</v>
      </c>
      <c r="H30" s="24">
        <v>4.2</v>
      </c>
      <c r="I30" s="24">
        <v>0.5</v>
      </c>
      <c r="J30" s="24">
        <v>34</v>
      </c>
      <c r="K30" s="24">
        <v>4.7</v>
      </c>
      <c r="L30" s="24">
        <v>1.8</v>
      </c>
      <c r="M30" s="24">
        <v>27.5</v>
      </c>
      <c r="N30" s="51" t="s">
        <v>62</v>
      </c>
    </row>
    <row r="31" spans="1:14" x14ac:dyDescent="0.25">
      <c r="A31" s="162" t="s">
        <v>93</v>
      </c>
      <c r="B31" s="192">
        <v>8</v>
      </c>
      <c r="C31" s="162" t="s">
        <v>233</v>
      </c>
      <c r="D31" s="122">
        <v>7</v>
      </c>
      <c r="E31" s="24">
        <v>88.2</v>
      </c>
      <c r="F31" s="24">
        <v>10.199999999999999</v>
      </c>
      <c r="G31" s="24">
        <v>26.4</v>
      </c>
      <c r="H31" s="24">
        <v>6.8</v>
      </c>
      <c r="I31" s="24">
        <v>0.6</v>
      </c>
      <c r="J31" s="24">
        <v>64.7</v>
      </c>
      <c r="K31" s="24">
        <v>4.9000000000000004</v>
      </c>
      <c r="L31" s="24">
        <v>2.5</v>
      </c>
      <c r="M31" s="24">
        <v>57.2</v>
      </c>
      <c r="N31" s="51" t="s">
        <v>62</v>
      </c>
    </row>
    <row r="32" spans="1:14" x14ac:dyDescent="0.25">
      <c r="A32" s="162" t="s">
        <v>75</v>
      </c>
      <c r="B32" s="192">
        <v>14</v>
      </c>
      <c r="C32" s="162" t="s">
        <v>233</v>
      </c>
      <c r="D32" s="122">
        <v>7</v>
      </c>
      <c r="E32" s="24">
        <v>40</v>
      </c>
      <c r="F32" s="24">
        <v>14.7</v>
      </c>
      <c r="G32" s="24">
        <v>10.7</v>
      </c>
      <c r="H32" s="24">
        <v>2.7</v>
      </c>
      <c r="I32" s="24" t="s">
        <v>62</v>
      </c>
      <c r="J32" s="24">
        <v>41.2</v>
      </c>
      <c r="K32" s="24">
        <v>4</v>
      </c>
      <c r="L32" s="24">
        <v>3.5</v>
      </c>
      <c r="M32" s="24">
        <v>33.700000000000003</v>
      </c>
      <c r="N32" s="51" t="s">
        <v>62</v>
      </c>
    </row>
    <row r="33" spans="1:14" x14ac:dyDescent="0.25">
      <c r="A33" s="162" t="s">
        <v>85</v>
      </c>
      <c r="B33" s="192">
        <v>25</v>
      </c>
      <c r="C33" s="162" t="s">
        <v>233</v>
      </c>
      <c r="D33" s="122">
        <v>7</v>
      </c>
      <c r="E33" s="24">
        <v>159.30000000000001</v>
      </c>
      <c r="F33" s="24">
        <v>7.8</v>
      </c>
      <c r="G33" s="24">
        <v>13.1</v>
      </c>
      <c r="H33" s="24">
        <v>14</v>
      </c>
      <c r="I33" s="24">
        <v>0.9</v>
      </c>
      <c r="J33" s="24">
        <v>139.1</v>
      </c>
      <c r="K33" s="24">
        <v>14.4</v>
      </c>
      <c r="L33" s="24">
        <v>10.199999999999999</v>
      </c>
      <c r="M33" s="24">
        <v>114.5</v>
      </c>
      <c r="N33" s="51" t="s">
        <v>62</v>
      </c>
    </row>
    <row r="34" spans="1:14" x14ac:dyDescent="0.25">
      <c r="A34" s="162" t="s">
        <v>149</v>
      </c>
      <c r="B34" s="192">
        <v>121</v>
      </c>
      <c r="C34" s="162" t="s">
        <v>233</v>
      </c>
      <c r="D34" s="122">
        <v>7</v>
      </c>
      <c r="E34" s="24">
        <v>61.7</v>
      </c>
      <c r="F34" s="24">
        <v>1.3</v>
      </c>
      <c r="G34" s="24">
        <v>3.4</v>
      </c>
      <c r="H34" s="24">
        <v>5.5</v>
      </c>
      <c r="I34" s="24" t="s">
        <v>62</v>
      </c>
      <c r="J34" s="24">
        <v>54.1</v>
      </c>
      <c r="K34" s="24">
        <v>6.8</v>
      </c>
      <c r="L34" s="24">
        <v>6.4</v>
      </c>
      <c r="M34" s="24">
        <v>41</v>
      </c>
      <c r="N34" s="51" t="s">
        <v>62</v>
      </c>
    </row>
    <row r="35" spans="1:14" x14ac:dyDescent="0.25">
      <c r="A35" s="162" t="s">
        <v>95</v>
      </c>
      <c r="B35" s="192">
        <v>27</v>
      </c>
      <c r="C35" s="162" t="s">
        <v>233</v>
      </c>
      <c r="D35" s="122">
        <v>7</v>
      </c>
      <c r="E35" s="24">
        <v>28.1</v>
      </c>
      <c r="F35" s="24">
        <v>13.6</v>
      </c>
      <c r="G35" s="24">
        <v>11.9</v>
      </c>
      <c r="H35" s="24">
        <v>2.2999999999999998</v>
      </c>
      <c r="I35" s="24">
        <v>0.2</v>
      </c>
      <c r="J35" s="24">
        <v>27.3</v>
      </c>
      <c r="K35" s="24">
        <v>1.4</v>
      </c>
      <c r="L35" s="24">
        <v>1.2</v>
      </c>
      <c r="M35" s="24">
        <v>24.6</v>
      </c>
      <c r="N35" s="51" t="s">
        <v>62</v>
      </c>
    </row>
    <row r="36" spans="1:14" x14ac:dyDescent="0.25">
      <c r="A36" s="170" t="s">
        <v>66</v>
      </c>
      <c r="B36" s="201">
        <v>4</v>
      </c>
      <c r="C36" s="99" t="s">
        <v>420</v>
      </c>
      <c r="D36" s="100">
        <v>8</v>
      </c>
      <c r="E36" s="24">
        <v>255</v>
      </c>
      <c r="F36" s="24" t="s">
        <v>62</v>
      </c>
      <c r="G36" s="24" t="s">
        <v>62</v>
      </c>
      <c r="H36" s="24">
        <v>15.7</v>
      </c>
      <c r="I36" s="24">
        <v>0.6</v>
      </c>
      <c r="J36" s="24">
        <v>238.7</v>
      </c>
      <c r="K36" s="24">
        <v>17.899999999999999</v>
      </c>
      <c r="L36" s="24">
        <v>10.9</v>
      </c>
      <c r="M36" s="24">
        <v>209.9</v>
      </c>
      <c r="N36" s="51" t="s">
        <v>62</v>
      </c>
    </row>
    <row r="37" spans="1:14" x14ac:dyDescent="0.25">
      <c r="A37" s="168" t="s">
        <v>69</v>
      </c>
      <c r="B37" s="199">
        <v>7</v>
      </c>
      <c r="C37" s="99" t="s">
        <v>420</v>
      </c>
      <c r="D37" s="100">
        <v>8</v>
      </c>
      <c r="E37" s="24">
        <v>639.79999999999995</v>
      </c>
      <c r="F37" s="24">
        <v>19.399999999999999</v>
      </c>
      <c r="G37" s="24">
        <v>44.7</v>
      </c>
      <c r="H37" s="24">
        <v>21.2</v>
      </c>
      <c r="I37" s="24">
        <v>0.2</v>
      </c>
      <c r="J37" s="24">
        <v>593.1</v>
      </c>
      <c r="K37" s="24">
        <v>54.1</v>
      </c>
      <c r="L37" s="24">
        <v>30.7</v>
      </c>
      <c r="M37" s="24">
        <v>508.3</v>
      </c>
      <c r="N37" s="51" t="s">
        <v>62</v>
      </c>
    </row>
    <row r="38" spans="1:14" x14ac:dyDescent="0.25">
      <c r="A38" s="161" t="s">
        <v>76</v>
      </c>
      <c r="B38" s="191">
        <v>15</v>
      </c>
      <c r="C38" s="161" t="s">
        <v>420</v>
      </c>
      <c r="D38" s="121">
        <v>8</v>
      </c>
      <c r="E38" s="24">
        <v>12</v>
      </c>
      <c r="F38" s="24" t="s">
        <v>62</v>
      </c>
      <c r="G38" s="24" t="s">
        <v>62</v>
      </c>
      <c r="H38" s="24">
        <v>0.2</v>
      </c>
      <c r="I38" s="24">
        <v>0.2</v>
      </c>
      <c r="J38" s="24">
        <v>11.6</v>
      </c>
      <c r="K38" s="24">
        <v>0.5</v>
      </c>
      <c r="L38" s="24">
        <v>0.2</v>
      </c>
      <c r="M38" s="24">
        <v>10.9</v>
      </c>
      <c r="N38" s="51" t="s">
        <v>62</v>
      </c>
    </row>
    <row r="39" spans="1:14" s="1" customFormat="1" x14ac:dyDescent="0.25">
      <c r="A39" s="99" t="s">
        <v>79</v>
      </c>
      <c r="B39" s="197">
        <v>18</v>
      </c>
      <c r="C39" s="99" t="s">
        <v>420</v>
      </c>
      <c r="D39" s="100">
        <v>8</v>
      </c>
      <c r="E39" s="24">
        <v>1133.7</v>
      </c>
      <c r="F39" s="24" t="s">
        <v>62</v>
      </c>
      <c r="G39" s="24" t="s">
        <v>62</v>
      </c>
      <c r="H39" s="24">
        <v>43.1</v>
      </c>
      <c r="I39" s="24">
        <v>16</v>
      </c>
      <c r="J39" s="24">
        <v>1074.5999999999999</v>
      </c>
      <c r="K39" s="24">
        <v>51</v>
      </c>
      <c r="L39" s="24">
        <v>14.5</v>
      </c>
      <c r="M39" s="24">
        <v>1009.1</v>
      </c>
      <c r="N39" s="51" t="s">
        <v>62</v>
      </c>
    </row>
    <row r="40" spans="1:14" x14ac:dyDescent="0.25">
      <c r="A40" s="99" t="s">
        <v>80</v>
      </c>
      <c r="B40" s="197">
        <v>19</v>
      </c>
      <c r="C40" s="99" t="s">
        <v>420</v>
      </c>
      <c r="D40" s="100">
        <v>8</v>
      </c>
      <c r="E40" s="24">
        <v>427.3</v>
      </c>
      <c r="F40" s="24" t="s">
        <v>62</v>
      </c>
      <c r="G40" s="24" t="s">
        <v>62</v>
      </c>
      <c r="H40" s="24">
        <v>16.899999999999999</v>
      </c>
      <c r="I40" s="24">
        <v>1.8</v>
      </c>
      <c r="J40" s="24">
        <v>408.6</v>
      </c>
      <c r="K40" s="24">
        <v>15.3</v>
      </c>
      <c r="L40" s="24">
        <v>1.5</v>
      </c>
      <c r="M40" s="24">
        <v>391.7</v>
      </c>
      <c r="N40" s="51" t="s">
        <v>62</v>
      </c>
    </row>
    <row r="41" spans="1:14" x14ac:dyDescent="0.25">
      <c r="A41" s="168" t="s">
        <v>82</v>
      </c>
      <c r="B41" s="199">
        <v>21</v>
      </c>
      <c r="C41" s="99" t="s">
        <v>420</v>
      </c>
      <c r="D41" s="100">
        <v>8</v>
      </c>
      <c r="E41" s="24">
        <v>257.5</v>
      </c>
      <c r="F41" s="24">
        <v>0.3</v>
      </c>
      <c r="G41" s="24">
        <v>1.5</v>
      </c>
      <c r="H41" s="24">
        <v>11.5</v>
      </c>
      <c r="I41" s="24" t="s">
        <v>62</v>
      </c>
      <c r="J41" s="24">
        <v>244.8</v>
      </c>
      <c r="K41" s="24">
        <v>41.9</v>
      </c>
      <c r="L41" s="24">
        <v>6.4</v>
      </c>
      <c r="M41" s="24">
        <v>196.4</v>
      </c>
      <c r="N41" s="51" t="s">
        <v>62</v>
      </c>
    </row>
    <row r="42" spans="1:14" s="37" customFormat="1" x14ac:dyDescent="0.25">
      <c r="A42" s="855" t="s">
        <v>94</v>
      </c>
      <c r="B42" s="856">
        <v>23</v>
      </c>
      <c r="C42" s="857" t="s">
        <v>420</v>
      </c>
      <c r="D42" s="858">
        <v>8</v>
      </c>
      <c r="E42" s="97">
        <v>43.8</v>
      </c>
      <c r="F42" s="97" t="s">
        <v>62</v>
      </c>
      <c r="G42" s="97" t="s">
        <v>62</v>
      </c>
      <c r="H42" s="97">
        <v>1.5</v>
      </c>
      <c r="I42" s="97" t="s">
        <v>62</v>
      </c>
      <c r="J42" s="97">
        <v>42.4</v>
      </c>
      <c r="K42" s="97">
        <v>3.2</v>
      </c>
      <c r="L42" s="97">
        <v>0.4</v>
      </c>
      <c r="M42" s="97">
        <v>38.799999999999997</v>
      </c>
      <c r="N42" s="51" t="s">
        <v>62</v>
      </c>
    </row>
    <row r="43" spans="1:14" x14ac:dyDescent="0.25">
      <c r="A43" s="161" t="s">
        <v>84</v>
      </c>
      <c r="B43" s="191">
        <v>24</v>
      </c>
      <c r="C43" s="161" t="s">
        <v>420</v>
      </c>
      <c r="D43" s="121">
        <v>8</v>
      </c>
      <c r="E43" s="24">
        <v>137.5</v>
      </c>
      <c r="F43" s="24">
        <v>5.3</v>
      </c>
      <c r="G43" s="24">
        <v>15.3</v>
      </c>
      <c r="H43" s="24">
        <v>1.1000000000000001</v>
      </c>
      <c r="I43" s="24">
        <v>2.2999999999999998</v>
      </c>
      <c r="J43" s="24">
        <v>124</v>
      </c>
      <c r="K43" s="24">
        <v>9.8000000000000007</v>
      </c>
      <c r="L43" s="24">
        <v>3.6</v>
      </c>
      <c r="M43" s="24">
        <v>110.6</v>
      </c>
      <c r="N43" s="51" t="s">
        <v>62</v>
      </c>
    </row>
    <row r="44" spans="1:14" x14ac:dyDescent="0.25">
      <c r="A44" s="181" t="s">
        <v>97</v>
      </c>
      <c r="B44" s="212">
        <v>33</v>
      </c>
      <c r="C44" s="181" t="s">
        <v>247</v>
      </c>
      <c r="D44" s="140">
        <v>9</v>
      </c>
      <c r="E44" s="24">
        <v>4348.8999999999996</v>
      </c>
      <c r="F44" s="24">
        <v>51.4</v>
      </c>
      <c r="G44" s="24">
        <v>20.100000000000001</v>
      </c>
      <c r="H44" s="24">
        <v>159.30000000000001</v>
      </c>
      <c r="I44" s="24">
        <v>32.799999999999997</v>
      </c>
      <c r="J44" s="24">
        <v>4188</v>
      </c>
      <c r="K44" s="24">
        <v>267</v>
      </c>
      <c r="L44" s="24">
        <v>96.1</v>
      </c>
      <c r="M44" s="24">
        <v>3824.8</v>
      </c>
      <c r="N44" s="51" t="s">
        <v>62</v>
      </c>
    </row>
    <row r="45" spans="1:14" x14ac:dyDescent="0.25">
      <c r="A45" s="158" t="s">
        <v>36</v>
      </c>
      <c r="B45" s="188">
        <v>69</v>
      </c>
      <c r="C45" s="158" t="s">
        <v>232</v>
      </c>
      <c r="D45" s="118">
        <v>10</v>
      </c>
      <c r="E45" s="24">
        <v>445.1</v>
      </c>
      <c r="F45" s="24">
        <v>40.9</v>
      </c>
      <c r="G45" s="24">
        <v>2</v>
      </c>
      <c r="H45" s="24">
        <v>17.3</v>
      </c>
      <c r="I45" s="24" t="s">
        <v>62</v>
      </c>
      <c r="J45" s="24">
        <v>466.7</v>
      </c>
      <c r="K45" s="24">
        <v>71.3</v>
      </c>
      <c r="L45" s="24" t="s">
        <v>62</v>
      </c>
      <c r="M45" s="24">
        <v>395.4</v>
      </c>
      <c r="N45" s="51" t="s">
        <v>62</v>
      </c>
    </row>
    <row r="46" spans="1:14" x14ac:dyDescent="0.25">
      <c r="A46" s="178" t="s">
        <v>163</v>
      </c>
      <c r="B46" s="209">
        <v>135</v>
      </c>
      <c r="C46" s="178" t="s">
        <v>244</v>
      </c>
      <c r="D46" s="137">
        <v>11</v>
      </c>
      <c r="E46" s="41">
        <v>1015.3</v>
      </c>
      <c r="F46" s="41">
        <v>5.7</v>
      </c>
      <c r="G46" s="41">
        <v>18.5</v>
      </c>
      <c r="H46" s="41">
        <v>74.3</v>
      </c>
      <c r="I46" s="41">
        <v>2.7</v>
      </c>
      <c r="J46" s="41">
        <v>925.6</v>
      </c>
      <c r="K46" s="41">
        <v>104.9</v>
      </c>
      <c r="L46" s="41">
        <v>119.8</v>
      </c>
      <c r="M46" s="41">
        <v>700.9</v>
      </c>
      <c r="N46" s="51" t="s">
        <v>62</v>
      </c>
    </row>
    <row r="47" spans="1:14" x14ac:dyDescent="0.25">
      <c r="A47" s="166" t="s">
        <v>120</v>
      </c>
      <c r="B47" s="196">
        <v>94</v>
      </c>
      <c r="C47" s="166" t="s">
        <v>241</v>
      </c>
      <c r="D47" s="126">
        <v>12</v>
      </c>
      <c r="E47" s="24">
        <v>792.4</v>
      </c>
      <c r="F47" s="24">
        <v>9.6999999999999993</v>
      </c>
      <c r="G47" s="24">
        <v>0.4</v>
      </c>
      <c r="H47" s="24">
        <v>55.9</v>
      </c>
      <c r="I47" s="24" t="s">
        <v>62</v>
      </c>
      <c r="J47" s="24">
        <v>745.9</v>
      </c>
      <c r="K47" s="24">
        <v>201.4</v>
      </c>
      <c r="L47" s="24" t="s">
        <v>62</v>
      </c>
      <c r="M47" s="24">
        <v>544.5</v>
      </c>
      <c r="N47" s="51" t="s">
        <v>62</v>
      </c>
    </row>
    <row r="48" spans="1:14" x14ac:dyDescent="0.25">
      <c r="A48" s="159" t="s">
        <v>137</v>
      </c>
      <c r="B48" s="189">
        <v>111</v>
      </c>
      <c r="C48" s="159" t="s">
        <v>239</v>
      </c>
      <c r="D48" s="119">
        <v>13</v>
      </c>
      <c r="E48" s="41">
        <v>39</v>
      </c>
      <c r="F48" s="41">
        <v>11</v>
      </c>
      <c r="G48" s="41">
        <v>4</v>
      </c>
      <c r="H48" s="41" t="s">
        <v>62</v>
      </c>
      <c r="I48" s="41" t="s">
        <v>62</v>
      </c>
      <c r="J48" s="41">
        <v>45.9</v>
      </c>
      <c r="K48" s="41">
        <v>5</v>
      </c>
      <c r="L48" s="41" t="s">
        <v>62</v>
      </c>
      <c r="M48" s="41">
        <v>40.9</v>
      </c>
      <c r="N48" s="51" t="s">
        <v>62</v>
      </c>
    </row>
    <row r="49" spans="1:14" x14ac:dyDescent="0.25">
      <c r="A49" s="159" t="s">
        <v>136</v>
      </c>
      <c r="B49" s="189">
        <v>110</v>
      </c>
      <c r="C49" s="159" t="s">
        <v>239</v>
      </c>
      <c r="D49" s="119">
        <v>13</v>
      </c>
      <c r="E49" s="24">
        <v>3279.2</v>
      </c>
      <c r="F49" s="24">
        <v>4.3</v>
      </c>
      <c r="G49" s="24">
        <v>14.6</v>
      </c>
      <c r="H49" s="24">
        <v>258</v>
      </c>
      <c r="I49" s="41" t="s">
        <v>62</v>
      </c>
      <c r="J49" s="24">
        <v>3010.9</v>
      </c>
      <c r="K49" s="24">
        <v>196.2</v>
      </c>
      <c r="L49" s="24">
        <v>138.6</v>
      </c>
      <c r="M49" s="24">
        <v>2676</v>
      </c>
      <c r="N49" s="51" t="s">
        <v>62</v>
      </c>
    </row>
    <row r="50" spans="1:14" x14ac:dyDescent="0.25">
      <c r="A50" s="177" t="s">
        <v>25</v>
      </c>
      <c r="B50" s="208">
        <v>58</v>
      </c>
      <c r="C50" s="177" t="s">
        <v>245</v>
      </c>
      <c r="D50" s="136">
        <v>14</v>
      </c>
      <c r="E50" s="24">
        <v>263.5</v>
      </c>
      <c r="F50" s="24">
        <v>11.3</v>
      </c>
      <c r="G50" s="24">
        <v>14.2</v>
      </c>
      <c r="H50" s="24">
        <v>14.9</v>
      </c>
      <c r="I50" s="24">
        <v>4.2</v>
      </c>
      <c r="J50" s="24">
        <v>241.4</v>
      </c>
      <c r="K50" s="24">
        <v>22</v>
      </c>
      <c r="L50" s="24">
        <v>11.4</v>
      </c>
      <c r="M50" s="24">
        <v>208</v>
      </c>
      <c r="N50" s="51" t="s">
        <v>62</v>
      </c>
    </row>
    <row r="51" spans="1:14" x14ac:dyDescent="0.25">
      <c r="A51" s="169" t="s">
        <v>4</v>
      </c>
      <c r="B51" s="200">
        <v>38</v>
      </c>
      <c r="C51" s="169" t="s">
        <v>422</v>
      </c>
      <c r="D51" s="129">
        <v>15</v>
      </c>
      <c r="E51" s="24">
        <v>37.200000000000003</v>
      </c>
      <c r="F51" s="24">
        <v>0.3</v>
      </c>
      <c r="G51" s="24">
        <v>0.3</v>
      </c>
      <c r="H51" s="24">
        <v>2.7</v>
      </c>
      <c r="I51" s="24" t="s">
        <v>62</v>
      </c>
      <c r="J51" s="24">
        <v>34.5</v>
      </c>
      <c r="K51" s="24">
        <v>6.6</v>
      </c>
      <c r="L51" s="24">
        <v>0.5</v>
      </c>
      <c r="M51" s="24">
        <v>27.3</v>
      </c>
      <c r="N51" s="51" t="s">
        <v>62</v>
      </c>
    </row>
    <row r="52" spans="1:14" x14ac:dyDescent="0.25">
      <c r="A52" s="167" t="s">
        <v>169</v>
      </c>
      <c r="B52" s="198">
        <v>141</v>
      </c>
      <c r="C52" s="169" t="s">
        <v>422</v>
      </c>
      <c r="D52" s="129">
        <v>15</v>
      </c>
      <c r="E52" s="41">
        <v>10.9</v>
      </c>
      <c r="F52" s="41" t="s">
        <v>62</v>
      </c>
      <c r="G52" s="41" t="s">
        <v>62</v>
      </c>
      <c r="H52" s="41">
        <v>0.1</v>
      </c>
      <c r="I52" s="41" t="s">
        <v>62</v>
      </c>
      <c r="J52" s="41">
        <v>10.8</v>
      </c>
      <c r="K52" s="41">
        <v>0.2</v>
      </c>
      <c r="L52" s="41" t="s">
        <v>62</v>
      </c>
      <c r="M52" s="41">
        <v>10.7</v>
      </c>
      <c r="N52" s="51" t="s">
        <v>62</v>
      </c>
    </row>
    <row r="53" spans="1:14" x14ac:dyDescent="0.25">
      <c r="A53" s="169" t="s">
        <v>13</v>
      </c>
      <c r="B53" s="200">
        <v>46</v>
      </c>
      <c r="C53" s="169" t="s">
        <v>422</v>
      </c>
      <c r="D53" s="129">
        <v>15</v>
      </c>
      <c r="E53" s="24">
        <v>125.1</v>
      </c>
      <c r="F53" s="24">
        <v>0.3</v>
      </c>
      <c r="G53" s="24">
        <v>0.8</v>
      </c>
      <c r="H53" s="24">
        <v>4.2</v>
      </c>
      <c r="I53" s="24" t="s">
        <v>62</v>
      </c>
      <c r="J53" s="24">
        <v>120.3</v>
      </c>
      <c r="K53" s="24">
        <v>13.8</v>
      </c>
      <c r="L53" s="24" t="s">
        <v>62</v>
      </c>
      <c r="M53" s="24">
        <v>106.6</v>
      </c>
      <c r="N53" s="51" t="s">
        <v>62</v>
      </c>
    </row>
    <row r="54" spans="1:14" x14ac:dyDescent="0.25">
      <c r="A54" s="167" t="s">
        <v>170</v>
      </c>
      <c r="B54" s="198">
        <v>142</v>
      </c>
      <c r="C54" s="169" t="s">
        <v>422</v>
      </c>
      <c r="D54" s="129">
        <v>15</v>
      </c>
      <c r="E54" s="41">
        <v>204</v>
      </c>
      <c r="F54" s="41">
        <v>1.8</v>
      </c>
      <c r="G54" s="41">
        <v>2.5</v>
      </c>
      <c r="H54" s="41">
        <v>8.1</v>
      </c>
      <c r="I54" s="41" t="s">
        <v>62</v>
      </c>
      <c r="J54" s="41">
        <v>195.2</v>
      </c>
      <c r="K54" s="41">
        <v>38.200000000000003</v>
      </c>
      <c r="L54" s="41">
        <v>1.9</v>
      </c>
      <c r="M54" s="41">
        <v>155.19999999999999</v>
      </c>
      <c r="N54" s="51" t="s">
        <v>62</v>
      </c>
    </row>
    <row r="55" spans="1:14" x14ac:dyDescent="0.25">
      <c r="A55" s="167" t="s">
        <v>171</v>
      </c>
      <c r="B55" s="198">
        <v>143</v>
      </c>
      <c r="C55" s="169" t="s">
        <v>422</v>
      </c>
      <c r="D55" s="129">
        <v>15</v>
      </c>
      <c r="E55" s="41">
        <v>33.200000000000003</v>
      </c>
      <c r="F55" s="41">
        <v>1.4</v>
      </c>
      <c r="G55" s="41" t="s">
        <v>62</v>
      </c>
      <c r="H55" s="41" t="s">
        <v>62</v>
      </c>
      <c r="I55" s="41" t="s">
        <v>62</v>
      </c>
      <c r="J55" s="41">
        <v>34.5</v>
      </c>
      <c r="K55" s="41">
        <v>2.2000000000000002</v>
      </c>
      <c r="L55" s="41" t="s">
        <v>62</v>
      </c>
      <c r="M55" s="41">
        <v>32.299999999999997</v>
      </c>
      <c r="N55" s="51" t="s">
        <v>62</v>
      </c>
    </row>
    <row r="56" spans="1:14" x14ac:dyDescent="0.25">
      <c r="A56" s="167" t="s">
        <v>173</v>
      </c>
      <c r="B56" s="198">
        <v>145</v>
      </c>
      <c r="C56" s="169" t="s">
        <v>422</v>
      </c>
      <c r="D56" s="129">
        <v>15</v>
      </c>
      <c r="E56" s="41">
        <v>13</v>
      </c>
      <c r="F56" s="41">
        <v>0.2</v>
      </c>
      <c r="G56" s="41">
        <v>0.2</v>
      </c>
      <c r="H56" s="41">
        <v>0.6</v>
      </c>
      <c r="I56" s="41" t="s">
        <v>62</v>
      </c>
      <c r="J56" s="41">
        <v>12.4</v>
      </c>
      <c r="K56" s="41">
        <v>1.8</v>
      </c>
      <c r="L56" s="41">
        <v>0.1</v>
      </c>
      <c r="M56" s="41">
        <v>10.5</v>
      </c>
      <c r="N56" s="51" t="s">
        <v>62</v>
      </c>
    </row>
    <row r="57" spans="1:14" x14ac:dyDescent="0.25">
      <c r="A57" s="167" t="s">
        <v>174</v>
      </c>
      <c r="B57" s="198">
        <v>146</v>
      </c>
      <c r="C57" s="169" t="s">
        <v>422</v>
      </c>
      <c r="D57" s="129">
        <v>15</v>
      </c>
      <c r="E57" s="41">
        <v>48.8</v>
      </c>
      <c r="F57" s="41" t="s">
        <v>62</v>
      </c>
      <c r="G57" s="41" t="s">
        <v>62</v>
      </c>
      <c r="H57" s="41">
        <v>7</v>
      </c>
      <c r="I57" s="41" t="s">
        <v>62</v>
      </c>
      <c r="J57" s="41">
        <v>41.7</v>
      </c>
      <c r="K57" s="41">
        <v>5.6</v>
      </c>
      <c r="L57" s="41">
        <v>5.6</v>
      </c>
      <c r="M57" s="41">
        <v>30.6</v>
      </c>
      <c r="N57" s="51" t="s">
        <v>62</v>
      </c>
    </row>
    <row r="58" spans="1:14" x14ac:dyDescent="0.25">
      <c r="A58" s="167" t="s">
        <v>175</v>
      </c>
      <c r="B58" s="198">
        <v>147</v>
      </c>
      <c r="C58" s="169" t="s">
        <v>422</v>
      </c>
      <c r="D58" s="129">
        <v>15</v>
      </c>
      <c r="E58" s="41">
        <v>9.6</v>
      </c>
      <c r="F58" s="41">
        <v>1</v>
      </c>
      <c r="G58" s="41" t="s">
        <v>62</v>
      </c>
      <c r="H58" s="41" t="s">
        <v>62</v>
      </c>
      <c r="I58" s="41" t="s">
        <v>62</v>
      </c>
      <c r="J58" s="41">
        <v>10.5</v>
      </c>
      <c r="K58" s="41">
        <v>1.6</v>
      </c>
      <c r="L58" s="41" t="s">
        <v>62</v>
      </c>
      <c r="M58" s="41">
        <v>9</v>
      </c>
      <c r="N58" s="51" t="s">
        <v>62</v>
      </c>
    </row>
    <row r="59" spans="1:14" x14ac:dyDescent="0.25">
      <c r="A59" s="169" t="s">
        <v>19</v>
      </c>
      <c r="B59" s="200">
        <v>52</v>
      </c>
      <c r="C59" s="169" t="s">
        <v>422</v>
      </c>
      <c r="D59" s="129">
        <v>15</v>
      </c>
      <c r="E59" s="24">
        <v>25.7</v>
      </c>
      <c r="F59" s="24">
        <v>0.1</v>
      </c>
      <c r="G59" s="24">
        <v>0.1</v>
      </c>
      <c r="H59" s="24">
        <v>2</v>
      </c>
      <c r="I59" s="24" t="s">
        <v>62</v>
      </c>
      <c r="J59" s="24">
        <v>23.7</v>
      </c>
      <c r="K59" s="24">
        <v>1.8</v>
      </c>
      <c r="L59" s="24" t="s">
        <v>62</v>
      </c>
      <c r="M59" s="24">
        <v>21.9</v>
      </c>
      <c r="N59" s="51" t="s">
        <v>62</v>
      </c>
    </row>
    <row r="60" spans="1:14" x14ac:dyDescent="0.25">
      <c r="A60" s="169" t="s">
        <v>20</v>
      </c>
      <c r="B60" s="200">
        <v>53</v>
      </c>
      <c r="C60" s="169" t="s">
        <v>422</v>
      </c>
      <c r="D60" s="129">
        <v>15</v>
      </c>
      <c r="E60" s="24">
        <v>22.9</v>
      </c>
      <c r="F60" s="24">
        <v>3.5</v>
      </c>
      <c r="G60" s="24" t="s">
        <v>62</v>
      </c>
      <c r="H60" s="24">
        <v>1</v>
      </c>
      <c r="I60" s="24" t="s">
        <v>62</v>
      </c>
      <c r="J60" s="24">
        <v>25.4</v>
      </c>
      <c r="K60" s="24">
        <v>4.2</v>
      </c>
      <c r="L60" s="24">
        <v>0.6</v>
      </c>
      <c r="M60" s="24">
        <v>20.5</v>
      </c>
      <c r="N60" s="51" t="s">
        <v>62</v>
      </c>
    </row>
    <row r="61" spans="1:14" x14ac:dyDescent="0.25">
      <c r="A61" s="167" t="s">
        <v>176</v>
      </c>
      <c r="B61" s="198">
        <v>148</v>
      </c>
      <c r="C61" s="169" t="s">
        <v>422</v>
      </c>
      <c r="D61" s="129">
        <v>15</v>
      </c>
      <c r="E61" s="41">
        <v>14.4</v>
      </c>
      <c r="F61" s="41" t="s">
        <v>62</v>
      </c>
      <c r="G61" s="41" t="s">
        <v>62</v>
      </c>
      <c r="H61" s="41">
        <v>0.6</v>
      </c>
      <c r="I61" s="41" t="s">
        <v>62</v>
      </c>
      <c r="J61" s="41">
        <v>13.9</v>
      </c>
      <c r="K61" s="41">
        <v>2.2000000000000002</v>
      </c>
      <c r="L61" s="41" t="s">
        <v>62</v>
      </c>
      <c r="M61" s="41">
        <v>11.6</v>
      </c>
      <c r="N61" s="51" t="s">
        <v>62</v>
      </c>
    </row>
    <row r="62" spans="1:14" x14ac:dyDescent="0.25">
      <c r="A62" s="167" t="s">
        <v>177</v>
      </c>
      <c r="B62" s="198">
        <v>149</v>
      </c>
      <c r="C62" s="169" t="s">
        <v>422</v>
      </c>
      <c r="D62" s="129">
        <v>15</v>
      </c>
      <c r="E62" s="41">
        <v>16.100000000000001</v>
      </c>
      <c r="F62" s="41" t="s">
        <v>62</v>
      </c>
      <c r="G62" s="41" t="s">
        <v>62</v>
      </c>
      <c r="H62" s="41">
        <v>1.5</v>
      </c>
      <c r="I62" s="41" t="s">
        <v>62</v>
      </c>
      <c r="J62" s="41">
        <v>14.5</v>
      </c>
      <c r="K62" s="41">
        <v>1.4</v>
      </c>
      <c r="L62" s="41" t="s">
        <v>62</v>
      </c>
      <c r="M62" s="41">
        <v>13.1</v>
      </c>
      <c r="N62" s="51" t="s">
        <v>62</v>
      </c>
    </row>
    <row r="63" spans="1:14" x14ac:dyDescent="0.25">
      <c r="A63" s="167" t="s">
        <v>178</v>
      </c>
      <c r="B63" s="198">
        <v>150</v>
      </c>
      <c r="C63" s="169" t="s">
        <v>422</v>
      </c>
      <c r="D63" s="129">
        <v>15</v>
      </c>
      <c r="E63" s="41">
        <v>189.1</v>
      </c>
      <c r="F63" s="41" t="s">
        <v>62</v>
      </c>
      <c r="G63" s="41" t="s">
        <v>62</v>
      </c>
      <c r="H63" s="41">
        <v>5.0999999999999996</v>
      </c>
      <c r="I63" s="41" t="s">
        <v>62</v>
      </c>
      <c r="J63" s="41">
        <v>184</v>
      </c>
      <c r="K63" s="41">
        <v>14</v>
      </c>
      <c r="L63" s="41">
        <v>13.3</v>
      </c>
      <c r="M63" s="41">
        <v>156.69999999999999</v>
      </c>
      <c r="N63" s="51" t="s">
        <v>62</v>
      </c>
    </row>
    <row r="64" spans="1:14" x14ac:dyDescent="0.25">
      <c r="A64" s="167" t="s">
        <v>179</v>
      </c>
      <c r="B64" s="198">
        <v>151</v>
      </c>
      <c r="C64" s="169" t="s">
        <v>422</v>
      </c>
      <c r="D64" s="129">
        <v>15</v>
      </c>
      <c r="E64" s="41">
        <v>38.6</v>
      </c>
      <c r="F64" s="41" t="s">
        <v>62</v>
      </c>
      <c r="G64" s="41" t="s">
        <v>62</v>
      </c>
      <c r="H64" s="41">
        <v>4.4000000000000004</v>
      </c>
      <c r="I64" s="41" t="s">
        <v>62</v>
      </c>
      <c r="J64" s="41">
        <v>34.200000000000003</v>
      </c>
      <c r="K64" s="41">
        <v>9.1999999999999993</v>
      </c>
      <c r="L64" s="41" t="s">
        <v>62</v>
      </c>
      <c r="M64" s="41">
        <v>25.1</v>
      </c>
      <c r="N64" s="51" t="s">
        <v>62</v>
      </c>
    </row>
    <row r="65" spans="1:14" x14ac:dyDescent="0.25">
      <c r="A65" s="169" t="s">
        <v>29</v>
      </c>
      <c r="B65" s="200">
        <v>62</v>
      </c>
      <c r="C65" s="169" t="s">
        <v>422</v>
      </c>
      <c r="D65" s="129">
        <v>15</v>
      </c>
      <c r="E65" s="24">
        <v>14.7</v>
      </c>
      <c r="F65" s="24" t="s">
        <v>62</v>
      </c>
      <c r="G65" s="24" t="s">
        <v>62</v>
      </c>
      <c r="H65" s="24">
        <v>0.7</v>
      </c>
      <c r="I65" s="24" t="s">
        <v>62</v>
      </c>
      <c r="J65" s="24">
        <v>14</v>
      </c>
      <c r="K65" s="24">
        <v>1.9</v>
      </c>
      <c r="L65" s="24" t="s">
        <v>62</v>
      </c>
      <c r="M65" s="24">
        <v>12.1</v>
      </c>
      <c r="N65" s="51" t="s">
        <v>62</v>
      </c>
    </row>
    <row r="66" spans="1:14" x14ac:dyDescent="0.25">
      <c r="A66" s="167" t="s">
        <v>180</v>
      </c>
      <c r="B66" s="198">
        <v>152</v>
      </c>
      <c r="C66" s="169" t="s">
        <v>422</v>
      </c>
      <c r="D66" s="129">
        <v>15</v>
      </c>
      <c r="E66" s="41">
        <v>76.099999999999994</v>
      </c>
      <c r="F66" s="41" t="s">
        <v>62</v>
      </c>
      <c r="G66" s="41" t="s">
        <v>62</v>
      </c>
      <c r="H66" s="41">
        <v>3</v>
      </c>
      <c r="I66" s="41" t="s">
        <v>62</v>
      </c>
      <c r="J66" s="41">
        <v>73.099999999999994</v>
      </c>
      <c r="K66" s="41">
        <v>5.6</v>
      </c>
      <c r="L66" s="41" t="s">
        <v>62</v>
      </c>
      <c r="M66" s="41">
        <v>67.5</v>
      </c>
      <c r="N66" s="51" t="s">
        <v>62</v>
      </c>
    </row>
    <row r="67" spans="1:14" x14ac:dyDescent="0.25">
      <c r="A67" s="167" t="s">
        <v>181</v>
      </c>
      <c r="B67" s="198">
        <v>153</v>
      </c>
      <c r="C67" s="169" t="s">
        <v>422</v>
      </c>
      <c r="D67" s="129">
        <v>15</v>
      </c>
      <c r="E67" s="41">
        <v>6</v>
      </c>
      <c r="F67" s="41" t="s">
        <v>62</v>
      </c>
      <c r="G67" s="41" t="s">
        <v>62</v>
      </c>
      <c r="H67" s="41">
        <v>0.4</v>
      </c>
      <c r="I67" s="41" t="s">
        <v>62</v>
      </c>
      <c r="J67" s="41">
        <v>5.6</v>
      </c>
      <c r="K67" s="41">
        <v>1.5</v>
      </c>
      <c r="L67" s="41" t="s">
        <v>62</v>
      </c>
      <c r="M67" s="41">
        <v>4.0999999999999996</v>
      </c>
      <c r="N67" s="51" t="s">
        <v>62</v>
      </c>
    </row>
    <row r="68" spans="1:14" x14ac:dyDescent="0.25">
      <c r="A68" s="171" t="s">
        <v>42</v>
      </c>
      <c r="B68" s="202">
        <v>75</v>
      </c>
      <c r="C68" s="171" t="s">
        <v>421</v>
      </c>
      <c r="D68" s="131">
        <v>16</v>
      </c>
      <c r="E68" s="24">
        <v>17.3</v>
      </c>
      <c r="F68" s="24">
        <v>0.9</v>
      </c>
      <c r="G68" s="24" t="s">
        <v>62</v>
      </c>
      <c r="H68" s="24">
        <v>0.4</v>
      </c>
      <c r="I68" s="24" t="s">
        <v>62</v>
      </c>
      <c r="J68" s="24">
        <v>17.8</v>
      </c>
      <c r="K68" s="24">
        <v>7.7</v>
      </c>
      <c r="L68" s="24" t="s">
        <v>62</v>
      </c>
      <c r="M68" s="24">
        <v>10.1</v>
      </c>
      <c r="N68" s="51" t="s">
        <v>62</v>
      </c>
    </row>
    <row r="69" spans="1:14" x14ac:dyDescent="0.25">
      <c r="A69" s="170" t="s">
        <v>121</v>
      </c>
      <c r="B69" s="201">
        <v>95</v>
      </c>
      <c r="C69" s="99" t="s">
        <v>421</v>
      </c>
      <c r="D69" s="100">
        <v>16</v>
      </c>
      <c r="E69" s="24">
        <v>142.19999999999999</v>
      </c>
      <c r="F69" s="24" t="s">
        <v>62</v>
      </c>
      <c r="G69" s="24" t="s">
        <v>62</v>
      </c>
      <c r="H69" s="24">
        <v>5.9</v>
      </c>
      <c r="I69" s="24" t="s">
        <v>62</v>
      </c>
      <c r="J69" s="24">
        <v>136.30000000000001</v>
      </c>
      <c r="K69" s="24">
        <v>15.1</v>
      </c>
      <c r="L69" s="24" t="s">
        <v>62</v>
      </c>
      <c r="M69" s="24">
        <v>121.2</v>
      </c>
      <c r="N69" s="51" t="s">
        <v>62</v>
      </c>
    </row>
    <row r="70" spans="1:14" x14ac:dyDescent="0.25">
      <c r="A70" s="171" t="s">
        <v>23</v>
      </c>
      <c r="B70" s="202">
        <v>56</v>
      </c>
      <c r="C70" s="171" t="s">
        <v>421</v>
      </c>
      <c r="D70" s="131">
        <v>16</v>
      </c>
      <c r="E70" s="24">
        <v>23</v>
      </c>
      <c r="F70" s="24" t="s">
        <v>62</v>
      </c>
      <c r="G70" s="24" t="s">
        <v>62</v>
      </c>
      <c r="H70" s="24">
        <v>0.6</v>
      </c>
      <c r="I70" s="24" t="s">
        <v>62</v>
      </c>
      <c r="J70" s="24">
        <v>22.4</v>
      </c>
      <c r="K70" s="24">
        <v>2.7</v>
      </c>
      <c r="L70" s="24" t="s">
        <v>62</v>
      </c>
      <c r="M70" s="24">
        <v>19.7</v>
      </c>
      <c r="N70" s="51" t="s">
        <v>62</v>
      </c>
    </row>
    <row r="71" spans="1:14" x14ac:dyDescent="0.25">
      <c r="A71" s="171" t="s">
        <v>114</v>
      </c>
      <c r="B71" s="202">
        <v>88</v>
      </c>
      <c r="C71" s="171" t="s">
        <v>421</v>
      </c>
      <c r="D71" s="131">
        <v>16</v>
      </c>
      <c r="E71" s="24">
        <v>114.9</v>
      </c>
      <c r="F71" s="24">
        <v>1.7</v>
      </c>
      <c r="G71" s="24">
        <v>0.5</v>
      </c>
      <c r="H71" s="24">
        <v>1.3</v>
      </c>
      <c r="I71" s="24" t="s">
        <v>62</v>
      </c>
      <c r="J71" s="24">
        <v>114.6</v>
      </c>
      <c r="K71" s="24">
        <v>31.4</v>
      </c>
      <c r="L71" s="24">
        <v>2</v>
      </c>
      <c r="M71" s="24">
        <v>81.3</v>
      </c>
      <c r="N71" s="51" t="s">
        <v>62</v>
      </c>
    </row>
    <row r="72" spans="1:14" x14ac:dyDescent="0.25">
      <c r="A72" s="176" t="s">
        <v>139</v>
      </c>
      <c r="B72" s="207">
        <v>113</v>
      </c>
      <c r="C72" s="176" t="s">
        <v>423</v>
      </c>
      <c r="D72" s="135">
        <v>17</v>
      </c>
      <c r="E72" s="24">
        <v>2.9</v>
      </c>
      <c r="F72" s="24">
        <v>2.8</v>
      </c>
      <c r="G72" s="24" t="s">
        <v>62</v>
      </c>
      <c r="H72" s="24">
        <v>0.1</v>
      </c>
      <c r="I72" s="24" t="s">
        <v>62</v>
      </c>
      <c r="J72" s="24">
        <v>5.6</v>
      </c>
      <c r="K72" s="24">
        <v>2</v>
      </c>
      <c r="L72" s="24" t="s">
        <v>62</v>
      </c>
      <c r="M72" s="24">
        <v>3.6</v>
      </c>
      <c r="N72" s="51" t="s">
        <v>62</v>
      </c>
    </row>
    <row r="73" spans="1:14" x14ac:dyDescent="0.25">
      <c r="A73" s="172" t="s">
        <v>6</v>
      </c>
      <c r="B73" s="203">
        <v>39</v>
      </c>
      <c r="C73" s="176" t="s">
        <v>423</v>
      </c>
      <c r="D73" s="135">
        <v>17</v>
      </c>
      <c r="E73" s="24">
        <v>3.8</v>
      </c>
      <c r="F73" s="24" t="s">
        <v>62</v>
      </c>
      <c r="G73" s="24" t="s">
        <v>62</v>
      </c>
      <c r="H73" s="24">
        <v>0.2</v>
      </c>
      <c r="I73" s="24" t="s">
        <v>62</v>
      </c>
      <c r="J73" s="24">
        <v>3.6</v>
      </c>
      <c r="K73" s="24">
        <v>0.5</v>
      </c>
      <c r="L73" s="24" t="s">
        <v>62</v>
      </c>
      <c r="M73" s="24">
        <v>3</v>
      </c>
      <c r="N73" s="51" t="s">
        <v>62</v>
      </c>
    </row>
    <row r="74" spans="1:14" x14ac:dyDescent="0.25">
      <c r="A74" s="173" t="s">
        <v>34</v>
      </c>
      <c r="B74" s="204">
        <v>67</v>
      </c>
      <c r="C74" s="176" t="s">
        <v>423</v>
      </c>
      <c r="D74" s="135">
        <v>17</v>
      </c>
      <c r="E74" s="24">
        <v>115.3</v>
      </c>
      <c r="F74" s="24">
        <v>10.3</v>
      </c>
      <c r="G74" s="24">
        <v>2.6</v>
      </c>
      <c r="H74" s="24">
        <v>3.9</v>
      </c>
      <c r="I74" s="24">
        <v>0.4</v>
      </c>
      <c r="J74" s="24">
        <v>118.6</v>
      </c>
      <c r="K74" s="24">
        <v>18</v>
      </c>
      <c r="L74" s="24" t="s">
        <v>62</v>
      </c>
      <c r="M74" s="24">
        <v>100.7</v>
      </c>
      <c r="N74" s="51" t="s">
        <v>62</v>
      </c>
    </row>
    <row r="75" spans="1:14" x14ac:dyDescent="0.25">
      <c r="A75" s="174" t="s">
        <v>153</v>
      </c>
      <c r="B75" s="205">
        <v>125</v>
      </c>
      <c r="C75" s="176" t="s">
        <v>423</v>
      </c>
      <c r="D75" s="135">
        <v>17</v>
      </c>
      <c r="E75" s="24">
        <v>5.9</v>
      </c>
      <c r="F75" s="24">
        <v>0.4</v>
      </c>
      <c r="G75" s="24">
        <v>0.3</v>
      </c>
      <c r="H75" s="24">
        <v>0.3</v>
      </c>
      <c r="I75" s="24" t="s">
        <v>62</v>
      </c>
      <c r="J75" s="24">
        <v>5.7</v>
      </c>
      <c r="K75" s="24">
        <v>0.8</v>
      </c>
      <c r="L75" s="24" t="s">
        <v>62</v>
      </c>
      <c r="M75" s="24">
        <v>4.9000000000000004</v>
      </c>
      <c r="N75" s="51" t="s">
        <v>62</v>
      </c>
    </row>
    <row r="76" spans="1:14" x14ac:dyDescent="0.25">
      <c r="A76" s="174" t="s">
        <v>154</v>
      </c>
      <c r="B76" s="205">
        <v>126</v>
      </c>
      <c r="C76" s="176" t="s">
        <v>423</v>
      </c>
      <c r="D76" s="135">
        <v>17</v>
      </c>
      <c r="E76" s="24">
        <v>24.2</v>
      </c>
      <c r="F76" s="24">
        <v>0.5</v>
      </c>
      <c r="G76" s="24">
        <v>0.8</v>
      </c>
      <c r="H76" s="24">
        <v>3.6</v>
      </c>
      <c r="I76" s="24" t="s">
        <v>62</v>
      </c>
      <c r="J76" s="24">
        <v>20.3</v>
      </c>
      <c r="K76" s="24">
        <v>3.4</v>
      </c>
      <c r="L76" s="24">
        <v>1.5</v>
      </c>
      <c r="M76" s="24">
        <v>15.4</v>
      </c>
      <c r="N76" s="51" t="s">
        <v>62</v>
      </c>
    </row>
    <row r="77" spans="1:14" x14ac:dyDescent="0.25">
      <c r="A77" s="174" t="s">
        <v>117</v>
      </c>
      <c r="B77" s="205">
        <v>91</v>
      </c>
      <c r="C77" s="176" t="s">
        <v>423</v>
      </c>
      <c r="D77" s="135">
        <v>17</v>
      </c>
      <c r="E77" s="24">
        <v>24.4</v>
      </c>
      <c r="F77" s="24" t="s">
        <v>62</v>
      </c>
      <c r="G77" s="24" t="s">
        <v>62</v>
      </c>
      <c r="H77" s="24">
        <v>1.6</v>
      </c>
      <c r="I77" s="24" t="s">
        <v>62</v>
      </c>
      <c r="J77" s="24">
        <v>22.8</v>
      </c>
      <c r="K77" s="24">
        <v>1.6</v>
      </c>
      <c r="L77" s="24" t="s">
        <v>62</v>
      </c>
      <c r="M77" s="24">
        <v>21.2</v>
      </c>
      <c r="N77" s="51" t="s">
        <v>62</v>
      </c>
    </row>
    <row r="78" spans="1:14" x14ac:dyDescent="0.25">
      <c r="A78" s="176" t="s">
        <v>155</v>
      </c>
      <c r="B78" s="207">
        <v>127</v>
      </c>
      <c r="C78" s="176" t="s">
        <v>423</v>
      </c>
      <c r="D78" s="135">
        <v>17</v>
      </c>
      <c r="E78" s="41">
        <v>31.8</v>
      </c>
      <c r="F78" s="41">
        <v>9.4</v>
      </c>
      <c r="G78" s="41">
        <v>5.0999999999999996</v>
      </c>
      <c r="H78" s="41">
        <v>2.2999999999999998</v>
      </c>
      <c r="I78" s="41" t="s">
        <v>62</v>
      </c>
      <c r="J78" s="41">
        <v>33.9</v>
      </c>
      <c r="K78" s="41">
        <v>3.7</v>
      </c>
      <c r="L78" s="41">
        <v>1.5</v>
      </c>
      <c r="M78" s="41">
        <v>28.7</v>
      </c>
      <c r="N78" s="51" t="s">
        <v>62</v>
      </c>
    </row>
    <row r="79" spans="1:14" x14ac:dyDescent="0.25">
      <c r="A79" s="172" t="s">
        <v>7</v>
      </c>
      <c r="B79" s="203">
        <v>40</v>
      </c>
      <c r="C79" s="176" t="s">
        <v>423</v>
      </c>
      <c r="D79" s="135">
        <v>17</v>
      </c>
      <c r="E79" s="24">
        <v>0.1</v>
      </c>
      <c r="F79" s="24">
        <v>0.6</v>
      </c>
      <c r="G79" s="24" t="s">
        <v>62</v>
      </c>
      <c r="H79" s="24" t="s">
        <v>62</v>
      </c>
      <c r="I79" s="24" t="s">
        <v>62</v>
      </c>
      <c r="J79" s="24">
        <v>0.7</v>
      </c>
      <c r="K79" s="24">
        <v>0.1</v>
      </c>
      <c r="L79" s="24" t="s">
        <v>62</v>
      </c>
      <c r="M79" s="24">
        <v>0.6</v>
      </c>
      <c r="N79" s="51" t="s">
        <v>62</v>
      </c>
    </row>
    <row r="80" spans="1:14" x14ac:dyDescent="0.25">
      <c r="A80" s="173" t="s">
        <v>35</v>
      </c>
      <c r="B80" s="204">
        <v>68</v>
      </c>
      <c r="C80" s="176" t="s">
        <v>423</v>
      </c>
      <c r="D80" s="135">
        <v>17</v>
      </c>
      <c r="E80" s="24">
        <v>5.7</v>
      </c>
      <c r="F80" s="24" t="s">
        <v>62</v>
      </c>
      <c r="G80" s="24" t="s">
        <v>62</v>
      </c>
      <c r="H80" s="24">
        <v>0</v>
      </c>
      <c r="I80" s="24" t="s">
        <v>62</v>
      </c>
      <c r="J80" s="24">
        <v>5.7</v>
      </c>
      <c r="K80" s="24">
        <v>0.8</v>
      </c>
      <c r="L80" s="24" t="s">
        <v>62</v>
      </c>
      <c r="M80" s="24">
        <v>4.9000000000000004</v>
      </c>
      <c r="N80" s="51" t="s">
        <v>62</v>
      </c>
    </row>
    <row r="81" spans="1:14" x14ac:dyDescent="0.25">
      <c r="A81" s="176" t="s">
        <v>140</v>
      </c>
      <c r="B81" s="207">
        <v>114</v>
      </c>
      <c r="C81" s="176" t="s">
        <v>423</v>
      </c>
      <c r="D81" s="135">
        <v>17</v>
      </c>
      <c r="E81" s="30">
        <v>11.8</v>
      </c>
      <c r="F81" s="30">
        <v>3.7</v>
      </c>
      <c r="G81" s="30">
        <v>4.3</v>
      </c>
      <c r="H81" s="30">
        <v>1.3</v>
      </c>
      <c r="I81" s="30" t="s">
        <v>62</v>
      </c>
      <c r="J81" s="30">
        <v>9.9</v>
      </c>
      <c r="K81" s="30">
        <v>2.2000000000000002</v>
      </c>
      <c r="L81" s="30" t="s">
        <v>62</v>
      </c>
      <c r="M81" s="30">
        <v>7.7</v>
      </c>
      <c r="N81" s="51" t="s">
        <v>62</v>
      </c>
    </row>
    <row r="82" spans="1:14" x14ac:dyDescent="0.25">
      <c r="A82" s="861" t="s">
        <v>8</v>
      </c>
      <c r="B82" s="860">
        <v>41</v>
      </c>
      <c r="C82" s="176" t="s">
        <v>423</v>
      </c>
      <c r="D82" s="135">
        <v>17</v>
      </c>
      <c r="E82" s="97">
        <v>1.1000000000000001</v>
      </c>
      <c r="F82" s="97">
        <v>1.8</v>
      </c>
      <c r="G82" s="97" t="s">
        <v>62</v>
      </c>
      <c r="H82" s="97">
        <v>0.1</v>
      </c>
      <c r="I82" s="97" t="s">
        <v>62</v>
      </c>
      <c r="J82" s="97">
        <v>2.8</v>
      </c>
      <c r="K82" s="97">
        <v>0.2</v>
      </c>
      <c r="L82" s="97" t="s">
        <v>62</v>
      </c>
      <c r="M82" s="97">
        <v>2.6</v>
      </c>
      <c r="N82" s="51" t="s">
        <v>62</v>
      </c>
    </row>
    <row r="83" spans="1:14" x14ac:dyDescent="0.25">
      <c r="A83" s="174" t="s">
        <v>118</v>
      </c>
      <c r="B83" s="205">
        <v>92</v>
      </c>
      <c r="C83" s="176" t="s">
        <v>423</v>
      </c>
      <c r="D83" s="135">
        <v>17</v>
      </c>
      <c r="E83" s="24">
        <v>3.4</v>
      </c>
      <c r="F83" s="24" t="s">
        <v>62</v>
      </c>
      <c r="G83" s="24" t="s">
        <v>62</v>
      </c>
      <c r="H83" s="24">
        <v>0.1</v>
      </c>
      <c r="I83" s="24" t="s">
        <v>62</v>
      </c>
      <c r="J83" s="24">
        <v>3.3</v>
      </c>
      <c r="K83" s="24">
        <v>0.2</v>
      </c>
      <c r="L83" s="24" t="s">
        <v>62</v>
      </c>
      <c r="M83" s="24">
        <v>3.1</v>
      </c>
      <c r="N83" s="51" t="s">
        <v>62</v>
      </c>
    </row>
    <row r="84" spans="1:14" x14ac:dyDescent="0.25">
      <c r="A84" s="174" t="s">
        <v>119</v>
      </c>
      <c r="B84" s="205">
        <v>93</v>
      </c>
      <c r="C84" s="176" t="s">
        <v>423</v>
      </c>
      <c r="D84" s="135">
        <v>17</v>
      </c>
      <c r="E84" s="24">
        <v>1.3</v>
      </c>
      <c r="F84" s="24">
        <v>0.2</v>
      </c>
      <c r="G84" s="24" t="s">
        <v>62</v>
      </c>
      <c r="H84" s="24">
        <v>0.1</v>
      </c>
      <c r="I84" s="24" t="s">
        <v>62</v>
      </c>
      <c r="J84" s="24">
        <v>1.4</v>
      </c>
      <c r="K84" s="24">
        <v>0.2</v>
      </c>
      <c r="L84" s="24" t="s">
        <v>62</v>
      </c>
      <c r="M84" s="24">
        <v>1.3</v>
      </c>
      <c r="N84" s="51" t="s">
        <v>62</v>
      </c>
    </row>
    <row r="85" spans="1:14" s="1" customFormat="1" x14ac:dyDescent="0.25">
      <c r="A85" s="172" t="s">
        <v>9</v>
      </c>
      <c r="B85" s="203">
        <v>42</v>
      </c>
      <c r="C85" s="176" t="s">
        <v>423</v>
      </c>
      <c r="D85" s="135">
        <v>17</v>
      </c>
      <c r="E85" s="24">
        <v>5.8</v>
      </c>
      <c r="F85" s="24" t="s">
        <v>62</v>
      </c>
      <c r="G85" s="24" t="s">
        <v>62</v>
      </c>
      <c r="H85" s="24">
        <v>0.5</v>
      </c>
      <c r="I85" s="24" t="s">
        <v>62</v>
      </c>
      <c r="J85" s="24">
        <v>5.3</v>
      </c>
      <c r="K85" s="24">
        <v>0.8</v>
      </c>
      <c r="L85" s="24" t="s">
        <v>62</v>
      </c>
      <c r="M85" s="24">
        <v>4.5</v>
      </c>
      <c r="N85" s="51" t="s">
        <v>62</v>
      </c>
    </row>
    <row r="86" spans="1:14" x14ac:dyDescent="0.25">
      <c r="A86" s="173" t="s">
        <v>37</v>
      </c>
      <c r="B86" s="204">
        <v>70</v>
      </c>
      <c r="C86" s="176" t="s">
        <v>423</v>
      </c>
      <c r="D86" s="135">
        <v>17</v>
      </c>
      <c r="E86" s="24">
        <v>58.5</v>
      </c>
      <c r="F86" s="24">
        <v>1.6</v>
      </c>
      <c r="G86" s="24" t="s">
        <v>62</v>
      </c>
      <c r="H86" s="24">
        <v>1.6</v>
      </c>
      <c r="I86" s="24" t="s">
        <v>62</v>
      </c>
      <c r="J86" s="24">
        <v>58.6</v>
      </c>
      <c r="K86" s="24">
        <v>4.9000000000000004</v>
      </c>
      <c r="L86" s="24">
        <v>0.6</v>
      </c>
      <c r="M86" s="24">
        <v>53</v>
      </c>
      <c r="N86" s="51" t="s">
        <v>62</v>
      </c>
    </row>
    <row r="87" spans="1:14" x14ac:dyDescent="0.25">
      <c r="A87" s="174" t="s">
        <v>131</v>
      </c>
      <c r="B87" s="205">
        <v>105</v>
      </c>
      <c r="C87" s="176" t="s">
        <v>423</v>
      </c>
      <c r="D87" s="135">
        <v>17</v>
      </c>
      <c r="E87" s="24">
        <v>243.1</v>
      </c>
      <c r="F87" s="24" t="s">
        <v>62</v>
      </c>
      <c r="G87" s="24" t="s">
        <v>62</v>
      </c>
      <c r="H87" s="24">
        <v>12</v>
      </c>
      <c r="I87" s="24">
        <v>4.4000000000000004</v>
      </c>
      <c r="J87" s="24">
        <v>226.7</v>
      </c>
      <c r="K87" s="24">
        <v>9.6</v>
      </c>
      <c r="L87" s="24">
        <v>4.4000000000000004</v>
      </c>
      <c r="M87" s="24">
        <v>212.7</v>
      </c>
      <c r="N87" s="79" t="s">
        <v>248</v>
      </c>
    </row>
    <row r="88" spans="1:14" x14ac:dyDescent="0.25">
      <c r="A88" s="173" t="s">
        <v>38</v>
      </c>
      <c r="B88" s="204">
        <v>71</v>
      </c>
      <c r="C88" s="176" t="s">
        <v>423</v>
      </c>
      <c r="D88" s="135">
        <v>17</v>
      </c>
      <c r="E88" s="24">
        <v>55.3</v>
      </c>
      <c r="F88" s="24">
        <v>0</v>
      </c>
      <c r="G88" s="24">
        <v>0.9</v>
      </c>
      <c r="H88" s="24">
        <v>1.2</v>
      </c>
      <c r="I88" s="24" t="s">
        <v>62</v>
      </c>
      <c r="J88" s="24">
        <v>53.2</v>
      </c>
      <c r="K88" s="24">
        <v>11.1</v>
      </c>
      <c r="L88" s="24" t="s">
        <v>62</v>
      </c>
      <c r="M88" s="24">
        <v>42.1</v>
      </c>
      <c r="N88" s="51" t="s">
        <v>62</v>
      </c>
    </row>
    <row r="89" spans="1:14" x14ac:dyDescent="0.25">
      <c r="A89" s="172" t="s">
        <v>10</v>
      </c>
      <c r="B89" s="203">
        <v>43</v>
      </c>
      <c r="C89" s="176" t="s">
        <v>423</v>
      </c>
      <c r="D89" s="135">
        <v>17</v>
      </c>
      <c r="E89" s="24">
        <v>0.4</v>
      </c>
      <c r="F89" s="24">
        <v>0.4</v>
      </c>
      <c r="G89" s="24" t="s">
        <v>62</v>
      </c>
      <c r="H89" s="24">
        <v>0.1</v>
      </c>
      <c r="I89" s="24" t="s">
        <v>62</v>
      </c>
      <c r="J89" s="24">
        <v>0.8</v>
      </c>
      <c r="K89" s="24">
        <v>0.4</v>
      </c>
      <c r="L89" s="24" t="s">
        <v>62</v>
      </c>
      <c r="M89" s="24">
        <v>0.4</v>
      </c>
      <c r="N89" s="51" t="s">
        <v>62</v>
      </c>
    </row>
    <row r="90" spans="1:14" x14ac:dyDescent="0.25">
      <c r="A90" s="173" t="s">
        <v>39</v>
      </c>
      <c r="B90" s="204">
        <v>72</v>
      </c>
      <c r="C90" s="176" t="s">
        <v>423</v>
      </c>
      <c r="D90" s="135">
        <v>17</v>
      </c>
      <c r="E90" s="24">
        <v>9.1</v>
      </c>
      <c r="F90" s="24">
        <v>0.2</v>
      </c>
      <c r="G90" s="24">
        <v>0</v>
      </c>
      <c r="H90" s="24">
        <v>0.1</v>
      </c>
      <c r="I90" s="24" t="s">
        <v>62</v>
      </c>
      <c r="J90" s="24">
        <v>9.1</v>
      </c>
      <c r="K90" s="24">
        <v>0.9</v>
      </c>
      <c r="L90" s="24" t="s">
        <v>62</v>
      </c>
      <c r="M90" s="24">
        <v>8.1999999999999993</v>
      </c>
      <c r="N90" s="51" t="s">
        <v>62</v>
      </c>
    </row>
    <row r="91" spans="1:14" x14ac:dyDescent="0.25">
      <c r="A91" s="172" t="s">
        <v>12</v>
      </c>
      <c r="B91" s="203">
        <v>45</v>
      </c>
      <c r="C91" s="176" t="s">
        <v>423</v>
      </c>
      <c r="D91" s="135">
        <v>17</v>
      </c>
      <c r="E91" s="24">
        <v>5.6</v>
      </c>
      <c r="F91" s="24" t="s">
        <v>62</v>
      </c>
      <c r="G91" s="24">
        <v>0.8</v>
      </c>
      <c r="H91" s="24">
        <v>0</v>
      </c>
      <c r="I91" s="24" t="s">
        <v>62</v>
      </c>
      <c r="J91" s="24">
        <v>4.8</v>
      </c>
      <c r="K91" s="24">
        <v>1.3</v>
      </c>
      <c r="L91" s="24" t="s">
        <v>62</v>
      </c>
      <c r="M91" s="24">
        <v>3.5</v>
      </c>
      <c r="N91" s="51" t="s">
        <v>62</v>
      </c>
    </row>
    <row r="92" spans="1:14" x14ac:dyDescent="0.25">
      <c r="A92" s="173" t="s">
        <v>40</v>
      </c>
      <c r="B92" s="204">
        <v>73</v>
      </c>
      <c r="C92" s="176" t="s">
        <v>423</v>
      </c>
      <c r="D92" s="135">
        <v>17</v>
      </c>
      <c r="E92" s="24">
        <v>17.600000000000001</v>
      </c>
      <c r="F92" s="24" t="s">
        <v>62</v>
      </c>
      <c r="G92" s="24" t="s">
        <v>62</v>
      </c>
      <c r="H92" s="24">
        <v>0.9</v>
      </c>
      <c r="I92" s="24" t="s">
        <v>62</v>
      </c>
      <c r="J92" s="24">
        <v>16.7</v>
      </c>
      <c r="K92" s="24">
        <v>3</v>
      </c>
      <c r="L92" s="24" t="s">
        <v>62</v>
      </c>
      <c r="M92" s="24">
        <v>13.7</v>
      </c>
      <c r="N92" s="51" t="s">
        <v>62</v>
      </c>
    </row>
    <row r="93" spans="1:14" x14ac:dyDescent="0.25">
      <c r="A93" s="173" t="s">
        <v>41</v>
      </c>
      <c r="B93" s="204">
        <v>74</v>
      </c>
      <c r="C93" s="176" t="s">
        <v>423</v>
      </c>
      <c r="D93" s="135">
        <v>17</v>
      </c>
      <c r="E93" s="24">
        <v>14.8</v>
      </c>
      <c r="F93" s="24" t="s">
        <v>62</v>
      </c>
      <c r="G93" s="24" t="s">
        <v>62</v>
      </c>
      <c r="H93" s="24">
        <v>0.4</v>
      </c>
      <c r="I93" s="24" t="s">
        <v>62</v>
      </c>
      <c r="J93" s="24">
        <v>14.4</v>
      </c>
      <c r="K93" s="24">
        <v>1.3</v>
      </c>
      <c r="L93" s="24" t="s">
        <v>62</v>
      </c>
      <c r="M93" s="24">
        <v>13.1</v>
      </c>
      <c r="N93" s="51" t="s">
        <v>62</v>
      </c>
    </row>
    <row r="94" spans="1:14" x14ac:dyDescent="0.25">
      <c r="A94" s="174" t="s">
        <v>122</v>
      </c>
      <c r="B94" s="205">
        <v>96</v>
      </c>
      <c r="C94" s="176" t="s">
        <v>423</v>
      </c>
      <c r="D94" s="135">
        <v>17</v>
      </c>
      <c r="E94" s="24">
        <v>21.5</v>
      </c>
      <c r="F94" s="24" t="s">
        <v>62</v>
      </c>
      <c r="G94" s="24" t="s">
        <v>62</v>
      </c>
      <c r="H94" s="24">
        <v>2</v>
      </c>
      <c r="I94" s="24" t="s">
        <v>62</v>
      </c>
      <c r="J94" s="24">
        <v>19.5</v>
      </c>
      <c r="K94" s="24">
        <v>3.4</v>
      </c>
      <c r="L94" s="24" t="s">
        <v>62</v>
      </c>
      <c r="M94" s="24">
        <v>16.100000000000001</v>
      </c>
      <c r="N94" s="51" t="s">
        <v>62</v>
      </c>
    </row>
    <row r="95" spans="1:14" s="1" customFormat="1" x14ac:dyDescent="0.25">
      <c r="A95" s="172" t="s">
        <v>11</v>
      </c>
      <c r="B95" s="203">
        <v>44</v>
      </c>
      <c r="C95" s="176" t="s">
        <v>423</v>
      </c>
      <c r="D95" s="135">
        <v>17</v>
      </c>
      <c r="E95" s="24">
        <v>8.3000000000000007</v>
      </c>
      <c r="F95" s="24">
        <v>0</v>
      </c>
      <c r="G95" s="24">
        <v>1.9</v>
      </c>
      <c r="H95" s="24">
        <v>0</v>
      </c>
      <c r="I95" s="24" t="s">
        <v>62</v>
      </c>
      <c r="J95" s="24">
        <v>6.4</v>
      </c>
      <c r="K95" s="24">
        <v>0.3</v>
      </c>
      <c r="L95" s="24">
        <v>3.3</v>
      </c>
      <c r="M95" s="24">
        <v>2.8</v>
      </c>
      <c r="N95" s="51" t="s">
        <v>62</v>
      </c>
    </row>
    <row r="96" spans="1:14" x14ac:dyDescent="0.25">
      <c r="A96" s="173" t="s">
        <v>43</v>
      </c>
      <c r="B96" s="204">
        <v>76</v>
      </c>
      <c r="C96" s="176" t="s">
        <v>423</v>
      </c>
      <c r="D96" s="135">
        <v>17</v>
      </c>
      <c r="E96" s="24">
        <v>5.8</v>
      </c>
      <c r="F96" s="24">
        <v>0</v>
      </c>
      <c r="G96" s="24">
        <v>0</v>
      </c>
      <c r="H96" s="24">
        <v>0.2</v>
      </c>
      <c r="I96" s="24" t="s">
        <v>62</v>
      </c>
      <c r="J96" s="24">
        <v>5.6</v>
      </c>
      <c r="K96" s="24">
        <v>0.1</v>
      </c>
      <c r="L96" s="24" t="s">
        <v>62</v>
      </c>
      <c r="M96" s="24">
        <v>5.5</v>
      </c>
      <c r="N96" s="51" t="s">
        <v>62</v>
      </c>
    </row>
    <row r="97" spans="1:14" x14ac:dyDescent="0.25">
      <c r="A97" s="172" t="s">
        <v>14</v>
      </c>
      <c r="B97" s="203">
        <v>47</v>
      </c>
      <c r="C97" s="176" t="s">
        <v>423</v>
      </c>
      <c r="D97" s="135">
        <v>17</v>
      </c>
      <c r="E97" s="24">
        <v>0.3</v>
      </c>
      <c r="F97" s="24" t="s">
        <v>62</v>
      </c>
      <c r="G97" s="24" t="s">
        <v>62</v>
      </c>
      <c r="H97" s="24">
        <v>0</v>
      </c>
      <c r="I97" s="24" t="s">
        <v>62</v>
      </c>
      <c r="J97" s="24">
        <v>0.3</v>
      </c>
      <c r="K97" s="24">
        <v>0</v>
      </c>
      <c r="L97" s="24" t="s">
        <v>62</v>
      </c>
      <c r="M97" s="24">
        <v>0.2</v>
      </c>
      <c r="N97" s="51" t="s">
        <v>62</v>
      </c>
    </row>
    <row r="98" spans="1:14" x14ac:dyDescent="0.25">
      <c r="A98" s="172" t="s">
        <v>15</v>
      </c>
      <c r="B98" s="203">
        <v>48</v>
      </c>
      <c r="C98" s="176" t="s">
        <v>423</v>
      </c>
      <c r="D98" s="135">
        <v>17</v>
      </c>
      <c r="E98" s="24">
        <v>3.5</v>
      </c>
      <c r="F98" s="24" t="s">
        <v>62</v>
      </c>
      <c r="G98" s="24" t="s">
        <v>62</v>
      </c>
      <c r="H98" s="24">
        <v>0</v>
      </c>
      <c r="I98" s="24" t="s">
        <v>62</v>
      </c>
      <c r="J98" s="24">
        <v>3.5</v>
      </c>
      <c r="K98" s="24">
        <v>0.3</v>
      </c>
      <c r="L98" s="24" t="s">
        <v>62</v>
      </c>
      <c r="M98" s="24">
        <v>3.1</v>
      </c>
      <c r="N98" s="51" t="s">
        <v>62</v>
      </c>
    </row>
    <row r="99" spans="1:14" x14ac:dyDescent="0.25">
      <c r="A99" s="176" t="s">
        <v>146</v>
      </c>
      <c r="B99" s="207">
        <v>118</v>
      </c>
      <c r="C99" s="176" t="s">
        <v>423</v>
      </c>
      <c r="D99" s="135">
        <v>17</v>
      </c>
      <c r="E99" s="24">
        <v>6.7</v>
      </c>
      <c r="F99" s="24">
        <v>2.5</v>
      </c>
      <c r="G99" s="24" t="s">
        <v>62</v>
      </c>
      <c r="H99" s="24">
        <v>0.8</v>
      </c>
      <c r="I99" s="24" t="s">
        <v>62</v>
      </c>
      <c r="J99" s="24">
        <v>8.5</v>
      </c>
      <c r="K99" s="24">
        <v>1.5</v>
      </c>
      <c r="L99" s="24">
        <v>0.2</v>
      </c>
      <c r="M99" s="24">
        <v>6.7</v>
      </c>
      <c r="N99" s="51" t="s">
        <v>62</v>
      </c>
    </row>
    <row r="100" spans="1:14" x14ac:dyDescent="0.25">
      <c r="A100" s="172" t="s">
        <v>16</v>
      </c>
      <c r="B100" s="203">
        <v>49</v>
      </c>
      <c r="C100" s="176" t="s">
        <v>423</v>
      </c>
      <c r="D100" s="135">
        <v>17</v>
      </c>
      <c r="E100" s="24">
        <v>1.8</v>
      </c>
      <c r="F100" s="24" t="s">
        <v>62</v>
      </c>
      <c r="G100" s="24" t="s">
        <v>62</v>
      </c>
      <c r="H100" s="24">
        <v>0.1</v>
      </c>
      <c r="I100" s="24" t="s">
        <v>62</v>
      </c>
      <c r="J100" s="24">
        <v>1.8</v>
      </c>
      <c r="K100" s="24">
        <v>0.3</v>
      </c>
      <c r="L100" s="24">
        <v>0</v>
      </c>
      <c r="M100" s="24">
        <v>1.4</v>
      </c>
      <c r="N100" s="51" t="s">
        <v>62</v>
      </c>
    </row>
    <row r="101" spans="1:14" x14ac:dyDescent="0.25">
      <c r="A101" s="174" t="s">
        <v>157</v>
      </c>
      <c r="B101" s="205">
        <v>129</v>
      </c>
      <c r="C101" s="176" t="s">
        <v>423</v>
      </c>
      <c r="D101" s="135">
        <v>17</v>
      </c>
      <c r="E101" s="41">
        <v>8.3000000000000007</v>
      </c>
      <c r="F101" s="41">
        <v>0.4</v>
      </c>
      <c r="G101" s="41">
        <v>0.6</v>
      </c>
      <c r="H101" s="41">
        <v>0.2</v>
      </c>
      <c r="I101" s="41" t="s">
        <v>62</v>
      </c>
      <c r="J101" s="41">
        <v>7.9</v>
      </c>
      <c r="K101" s="41">
        <v>1.1000000000000001</v>
      </c>
      <c r="L101" s="41">
        <v>1</v>
      </c>
      <c r="M101" s="41">
        <v>5.8</v>
      </c>
      <c r="N101" s="51" t="s">
        <v>62</v>
      </c>
    </row>
    <row r="102" spans="1:14" x14ac:dyDescent="0.25">
      <c r="A102" s="172" t="s">
        <v>17</v>
      </c>
      <c r="B102" s="203">
        <v>50</v>
      </c>
      <c r="C102" s="176" t="s">
        <v>423</v>
      </c>
      <c r="D102" s="135">
        <v>17</v>
      </c>
      <c r="E102" s="24">
        <v>7</v>
      </c>
      <c r="F102" s="24">
        <v>0.4</v>
      </c>
      <c r="G102" s="24">
        <v>0.2</v>
      </c>
      <c r="H102" s="24">
        <v>0.4</v>
      </c>
      <c r="I102" s="24" t="s">
        <v>62</v>
      </c>
      <c r="J102" s="24">
        <v>6.8</v>
      </c>
      <c r="K102" s="24">
        <v>1.2</v>
      </c>
      <c r="L102" s="24" t="s">
        <v>62</v>
      </c>
      <c r="M102" s="24">
        <v>5.6</v>
      </c>
      <c r="N102" s="51" t="s">
        <v>62</v>
      </c>
    </row>
    <row r="103" spans="1:14" x14ac:dyDescent="0.25">
      <c r="A103" s="173" t="s">
        <v>44</v>
      </c>
      <c r="B103" s="204">
        <v>77</v>
      </c>
      <c r="C103" s="176" t="s">
        <v>423</v>
      </c>
      <c r="D103" s="135">
        <v>17</v>
      </c>
      <c r="E103" s="24">
        <v>8.8000000000000007</v>
      </c>
      <c r="F103" s="24">
        <v>0</v>
      </c>
      <c r="G103" s="24">
        <v>0.1</v>
      </c>
      <c r="H103" s="24">
        <v>0.3</v>
      </c>
      <c r="I103" s="24" t="s">
        <v>62</v>
      </c>
      <c r="J103" s="24">
        <v>8.4</v>
      </c>
      <c r="K103" s="24">
        <v>1.2</v>
      </c>
      <c r="L103" s="24" t="s">
        <v>62</v>
      </c>
      <c r="M103" s="24">
        <v>7.2</v>
      </c>
      <c r="N103" s="51" t="s">
        <v>62</v>
      </c>
    </row>
    <row r="104" spans="1:14" x14ac:dyDescent="0.25">
      <c r="A104" s="173" t="s">
        <v>104</v>
      </c>
      <c r="B104" s="204">
        <v>78</v>
      </c>
      <c r="C104" s="176" t="s">
        <v>423</v>
      </c>
      <c r="D104" s="135">
        <v>17</v>
      </c>
      <c r="E104" s="24">
        <v>0.5</v>
      </c>
      <c r="F104" s="24" t="s">
        <v>62</v>
      </c>
      <c r="G104" s="24" t="s">
        <v>62</v>
      </c>
      <c r="H104" s="24">
        <v>0</v>
      </c>
      <c r="I104" s="24" t="s">
        <v>62</v>
      </c>
      <c r="J104" s="24">
        <v>0.5</v>
      </c>
      <c r="K104" s="24">
        <v>0.2</v>
      </c>
      <c r="L104" s="24" t="s">
        <v>62</v>
      </c>
      <c r="M104" s="24">
        <v>0.3</v>
      </c>
      <c r="N104" s="51" t="s">
        <v>62</v>
      </c>
    </row>
    <row r="105" spans="1:14" x14ac:dyDescent="0.25">
      <c r="A105" s="173" t="s">
        <v>105</v>
      </c>
      <c r="B105" s="204">
        <v>79</v>
      </c>
      <c r="C105" s="176" t="s">
        <v>423</v>
      </c>
      <c r="D105" s="135">
        <v>17</v>
      </c>
      <c r="E105" s="24">
        <v>6.3</v>
      </c>
      <c r="F105" s="24">
        <v>0</v>
      </c>
      <c r="G105" s="24" t="s">
        <v>62</v>
      </c>
      <c r="H105" s="24">
        <v>0.1</v>
      </c>
      <c r="I105" s="24" t="s">
        <v>62</v>
      </c>
      <c r="J105" s="24">
        <v>6.3</v>
      </c>
      <c r="K105" s="24">
        <v>1.4</v>
      </c>
      <c r="L105" s="24" t="s">
        <v>62</v>
      </c>
      <c r="M105" s="24">
        <v>4.9000000000000004</v>
      </c>
      <c r="N105" s="51" t="s">
        <v>62</v>
      </c>
    </row>
    <row r="106" spans="1:14" x14ac:dyDescent="0.25">
      <c r="A106" s="174" t="s">
        <v>172</v>
      </c>
      <c r="B106" s="205">
        <v>144</v>
      </c>
      <c r="C106" s="176" t="s">
        <v>423</v>
      </c>
      <c r="D106" s="135">
        <v>17</v>
      </c>
      <c r="E106" s="41">
        <v>54.8</v>
      </c>
      <c r="F106" s="41" t="s">
        <v>62</v>
      </c>
      <c r="G106" s="41">
        <v>2.1</v>
      </c>
      <c r="H106" s="41">
        <v>4.5</v>
      </c>
      <c r="I106" s="41" t="s">
        <v>62</v>
      </c>
      <c r="J106" s="41">
        <v>48.2</v>
      </c>
      <c r="K106" s="41">
        <v>1.4</v>
      </c>
      <c r="L106" s="41" t="s">
        <v>62</v>
      </c>
      <c r="M106" s="41">
        <v>46.8</v>
      </c>
      <c r="N106" s="51" t="s">
        <v>62</v>
      </c>
    </row>
    <row r="107" spans="1:14" x14ac:dyDescent="0.25">
      <c r="A107" s="173" t="s">
        <v>106</v>
      </c>
      <c r="B107" s="204">
        <v>80</v>
      </c>
      <c r="C107" s="176" t="s">
        <v>423</v>
      </c>
      <c r="D107" s="135">
        <v>17</v>
      </c>
      <c r="E107" s="41">
        <v>7.8</v>
      </c>
      <c r="F107" s="41" t="s">
        <v>62</v>
      </c>
      <c r="G107" s="41" t="s">
        <v>62</v>
      </c>
      <c r="H107" s="41">
        <v>0</v>
      </c>
      <c r="I107" s="41" t="s">
        <v>62</v>
      </c>
      <c r="J107" s="41">
        <v>7.8</v>
      </c>
      <c r="K107" s="41">
        <v>1</v>
      </c>
      <c r="L107" s="41" t="s">
        <v>62</v>
      </c>
      <c r="M107" s="41">
        <v>6.8</v>
      </c>
      <c r="N107" s="51" t="s">
        <v>62</v>
      </c>
    </row>
    <row r="108" spans="1:14" x14ac:dyDescent="0.25">
      <c r="A108" s="174" t="s">
        <v>158</v>
      </c>
      <c r="B108" s="205">
        <v>130</v>
      </c>
      <c r="C108" s="176" t="s">
        <v>423</v>
      </c>
      <c r="D108" s="135">
        <v>17</v>
      </c>
      <c r="E108" s="41">
        <v>76.599999999999994</v>
      </c>
      <c r="F108" s="41">
        <v>3.3</v>
      </c>
      <c r="G108" s="41">
        <v>3.6</v>
      </c>
      <c r="H108" s="41">
        <v>12.6</v>
      </c>
      <c r="I108" s="41" t="s">
        <v>62</v>
      </c>
      <c r="J108" s="41">
        <v>63.7</v>
      </c>
      <c r="K108" s="41">
        <v>7.4</v>
      </c>
      <c r="L108" s="41">
        <v>4.9000000000000004</v>
      </c>
      <c r="M108" s="41">
        <v>51.4</v>
      </c>
      <c r="N108" s="51" t="s">
        <v>62</v>
      </c>
    </row>
    <row r="109" spans="1:14" x14ac:dyDescent="0.25">
      <c r="A109" s="172" t="s">
        <v>18</v>
      </c>
      <c r="B109" s="203">
        <v>51</v>
      </c>
      <c r="C109" s="176" t="s">
        <v>423</v>
      </c>
      <c r="D109" s="135">
        <v>17</v>
      </c>
      <c r="E109" s="24">
        <v>6.8</v>
      </c>
      <c r="F109" s="24">
        <v>0</v>
      </c>
      <c r="G109" s="24">
        <v>0</v>
      </c>
      <c r="H109" s="24">
        <v>0.2</v>
      </c>
      <c r="I109" s="24" t="s">
        <v>62</v>
      </c>
      <c r="J109" s="24">
        <v>6.6</v>
      </c>
      <c r="K109" s="24">
        <v>1</v>
      </c>
      <c r="L109" s="24" t="s">
        <v>62</v>
      </c>
      <c r="M109" s="24">
        <v>5.5</v>
      </c>
      <c r="N109" s="51" t="s">
        <v>62</v>
      </c>
    </row>
    <row r="110" spans="1:14" x14ac:dyDescent="0.25">
      <c r="A110" s="174" t="s">
        <v>159</v>
      </c>
      <c r="B110" s="205">
        <v>131</v>
      </c>
      <c r="C110" s="176" t="s">
        <v>423</v>
      </c>
      <c r="D110" s="135">
        <v>17</v>
      </c>
      <c r="E110" s="41">
        <v>16.2</v>
      </c>
      <c r="F110" s="41" t="s">
        <v>62</v>
      </c>
      <c r="G110" s="41">
        <v>2.4</v>
      </c>
      <c r="H110" s="41" t="s">
        <v>62</v>
      </c>
      <c r="I110" s="41" t="s">
        <v>62</v>
      </c>
      <c r="J110" s="41">
        <v>13.9</v>
      </c>
      <c r="K110" s="41">
        <v>4.5999999999999996</v>
      </c>
      <c r="L110" s="41">
        <v>0.3</v>
      </c>
      <c r="M110" s="41">
        <v>8.9</v>
      </c>
      <c r="N110" s="51" t="s">
        <v>62</v>
      </c>
    </row>
    <row r="111" spans="1:14" x14ac:dyDescent="0.25">
      <c r="A111" s="174" t="s">
        <v>123</v>
      </c>
      <c r="B111" s="205">
        <v>97</v>
      </c>
      <c r="C111" s="176" t="s">
        <v>423</v>
      </c>
      <c r="D111" s="135">
        <v>17</v>
      </c>
      <c r="E111" s="24">
        <v>101.3</v>
      </c>
      <c r="F111" s="24" t="s">
        <v>62</v>
      </c>
      <c r="G111" s="24">
        <v>2.2999999999999998</v>
      </c>
      <c r="H111" s="24">
        <v>1.9</v>
      </c>
      <c r="I111" s="24" t="s">
        <v>62</v>
      </c>
      <c r="J111" s="24">
        <v>97.2</v>
      </c>
      <c r="K111" s="24">
        <v>1.7</v>
      </c>
      <c r="L111" s="24" t="s">
        <v>62</v>
      </c>
      <c r="M111" s="24">
        <v>95.5</v>
      </c>
      <c r="N111" s="51" t="s">
        <v>62</v>
      </c>
    </row>
    <row r="112" spans="1:14" x14ac:dyDescent="0.25">
      <c r="A112" s="174" t="s">
        <v>124</v>
      </c>
      <c r="B112" s="205">
        <v>98</v>
      </c>
      <c r="C112" s="176" t="s">
        <v>423</v>
      </c>
      <c r="D112" s="135">
        <v>17</v>
      </c>
      <c r="E112" s="24">
        <v>3.8</v>
      </c>
      <c r="F112" s="24">
        <v>0.2</v>
      </c>
      <c r="G112" s="24">
        <v>0</v>
      </c>
      <c r="H112" s="24">
        <v>0.6</v>
      </c>
      <c r="I112" s="24" t="s">
        <v>62</v>
      </c>
      <c r="J112" s="24">
        <v>3.4</v>
      </c>
      <c r="K112" s="24">
        <v>0.4</v>
      </c>
      <c r="L112" s="24" t="s">
        <v>62</v>
      </c>
      <c r="M112" s="24">
        <v>3</v>
      </c>
      <c r="N112" s="51" t="s">
        <v>62</v>
      </c>
    </row>
    <row r="113" spans="1:14" x14ac:dyDescent="0.25">
      <c r="A113" s="172" t="s">
        <v>21</v>
      </c>
      <c r="B113" s="203">
        <v>54</v>
      </c>
      <c r="C113" s="176" t="s">
        <v>423</v>
      </c>
      <c r="D113" s="135">
        <v>17</v>
      </c>
      <c r="E113" s="24">
        <v>16.100000000000001</v>
      </c>
      <c r="F113" s="24">
        <v>8.3000000000000007</v>
      </c>
      <c r="G113" s="24">
        <v>11.8</v>
      </c>
      <c r="H113" s="24">
        <v>0.1</v>
      </c>
      <c r="I113" s="24" t="s">
        <v>62</v>
      </c>
      <c r="J113" s="24">
        <v>12.4</v>
      </c>
      <c r="K113" s="24">
        <v>2.2000000000000002</v>
      </c>
      <c r="L113" s="24" t="s">
        <v>62</v>
      </c>
      <c r="M113" s="24">
        <v>10.199999999999999</v>
      </c>
      <c r="N113" s="51" t="s">
        <v>62</v>
      </c>
    </row>
    <row r="114" spans="1:14" s="1" customFormat="1" x14ac:dyDescent="0.25">
      <c r="A114" s="174" t="s">
        <v>125</v>
      </c>
      <c r="B114" s="205">
        <v>99</v>
      </c>
      <c r="C114" s="176" t="s">
        <v>423</v>
      </c>
      <c r="D114" s="135">
        <v>17</v>
      </c>
      <c r="E114" s="24">
        <v>6.5</v>
      </c>
      <c r="F114" s="24" t="s">
        <v>62</v>
      </c>
      <c r="G114" s="24" t="s">
        <v>62</v>
      </c>
      <c r="H114" s="24">
        <v>0.1</v>
      </c>
      <c r="I114" s="24" t="s">
        <v>62</v>
      </c>
      <c r="J114" s="24">
        <v>6.4</v>
      </c>
      <c r="K114" s="24">
        <v>1.9</v>
      </c>
      <c r="L114" s="24" t="s">
        <v>62</v>
      </c>
      <c r="M114" s="24">
        <v>4.5</v>
      </c>
      <c r="N114" s="51" t="s">
        <v>62</v>
      </c>
    </row>
    <row r="115" spans="1:14" x14ac:dyDescent="0.25">
      <c r="A115" s="173" t="s">
        <v>107</v>
      </c>
      <c r="B115" s="204">
        <v>81</v>
      </c>
      <c r="C115" s="176" t="s">
        <v>423</v>
      </c>
      <c r="D115" s="135">
        <v>17</v>
      </c>
      <c r="E115" s="24">
        <v>1.3</v>
      </c>
      <c r="F115" s="24" t="s">
        <v>62</v>
      </c>
      <c r="G115" s="24" t="s">
        <v>62</v>
      </c>
      <c r="H115" s="24">
        <v>0.1</v>
      </c>
      <c r="I115" s="24" t="s">
        <v>62</v>
      </c>
      <c r="J115" s="24">
        <v>1.2</v>
      </c>
      <c r="K115" s="24">
        <v>0.2</v>
      </c>
      <c r="L115" s="24" t="s">
        <v>62</v>
      </c>
      <c r="M115" s="24">
        <v>1</v>
      </c>
      <c r="N115" s="51" t="s">
        <v>62</v>
      </c>
    </row>
    <row r="116" spans="1:14" s="1" customFormat="1" x14ac:dyDescent="0.25">
      <c r="A116" s="172" t="s">
        <v>22</v>
      </c>
      <c r="B116" s="203">
        <v>55</v>
      </c>
      <c r="C116" s="176" t="s">
        <v>423</v>
      </c>
      <c r="D116" s="135">
        <v>17</v>
      </c>
      <c r="E116" s="24">
        <v>1.7</v>
      </c>
      <c r="F116" s="24">
        <v>2</v>
      </c>
      <c r="G116" s="24">
        <v>0</v>
      </c>
      <c r="H116" s="24" t="s">
        <v>62</v>
      </c>
      <c r="I116" s="24" t="s">
        <v>62</v>
      </c>
      <c r="J116" s="24">
        <v>3.7</v>
      </c>
      <c r="K116" s="24">
        <v>0.5</v>
      </c>
      <c r="L116" s="24" t="s">
        <v>62</v>
      </c>
      <c r="M116" s="24">
        <v>3.2</v>
      </c>
      <c r="N116" s="51" t="s">
        <v>62</v>
      </c>
    </row>
    <row r="117" spans="1:14" s="1" customFormat="1" x14ac:dyDescent="0.25">
      <c r="A117" s="174" t="s">
        <v>126</v>
      </c>
      <c r="B117" s="205">
        <v>100</v>
      </c>
      <c r="C117" s="176" t="s">
        <v>423</v>
      </c>
      <c r="D117" s="135">
        <v>17</v>
      </c>
      <c r="E117" s="24">
        <v>2.8</v>
      </c>
      <c r="F117" s="24">
        <v>0.2</v>
      </c>
      <c r="G117" s="24">
        <v>0.1</v>
      </c>
      <c r="H117" s="24">
        <v>0.2</v>
      </c>
      <c r="I117" s="24" t="s">
        <v>62</v>
      </c>
      <c r="J117" s="24">
        <v>2.7</v>
      </c>
      <c r="K117" s="24">
        <v>0.6</v>
      </c>
      <c r="L117" s="24" t="s">
        <v>62</v>
      </c>
      <c r="M117" s="24">
        <v>2.1</v>
      </c>
      <c r="N117" s="51" t="s">
        <v>62</v>
      </c>
    </row>
    <row r="118" spans="1:14" x14ac:dyDescent="0.25">
      <c r="A118" s="173" t="s">
        <v>108</v>
      </c>
      <c r="B118" s="204">
        <v>82</v>
      </c>
      <c r="C118" s="176" t="s">
        <v>423</v>
      </c>
      <c r="D118" s="135">
        <v>17</v>
      </c>
      <c r="E118" s="24">
        <v>3.2</v>
      </c>
      <c r="F118" s="24">
        <v>0.1</v>
      </c>
      <c r="G118" s="24" t="s">
        <v>62</v>
      </c>
      <c r="H118" s="24">
        <v>0.3</v>
      </c>
      <c r="I118" s="24" t="s">
        <v>62</v>
      </c>
      <c r="J118" s="24">
        <v>3</v>
      </c>
      <c r="K118" s="24">
        <v>0.8</v>
      </c>
      <c r="L118" s="24" t="s">
        <v>62</v>
      </c>
      <c r="M118" s="24">
        <v>2.2000000000000002</v>
      </c>
      <c r="N118" s="51" t="s">
        <v>62</v>
      </c>
    </row>
    <row r="119" spans="1:14" s="37" customFormat="1" x14ac:dyDescent="0.25">
      <c r="A119" s="173" t="s">
        <v>115</v>
      </c>
      <c r="B119" s="204">
        <v>89</v>
      </c>
      <c r="C119" s="176" t="s">
        <v>423</v>
      </c>
      <c r="D119" s="135">
        <v>17</v>
      </c>
      <c r="E119" s="24">
        <v>12.3</v>
      </c>
      <c r="F119" s="24">
        <v>0</v>
      </c>
      <c r="G119" s="24" t="s">
        <v>62</v>
      </c>
      <c r="H119" s="24">
        <v>0.3</v>
      </c>
      <c r="I119" s="24" t="s">
        <v>62</v>
      </c>
      <c r="J119" s="24">
        <v>12</v>
      </c>
      <c r="K119" s="24">
        <v>0.7</v>
      </c>
      <c r="L119" s="24" t="s">
        <v>62</v>
      </c>
      <c r="M119" s="24">
        <v>11.3</v>
      </c>
      <c r="N119" s="51" t="s">
        <v>62</v>
      </c>
    </row>
    <row r="120" spans="1:14" s="37" customFormat="1" x14ac:dyDescent="0.25">
      <c r="A120" s="172" t="s">
        <v>32</v>
      </c>
      <c r="B120" s="203">
        <v>65</v>
      </c>
      <c r="C120" s="176" t="s">
        <v>423</v>
      </c>
      <c r="D120" s="135">
        <v>17</v>
      </c>
      <c r="E120" s="24">
        <v>13.8</v>
      </c>
      <c r="F120" s="24">
        <v>1.6</v>
      </c>
      <c r="G120" s="24">
        <v>0.1</v>
      </c>
      <c r="H120" s="24">
        <v>0.3</v>
      </c>
      <c r="I120" s="24" t="s">
        <v>62</v>
      </c>
      <c r="J120" s="24">
        <v>15.1</v>
      </c>
      <c r="K120" s="24">
        <v>1.6</v>
      </c>
      <c r="L120" s="24">
        <v>0.2</v>
      </c>
      <c r="M120" s="24">
        <v>13.2</v>
      </c>
      <c r="N120" s="51" t="s">
        <v>62</v>
      </c>
    </row>
    <row r="121" spans="1:14" s="37" customFormat="1" x14ac:dyDescent="0.25">
      <c r="A121" s="174" t="s">
        <v>134</v>
      </c>
      <c r="B121" s="205">
        <v>108</v>
      </c>
      <c r="C121" s="176" t="s">
        <v>423</v>
      </c>
      <c r="D121" s="135">
        <v>17</v>
      </c>
      <c r="E121" s="24">
        <v>18.3</v>
      </c>
      <c r="F121" s="24">
        <v>1.5</v>
      </c>
      <c r="G121" s="24">
        <v>5.6</v>
      </c>
      <c r="H121" s="24">
        <v>0.5</v>
      </c>
      <c r="I121" s="24" t="s">
        <v>62</v>
      </c>
      <c r="J121" s="24">
        <v>13.7</v>
      </c>
      <c r="K121" s="24">
        <v>0.1</v>
      </c>
      <c r="L121" s="24">
        <v>0.9</v>
      </c>
      <c r="M121" s="24">
        <v>12.8</v>
      </c>
      <c r="N121" s="51" t="s">
        <v>62</v>
      </c>
    </row>
    <row r="122" spans="1:14" s="37" customFormat="1" x14ac:dyDescent="0.25">
      <c r="A122" s="175" t="s">
        <v>127</v>
      </c>
      <c r="B122" s="206">
        <v>101</v>
      </c>
      <c r="C122" s="176" t="s">
        <v>423</v>
      </c>
      <c r="D122" s="135">
        <v>17</v>
      </c>
      <c r="E122" s="97">
        <v>95.7</v>
      </c>
      <c r="F122" s="97" t="s">
        <v>62</v>
      </c>
      <c r="G122" s="97" t="s">
        <v>62</v>
      </c>
      <c r="H122" s="97">
        <v>3.7</v>
      </c>
      <c r="I122" s="97" t="s">
        <v>62</v>
      </c>
      <c r="J122" s="97">
        <v>92</v>
      </c>
      <c r="K122" s="97">
        <v>18.600000000000001</v>
      </c>
      <c r="L122" s="97" t="s">
        <v>62</v>
      </c>
      <c r="M122" s="97">
        <v>73.400000000000006</v>
      </c>
      <c r="N122" s="51" t="s">
        <v>62</v>
      </c>
    </row>
    <row r="123" spans="1:14" x14ac:dyDescent="0.25">
      <c r="A123" s="173" t="s">
        <v>109</v>
      </c>
      <c r="B123" s="204">
        <v>83</v>
      </c>
      <c r="C123" s="176" t="s">
        <v>423</v>
      </c>
      <c r="D123" s="135">
        <v>17</v>
      </c>
      <c r="E123" s="24">
        <v>6.5</v>
      </c>
      <c r="F123" s="24">
        <v>0</v>
      </c>
      <c r="G123" s="24">
        <v>0.1</v>
      </c>
      <c r="H123" s="24">
        <v>0</v>
      </c>
      <c r="I123" s="24" t="s">
        <v>62</v>
      </c>
      <c r="J123" s="24">
        <v>6.3</v>
      </c>
      <c r="K123" s="24">
        <v>1</v>
      </c>
      <c r="L123" s="24" t="s">
        <v>62</v>
      </c>
      <c r="M123" s="24">
        <v>5.3</v>
      </c>
      <c r="N123" s="51" t="s">
        <v>62</v>
      </c>
    </row>
    <row r="124" spans="1:14" x14ac:dyDescent="0.25">
      <c r="A124" s="173" t="s">
        <v>110</v>
      </c>
      <c r="B124" s="204">
        <v>84</v>
      </c>
      <c r="C124" s="176" t="s">
        <v>423</v>
      </c>
      <c r="D124" s="135">
        <v>17</v>
      </c>
      <c r="E124" s="24">
        <v>53.7</v>
      </c>
      <c r="F124" s="24" t="s">
        <v>62</v>
      </c>
      <c r="G124" s="24">
        <v>45.1</v>
      </c>
      <c r="H124" s="24">
        <v>0.3</v>
      </c>
      <c r="I124" s="24" t="s">
        <v>62</v>
      </c>
      <c r="J124" s="24">
        <v>8.3000000000000007</v>
      </c>
      <c r="K124" s="24">
        <v>2.7</v>
      </c>
      <c r="L124" s="24" t="s">
        <v>62</v>
      </c>
      <c r="M124" s="24">
        <v>5.6</v>
      </c>
      <c r="N124" s="51" t="s">
        <v>62</v>
      </c>
    </row>
    <row r="125" spans="1:14" s="1" customFormat="1" x14ac:dyDescent="0.25">
      <c r="A125" s="173" t="s">
        <v>111</v>
      </c>
      <c r="B125" s="204">
        <v>85</v>
      </c>
      <c r="C125" s="176" t="s">
        <v>423</v>
      </c>
      <c r="D125" s="135">
        <v>17</v>
      </c>
      <c r="E125" s="24">
        <v>29.9</v>
      </c>
      <c r="F125" s="24" t="s">
        <v>62</v>
      </c>
      <c r="G125" s="24" t="s">
        <v>62</v>
      </c>
      <c r="H125" s="24">
        <v>0.5</v>
      </c>
      <c r="I125" s="24" t="s">
        <v>62</v>
      </c>
      <c r="J125" s="24">
        <v>29.4</v>
      </c>
      <c r="K125" s="24">
        <v>2.5</v>
      </c>
      <c r="L125" s="24" t="s">
        <v>62</v>
      </c>
      <c r="M125" s="24">
        <v>26.9</v>
      </c>
      <c r="N125" s="51" t="s">
        <v>62</v>
      </c>
    </row>
    <row r="126" spans="1:14" x14ac:dyDescent="0.25">
      <c r="A126" s="174" t="s">
        <v>128</v>
      </c>
      <c r="B126" s="205">
        <v>102</v>
      </c>
      <c r="C126" s="176" t="s">
        <v>423</v>
      </c>
      <c r="D126" s="135">
        <v>17</v>
      </c>
      <c r="E126" s="24">
        <v>59.6</v>
      </c>
      <c r="F126" s="24" t="s">
        <v>62</v>
      </c>
      <c r="G126" s="24" t="s">
        <v>62</v>
      </c>
      <c r="H126" s="24">
        <v>4</v>
      </c>
      <c r="I126" s="24" t="s">
        <v>62</v>
      </c>
      <c r="J126" s="24">
        <v>55.6</v>
      </c>
      <c r="K126" s="24">
        <v>7.6</v>
      </c>
      <c r="L126" s="24" t="s">
        <v>62</v>
      </c>
      <c r="M126" s="24">
        <v>48</v>
      </c>
      <c r="N126" s="51" t="s">
        <v>62</v>
      </c>
    </row>
    <row r="127" spans="1:14" x14ac:dyDescent="0.25">
      <c r="A127" s="176" t="s">
        <v>162</v>
      </c>
      <c r="B127" s="207">
        <v>134</v>
      </c>
      <c r="C127" s="176" t="s">
        <v>423</v>
      </c>
      <c r="D127" s="135">
        <v>17</v>
      </c>
      <c r="E127" s="41">
        <v>3.8</v>
      </c>
      <c r="F127" s="41">
        <v>2.9</v>
      </c>
      <c r="G127" s="41" t="s">
        <v>62</v>
      </c>
      <c r="H127" s="41">
        <v>0.3</v>
      </c>
      <c r="I127" s="41" t="s">
        <v>62</v>
      </c>
      <c r="J127" s="41">
        <v>6.5</v>
      </c>
      <c r="K127" s="41">
        <v>1.9</v>
      </c>
      <c r="L127" s="41">
        <v>0.4</v>
      </c>
      <c r="M127" s="41">
        <v>4.2</v>
      </c>
      <c r="N127" s="51" t="s">
        <v>62</v>
      </c>
    </row>
    <row r="128" spans="1:14" x14ac:dyDescent="0.25">
      <c r="A128" s="172" t="s">
        <v>24</v>
      </c>
      <c r="B128" s="203">
        <v>57</v>
      </c>
      <c r="C128" s="176" t="s">
        <v>423</v>
      </c>
      <c r="D128" s="135">
        <v>17</v>
      </c>
      <c r="E128" s="24">
        <v>2</v>
      </c>
      <c r="F128" s="24" t="s">
        <v>62</v>
      </c>
      <c r="G128" s="24" t="s">
        <v>62</v>
      </c>
      <c r="H128" s="24">
        <v>0.1</v>
      </c>
      <c r="I128" s="24" t="s">
        <v>62</v>
      </c>
      <c r="J128" s="24">
        <v>1.9</v>
      </c>
      <c r="K128" s="24">
        <v>0.5</v>
      </c>
      <c r="L128" s="24" t="s">
        <v>62</v>
      </c>
      <c r="M128" s="24">
        <v>1.5</v>
      </c>
      <c r="N128" s="51" t="s">
        <v>62</v>
      </c>
    </row>
    <row r="129" spans="1:14" s="1" customFormat="1" x14ac:dyDescent="0.25">
      <c r="A129" s="176" t="s">
        <v>150</v>
      </c>
      <c r="B129" s="207">
        <v>122</v>
      </c>
      <c r="C129" s="176" t="s">
        <v>423</v>
      </c>
      <c r="D129" s="135">
        <v>17</v>
      </c>
      <c r="E129" s="24">
        <v>36.5</v>
      </c>
      <c r="F129" s="24">
        <v>9.1</v>
      </c>
      <c r="G129" s="24">
        <v>9.1999999999999993</v>
      </c>
      <c r="H129" s="24">
        <v>2.4</v>
      </c>
      <c r="I129" s="24">
        <v>0.9</v>
      </c>
      <c r="J129" s="24">
        <v>33.1</v>
      </c>
      <c r="K129" s="24">
        <v>5.8</v>
      </c>
      <c r="L129" s="24">
        <v>0.9</v>
      </c>
      <c r="M129" s="24">
        <v>26.5</v>
      </c>
      <c r="N129" s="51" t="s">
        <v>62</v>
      </c>
    </row>
    <row r="130" spans="1:14" x14ac:dyDescent="0.25">
      <c r="A130" s="174" t="s">
        <v>129</v>
      </c>
      <c r="B130" s="205">
        <v>103</v>
      </c>
      <c r="C130" s="176" t="s">
        <v>423</v>
      </c>
      <c r="D130" s="135">
        <v>17</v>
      </c>
      <c r="E130" s="24">
        <v>41.1</v>
      </c>
      <c r="F130" s="24" t="s">
        <v>62</v>
      </c>
      <c r="G130" s="24" t="s">
        <v>62</v>
      </c>
      <c r="H130" s="24">
        <v>1.6</v>
      </c>
      <c r="I130" s="24" t="s">
        <v>62</v>
      </c>
      <c r="J130" s="24">
        <v>39.5</v>
      </c>
      <c r="K130" s="24">
        <v>2.1</v>
      </c>
      <c r="L130" s="24">
        <v>2.2000000000000002</v>
      </c>
      <c r="M130" s="24">
        <v>35.200000000000003</v>
      </c>
      <c r="N130" s="51" t="s">
        <v>62</v>
      </c>
    </row>
    <row r="131" spans="1:14" x14ac:dyDescent="0.25">
      <c r="A131" s="174" t="s">
        <v>130</v>
      </c>
      <c r="B131" s="205">
        <v>104</v>
      </c>
      <c r="C131" s="176" t="s">
        <v>423</v>
      </c>
      <c r="D131" s="135">
        <v>17</v>
      </c>
      <c r="E131" s="24">
        <v>9.9</v>
      </c>
      <c r="F131" s="24" t="s">
        <v>62</v>
      </c>
      <c r="G131" s="24" t="s">
        <v>62</v>
      </c>
      <c r="H131" s="24">
        <v>0.1</v>
      </c>
      <c r="I131" s="24" t="s">
        <v>62</v>
      </c>
      <c r="J131" s="24">
        <v>9.8000000000000007</v>
      </c>
      <c r="K131" s="24">
        <v>1.6</v>
      </c>
      <c r="L131" s="24" t="s">
        <v>62</v>
      </c>
      <c r="M131" s="24">
        <v>8.1999999999999993</v>
      </c>
      <c r="N131" s="51" t="s">
        <v>62</v>
      </c>
    </row>
    <row r="132" spans="1:14" x14ac:dyDescent="0.25">
      <c r="A132" s="172" t="s">
        <v>26</v>
      </c>
      <c r="B132" s="203">
        <v>59</v>
      </c>
      <c r="C132" s="176" t="s">
        <v>423</v>
      </c>
      <c r="D132" s="135">
        <v>17</v>
      </c>
      <c r="E132" s="24">
        <v>4.5</v>
      </c>
      <c r="F132" s="24" t="s">
        <v>62</v>
      </c>
      <c r="G132" s="24" t="s">
        <v>62</v>
      </c>
      <c r="H132" s="24">
        <v>0</v>
      </c>
      <c r="I132" s="24" t="s">
        <v>62</v>
      </c>
      <c r="J132" s="24">
        <v>4.5</v>
      </c>
      <c r="K132" s="24">
        <v>0.9</v>
      </c>
      <c r="L132" s="24" t="s">
        <v>62</v>
      </c>
      <c r="M132" s="24">
        <v>3.6</v>
      </c>
      <c r="N132" s="51" t="s">
        <v>62</v>
      </c>
    </row>
    <row r="133" spans="1:14" x14ac:dyDescent="0.25">
      <c r="A133" s="174" t="s">
        <v>164</v>
      </c>
      <c r="B133" s="205">
        <v>136</v>
      </c>
      <c r="C133" s="176" t="s">
        <v>423</v>
      </c>
      <c r="D133" s="135">
        <v>17</v>
      </c>
      <c r="E133" s="41">
        <v>17.5</v>
      </c>
      <c r="F133" s="41">
        <v>4.4000000000000004</v>
      </c>
      <c r="G133" s="41">
        <v>4.3</v>
      </c>
      <c r="H133" s="41">
        <v>0.1</v>
      </c>
      <c r="I133" s="41" t="s">
        <v>62</v>
      </c>
      <c r="J133" s="41">
        <v>17.5</v>
      </c>
      <c r="K133" s="41">
        <v>3</v>
      </c>
      <c r="L133" s="41">
        <v>0.1</v>
      </c>
      <c r="M133" s="41">
        <v>14.5</v>
      </c>
      <c r="N133" s="51" t="s">
        <v>62</v>
      </c>
    </row>
    <row r="134" spans="1:14" x14ac:dyDescent="0.25">
      <c r="A134" s="174" t="s">
        <v>132</v>
      </c>
      <c r="B134" s="205">
        <v>106</v>
      </c>
      <c r="C134" s="176" t="s">
        <v>423</v>
      </c>
      <c r="D134" s="135">
        <v>17</v>
      </c>
      <c r="E134" s="24">
        <v>143.4</v>
      </c>
      <c r="F134" s="24">
        <v>4.5</v>
      </c>
      <c r="G134" s="24">
        <v>0.9</v>
      </c>
      <c r="H134" s="24">
        <v>4.5</v>
      </c>
      <c r="I134" s="24" t="s">
        <v>62</v>
      </c>
      <c r="J134" s="24">
        <v>142.4</v>
      </c>
      <c r="K134" s="24">
        <v>9.3000000000000007</v>
      </c>
      <c r="L134" s="24" t="s">
        <v>62</v>
      </c>
      <c r="M134" s="24">
        <v>133.19999999999999</v>
      </c>
      <c r="N134" s="51" t="s">
        <v>62</v>
      </c>
    </row>
    <row r="135" spans="1:14" s="1" customFormat="1" x14ac:dyDescent="0.25">
      <c r="A135" s="172" t="s">
        <v>28</v>
      </c>
      <c r="B135" s="203">
        <v>61</v>
      </c>
      <c r="C135" s="176" t="s">
        <v>423</v>
      </c>
      <c r="D135" s="135">
        <v>17</v>
      </c>
      <c r="E135" s="24">
        <v>0.2</v>
      </c>
      <c r="F135" s="24">
        <v>0.5</v>
      </c>
      <c r="G135" s="24" t="s">
        <v>62</v>
      </c>
      <c r="H135" s="24" t="s">
        <v>62</v>
      </c>
      <c r="I135" s="24" t="s">
        <v>62</v>
      </c>
      <c r="J135" s="24">
        <v>0.7</v>
      </c>
      <c r="K135" s="24">
        <v>0.1</v>
      </c>
      <c r="L135" s="24" t="s">
        <v>62</v>
      </c>
      <c r="M135" s="24">
        <v>0.6</v>
      </c>
      <c r="N135" s="51" t="s">
        <v>62</v>
      </c>
    </row>
    <row r="136" spans="1:14" x14ac:dyDescent="0.25">
      <c r="A136" s="173" t="s">
        <v>112</v>
      </c>
      <c r="B136" s="204">
        <v>86</v>
      </c>
      <c r="C136" s="176" t="s">
        <v>423</v>
      </c>
      <c r="D136" s="135">
        <v>17</v>
      </c>
      <c r="E136" s="24">
        <v>7.7</v>
      </c>
      <c r="F136" s="24" t="s">
        <v>62</v>
      </c>
      <c r="G136" s="24" t="s">
        <v>62</v>
      </c>
      <c r="H136" s="24">
        <v>0.2</v>
      </c>
      <c r="I136" s="24" t="s">
        <v>62</v>
      </c>
      <c r="J136" s="24">
        <v>7.5</v>
      </c>
      <c r="K136" s="24">
        <v>0.2</v>
      </c>
      <c r="L136" s="24" t="s">
        <v>62</v>
      </c>
      <c r="M136" s="24">
        <v>7.3</v>
      </c>
      <c r="N136" s="51" t="s">
        <v>62</v>
      </c>
    </row>
    <row r="137" spans="1:14" x14ac:dyDescent="0.25">
      <c r="A137" s="176" t="s">
        <v>90</v>
      </c>
      <c r="B137" s="207">
        <v>31</v>
      </c>
      <c r="C137" s="176" t="s">
        <v>423</v>
      </c>
      <c r="D137" s="135">
        <v>17</v>
      </c>
      <c r="E137" s="24">
        <v>191.6</v>
      </c>
      <c r="F137" s="24">
        <v>0.9</v>
      </c>
      <c r="G137" s="24">
        <v>2.4</v>
      </c>
      <c r="H137" s="24">
        <v>8.1999999999999993</v>
      </c>
      <c r="I137" s="24" t="s">
        <v>62</v>
      </c>
      <c r="J137" s="24">
        <v>181.8</v>
      </c>
      <c r="K137" s="24">
        <v>26.6</v>
      </c>
      <c r="L137" s="24">
        <v>2.2999999999999998</v>
      </c>
      <c r="M137" s="24">
        <v>152.80000000000001</v>
      </c>
      <c r="N137" s="51" t="s">
        <v>62</v>
      </c>
    </row>
    <row r="138" spans="1:14" x14ac:dyDescent="0.25">
      <c r="A138" s="174" t="s">
        <v>165</v>
      </c>
      <c r="B138" s="205">
        <v>137</v>
      </c>
      <c r="C138" s="176" t="s">
        <v>423</v>
      </c>
      <c r="D138" s="135">
        <v>17</v>
      </c>
      <c r="E138" s="41">
        <v>14.9</v>
      </c>
      <c r="F138" s="41" t="s">
        <v>62</v>
      </c>
      <c r="G138" s="41">
        <v>1.5</v>
      </c>
      <c r="H138" s="41">
        <v>1.1000000000000001</v>
      </c>
      <c r="I138" s="41" t="s">
        <v>62</v>
      </c>
      <c r="J138" s="41">
        <v>12.3</v>
      </c>
      <c r="K138" s="41">
        <v>2.1</v>
      </c>
      <c r="L138" s="41">
        <v>1.6</v>
      </c>
      <c r="M138" s="41">
        <v>8.6999999999999993</v>
      </c>
      <c r="N138" s="51" t="s">
        <v>62</v>
      </c>
    </row>
    <row r="139" spans="1:14" x14ac:dyDescent="0.25">
      <c r="A139" s="176" t="s">
        <v>166</v>
      </c>
      <c r="B139" s="207">
        <v>138</v>
      </c>
      <c r="C139" s="176" t="s">
        <v>423</v>
      </c>
      <c r="D139" s="135">
        <v>17</v>
      </c>
      <c r="E139" s="41">
        <v>196.3</v>
      </c>
      <c r="F139" s="41">
        <v>3.4</v>
      </c>
      <c r="G139" s="41">
        <v>12.6</v>
      </c>
      <c r="H139" s="41">
        <v>15.2</v>
      </c>
      <c r="I139" s="41">
        <v>0.2</v>
      </c>
      <c r="J139" s="41">
        <v>171.7</v>
      </c>
      <c r="K139" s="41">
        <v>23</v>
      </c>
      <c r="L139" s="41">
        <v>13.7</v>
      </c>
      <c r="M139" s="41">
        <v>135</v>
      </c>
      <c r="N139" s="51" t="s">
        <v>62</v>
      </c>
    </row>
    <row r="140" spans="1:14" x14ac:dyDescent="0.25">
      <c r="A140" s="172" t="s">
        <v>27</v>
      </c>
      <c r="B140" s="203">
        <v>60</v>
      </c>
      <c r="C140" s="176" t="s">
        <v>423</v>
      </c>
      <c r="D140" s="135">
        <v>17</v>
      </c>
      <c r="E140" s="24">
        <v>4.2</v>
      </c>
      <c r="F140" s="24" t="s">
        <v>62</v>
      </c>
      <c r="G140" s="24" t="s">
        <v>62</v>
      </c>
      <c r="H140" s="24" t="s">
        <v>62</v>
      </c>
      <c r="I140" s="24" t="s">
        <v>62</v>
      </c>
      <c r="J140" s="24">
        <v>4.2</v>
      </c>
      <c r="K140" s="24">
        <v>0.8</v>
      </c>
      <c r="L140" s="24">
        <v>0.1</v>
      </c>
      <c r="M140" s="24">
        <v>3.3</v>
      </c>
      <c r="N140" s="51" t="s">
        <v>62</v>
      </c>
    </row>
    <row r="141" spans="1:14" x14ac:dyDescent="0.25">
      <c r="A141" s="173" t="s">
        <v>113</v>
      </c>
      <c r="B141" s="204">
        <v>87</v>
      </c>
      <c r="C141" s="176" t="s">
        <v>423</v>
      </c>
      <c r="D141" s="135">
        <v>17</v>
      </c>
      <c r="E141" s="24">
        <v>9.4</v>
      </c>
      <c r="F141" s="24">
        <v>0.8</v>
      </c>
      <c r="G141" s="24">
        <v>1</v>
      </c>
      <c r="H141" s="24">
        <v>0.2</v>
      </c>
      <c r="I141" s="24" t="s">
        <v>62</v>
      </c>
      <c r="J141" s="24">
        <v>9.1</v>
      </c>
      <c r="K141" s="24">
        <v>1.9</v>
      </c>
      <c r="L141" s="24" t="s">
        <v>62</v>
      </c>
      <c r="M141" s="24">
        <v>7.1</v>
      </c>
      <c r="N141" s="51" t="s">
        <v>62</v>
      </c>
    </row>
    <row r="142" spans="1:14" x14ac:dyDescent="0.25">
      <c r="A142" s="174" t="s">
        <v>167</v>
      </c>
      <c r="B142" s="205">
        <v>139</v>
      </c>
      <c r="C142" s="176" t="s">
        <v>423</v>
      </c>
      <c r="D142" s="135">
        <v>17</v>
      </c>
      <c r="E142" s="41">
        <v>49</v>
      </c>
      <c r="F142" s="41">
        <v>11.4</v>
      </c>
      <c r="G142" s="41">
        <v>11.4</v>
      </c>
      <c r="H142" s="41">
        <v>2.8</v>
      </c>
      <c r="I142" s="41" t="s">
        <v>62</v>
      </c>
      <c r="J142" s="41">
        <v>46.1</v>
      </c>
      <c r="K142" s="41">
        <v>4.3</v>
      </c>
      <c r="L142" s="41">
        <v>1.4</v>
      </c>
      <c r="M142" s="41">
        <v>40.4</v>
      </c>
      <c r="N142" s="51" t="s">
        <v>62</v>
      </c>
    </row>
    <row r="143" spans="1:14" x14ac:dyDescent="0.25">
      <c r="A143" s="174" t="s">
        <v>133</v>
      </c>
      <c r="B143" s="205">
        <v>107</v>
      </c>
      <c r="C143" s="176" t="s">
        <v>423</v>
      </c>
      <c r="D143" s="135">
        <v>17</v>
      </c>
      <c r="E143" s="24">
        <v>69.5</v>
      </c>
      <c r="F143" s="24" t="s">
        <v>62</v>
      </c>
      <c r="G143" s="24" t="s">
        <v>62</v>
      </c>
      <c r="H143" s="24">
        <v>0.9</v>
      </c>
      <c r="I143" s="24" t="s">
        <v>62</v>
      </c>
      <c r="J143" s="24">
        <v>68.599999999999994</v>
      </c>
      <c r="K143" s="24">
        <v>7.5</v>
      </c>
      <c r="L143" s="24" t="s">
        <v>62</v>
      </c>
      <c r="M143" s="24">
        <v>61.1</v>
      </c>
      <c r="N143" s="51" t="s">
        <v>62</v>
      </c>
    </row>
    <row r="144" spans="1:14" x14ac:dyDescent="0.25">
      <c r="A144" s="172" t="s">
        <v>30</v>
      </c>
      <c r="B144" s="203">
        <v>63</v>
      </c>
      <c r="C144" s="176" t="s">
        <v>423</v>
      </c>
      <c r="D144" s="135">
        <v>17</v>
      </c>
      <c r="E144" s="24">
        <v>9.9</v>
      </c>
      <c r="F144" s="24" t="s">
        <v>62</v>
      </c>
      <c r="G144" s="24">
        <v>0.3</v>
      </c>
      <c r="H144" s="24">
        <v>0.2</v>
      </c>
      <c r="I144" s="24" t="s">
        <v>62</v>
      </c>
      <c r="J144" s="24">
        <v>9.4</v>
      </c>
      <c r="K144" s="24">
        <v>0.7</v>
      </c>
      <c r="L144" s="24" t="s">
        <v>62</v>
      </c>
      <c r="M144" s="24">
        <v>8.6</v>
      </c>
      <c r="N144" s="51" t="s">
        <v>62</v>
      </c>
    </row>
    <row r="145" spans="1:14" s="1" customFormat="1" x14ac:dyDescent="0.25">
      <c r="A145" s="172" t="s">
        <v>31</v>
      </c>
      <c r="B145" s="203">
        <v>64</v>
      </c>
      <c r="C145" s="176" t="s">
        <v>423</v>
      </c>
      <c r="D145" s="135">
        <v>17</v>
      </c>
      <c r="E145" s="24">
        <v>9.1999999999999993</v>
      </c>
      <c r="F145" s="24">
        <v>2.7</v>
      </c>
      <c r="G145" s="24">
        <v>0</v>
      </c>
      <c r="H145" s="24">
        <v>0.3</v>
      </c>
      <c r="I145" s="24" t="s">
        <v>62</v>
      </c>
      <c r="J145" s="24">
        <v>11.5</v>
      </c>
      <c r="K145" s="24">
        <v>0.7</v>
      </c>
      <c r="L145" s="24" t="s">
        <v>62</v>
      </c>
      <c r="M145" s="24">
        <v>10.9</v>
      </c>
      <c r="N145" s="51" t="s">
        <v>62</v>
      </c>
    </row>
    <row r="146" spans="1:14" x14ac:dyDescent="0.25">
      <c r="A146" s="182" t="s">
        <v>33</v>
      </c>
      <c r="B146" s="74">
        <v>66</v>
      </c>
      <c r="C146" s="266" t="s">
        <v>277</v>
      </c>
      <c r="D146" s="75">
        <v>99</v>
      </c>
      <c r="E146" s="32">
        <v>618.1</v>
      </c>
      <c r="F146" s="32">
        <v>33.799999999999997</v>
      </c>
      <c r="G146" s="32">
        <v>30.7</v>
      </c>
      <c r="H146" s="32">
        <v>28.7</v>
      </c>
      <c r="I146" s="32">
        <v>4.2</v>
      </c>
      <c r="J146" s="32">
        <v>588.20000000000005</v>
      </c>
      <c r="K146" s="32">
        <v>67.599999999999994</v>
      </c>
      <c r="L146" s="32">
        <v>16.2</v>
      </c>
      <c r="M146" s="32">
        <v>504.4</v>
      </c>
      <c r="N146" s="51" t="s">
        <v>62</v>
      </c>
    </row>
    <row r="147" spans="1:14" x14ac:dyDescent="0.25">
      <c r="A147" s="183" t="s">
        <v>135</v>
      </c>
      <c r="B147" s="74">
        <v>109</v>
      </c>
      <c r="C147" s="77" t="s">
        <v>278</v>
      </c>
      <c r="D147" s="75">
        <v>99</v>
      </c>
      <c r="E147" s="36">
        <v>1780.4</v>
      </c>
      <c r="F147" s="36">
        <v>16.2</v>
      </c>
      <c r="G147" s="36">
        <v>9.3000000000000007</v>
      </c>
      <c r="H147" s="36">
        <v>95.7</v>
      </c>
      <c r="I147" s="36">
        <v>4.4000000000000004</v>
      </c>
      <c r="J147" s="36">
        <v>1687.2</v>
      </c>
      <c r="K147" s="36">
        <v>282.60000000000002</v>
      </c>
      <c r="L147" s="36">
        <v>7.5</v>
      </c>
      <c r="M147" s="36">
        <v>1397</v>
      </c>
      <c r="N147" s="51" t="s">
        <v>62</v>
      </c>
    </row>
    <row r="148" spans="1:14" x14ac:dyDescent="0.25">
      <c r="A148" s="183" t="s">
        <v>138</v>
      </c>
      <c r="B148" s="74">
        <v>112</v>
      </c>
      <c r="C148" s="77" t="s">
        <v>279</v>
      </c>
      <c r="D148" s="75">
        <v>99</v>
      </c>
      <c r="E148" s="36">
        <v>3318.2</v>
      </c>
      <c r="F148" s="36">
        <v>15.2</v>
      </c>
      <c r="G148" s="36">
        <v>18.600000000000001</v>
      </c>
      <c r="H148" s="36">
        <v>258</v>
      </c>
      <c r="I148" s="36" t="s">
        <v>62</v>
      </c>
      <c r="J148" s="36">
        <v>3056.8</v>
      </c>
      <c r="K148" s="36">
        <v>201.3</v>
      </c>
      <c r="L148" s="36">
        <v>138.6</v>
      </c>
      <c r="M148" s="36">
        <v>2716.9</v>
      </c>
      <c r="N148" s="51" t="s">
        <v>62</v>
      </c>
    </row>
    <row r="149" spans="1:14" x14ac:dyDescent="0.25">
      <c r="A149" s="183" t="s">
        <v>168</v>
      </c>
      <c r="B149" s="74">
        <v>140</v>
      </c>
      <c r="C149" s="77" t="s">
        <v>280</v>
      </c>
      <c r="D149" s="75">
        <v>99</v>
      </c>
      <c r="E149" s="36">
        <v>1490.8</v>
      </c>
      <c r="F149" s="36">
        <v>52.9</v>
      </c>
      <c r="G149" s="36">
        <v>72.900000000000006</v>
      </c>
      <c r="H149" s="36">
        <v>115.3</v>
      </c>
      <c r="I149" s="36">
        <v>3.6</v>
      </c>
      <c r="J149" s="36">
        <v>1351.8</v>
      </c>
      <c r="K149" s="36">
        <v>163.30000000000001</v>
      </c>
      <c r="L149" s="36">
        <v>147.5</v>
      </c>
      <c r="M149" s="36">
        <v>1041</v>
      </c>
      <c r="N149" s="51" t="s">
        <v>62</v>
      </c>
    </row>
    <row r="150" spans="1:14" x14ac:dyDescent="0.25">
      <c r="A150" s="183" t="s">
        <v>116</v>
      </c>
      <c r="B150" s="74">
        <v>90</v>
      </c>
      <c r="C150" s="77" t="s">
        <v>281</v>
      </c>
      <c r="D150" s="75">
        <v>99</v>
      </c>
      <c r="E150" s="36">
        <v>1006.9</v>
      </c>
      <c r="F150" s="36">
        <v>56.5</v>
      </c>
      <c r="G150" s="36">
        <v>52.5</v>
      </c>
      <c r="H150" s="36">
        <v>29.7</v>
      </c>
      <c r="I150" s="36">
        <v>0.4</v>
      </c>
      <c r="J150" s="36">
        <v>980.8</v>
      </c>
      <c r="K150" s="36">
        <v>164.3</v>
      </c>
      <c r="L150" s="36">
        <v>2.6</v>
      </c>
      <c r="M150" s="36">
        <v>813.8</v>
      </c>
      <c r="N150" s="51" t="s">
        <v>62</v>
      </c>
    </row>
    <row r="151" spans="1:14" x14ac:dyDescent="0.25">
      <c r="A151" s="182" t="s">
        <v>182</v>
      </c>
      <c r="B151" s="74">
        <v>154</v>
      </c>
      <c r="C151" s="266" t="s">
        <v>282</v>
      </c>
      <c r="D151" s="75">
        <v>99</v>
      </c>
      <c r="E151" s="32">
        <v>714.6</v>
      </c>
      <c r="F151" s="32">
        <v>4.4000000000000004</v>
      </c>
      <c r="G151" s="32">
        <v>4.8</v>
      </c>
      <c r="H151" s="32">
        <v>35.299999999999997</v>
      </c>
      <c r="I151" s="32" t="s">
        <v>62</v>
      </c>
      <c r="J151" s="32">
        <v>678.9</v>
      </c>
      <c r="K151" s="32">
        <v>84.9</v>
      </c>
      <c r="L151" s="32">
        <v>20.9</v>
      </c>
      <c r="M151" s="32">
        <v>573.1</v>
      </c>
      <c r="N151" s="51" t="s">
        <v>62</v>
      </c>
    </row>
    <row r="152" spans="1:14" x14ac:dyDescent="0.25">
      <c r="A152" s="183" t="s">
        <v>152</v>
      </c>
      <c r="B152" s="74">
        <v>124</v>
      </c>
      <c r="C152" s="77" t="s">
        <v>283</v>
      </c>
      <c r="D152" s="75">
        <v>99</v>
      </c>
      <c r="E152" s="36">
        <v>197.5</v>
      </c>
      <c r="F152" s="36">
        <v>36.4</v>
      </c>
      <c r="G152" s="36">
        <v>31.8</v>
      </c>
      <c r="H152" s="36">
        <v>16.3</v>
      </c>
      <c r="I152" s="36">
        <v>1.6</v>
      </c>
      <c r="J152" s="36">
        <v>184.2</v>
      </c>
      <c r="K152" s="36">
        <v>26.3</v>
      </c>
      <c r="L152" s="36">
        <v>9.8000000000000007</v>
      </c>
      <c r="M152" s="36">
        <v>148</v>
      </c>
      <c r="N152" s="51" t="s">
        <v>62</v>
      </c>
    </row>
    <row r="153" spans="1:14" x14ac:dyDescent="0.25">
      <c r="A153" s="183" t="s">
        <v>183</v>
      </c>
      <c r="B153" s="74">
        <v>155</v>
      </c>
      <c r="C153" s="77" t="s">
        <v>284</v>
      </c>
      <c r="D153" s="75">
        <v>99</v>
      </c>
      <c r="E153" s="36">
        <v>9126.4</v>
      </c>
      <c r="F153" s="36">
        <v>215.5</v>
      </c>
      <c r="G153" s="36">
        <v>220.6</v>
      </c>
      <c r="H153" s="36">
        <v>579.1</v>
      </c>
      <c r="I153" s="36">
        <v>14.3</v>
      </c>
      <c r="J153" s="36">
        <v>8527.9</v>
      </c>
      <c r="K153" s="36">
        <v>990.4</v>
      </c>
      <c r="L153" s="36">
        <v>343.2</v>
      </c>
      <c r="M153" s="36">
        <v>7194.3</v>
      </c>
      <c r="N153" s="51" t="s">
        <v>62</v>
      </c>
    </row>
    <row r="154" spans="1:14" s="1" customFormat="1" x14ac:dyDescent="0.25">
      <c r="A154" s="183" t="s">
        <v>92</v>
      </c>
      <c r="B154" s="74">
        <v>2</v>
      </c>
      <c r="C154" s="77" t="s">
        <v>285</v>
      </c>
      <c r="D154" s="75">
        <v>99</v>
      </c>
      <c r="E154" s="36">
        <v>9126.4</v>
      </c>
      <c r="F154" s="36">
        <v>215.5</v>
      </c>
      <c r="G154" s="36">
        <v>220.6</v>
      </c>
      <c r="H154" s="36">
        <v>579.1</v>
      </c>
      <c r="I154" s="36">
        <v>14.3</v>
      </c>
      <c r="J154" s="36">
        <v>8527.9</v>
      </c>
      <c r="K154" s="36">
        <v>990.4</v>
      </c>
      <c r="L154" s="36">
        <v>343.2</v>
      </c>
      <c r="M154" s="36">
        <v>7194.3</v>
      </c>
      <c r="N154" s="51" t="s">
        <v>62</v>
      </c>
    </row>
    <row r="155" spans="1:14" x14ac:dyDescent="0.25">
      <c r="A155" s="183" t="s">
        <v>99</v>
      </c>
      <c r="B155" s="74">
        <v>35</v>
      </c>
      <c r="C155" s="77" t="s">
        <v>286</v>
      </c>
      <c r="D155" s="75">
        <v>99</v>
      </c>
      <c r="E155" s="36">
        <v>3612.5</v>
      </c>
      <c r="F155" s="36">
        <v>337.5</v>
      </c>
      <c r="G155" s="36">
        <v>333.6</v>
      </c>
      <c r="H155" s="36">
        <v>170.6</v>
      </c>
      <c r="I155" s="36">
        <v>50.3</v>
      </c>
      <c r="J155" s="36">
        <v>3395.6</v>
      </c>
      <c r="K155" s="36">
        <v>229</v>
      </c>
      <c r="L155" s="36">
        <v>106.2</v>
      </c>
      <c r="M155" s="36">
        <v>3060.4</v>
      </c>
      <c r="N155" s="51" t="s">
        <v>62</v>
      </c>
    </row>
    <row r="156" spans="1:14" s="1" customFormat="1" x14ac:dyDescent="0.25">
      <c r="A156" s="182" t="s">
        <v>101</v>
      </c>
      <c r="B156" s="74">
        <v>37</v>
      </c>
      <c r="C156" s="266" t="s">
        <v>287</v>
      </c>
      <c r="D156" s="75">
        <v>99</v>
      </c>
      <c r="E156" s="32">
        <v>5246.2</v>
      </c>
      <c r="F156" s="32">
        <v>71.099999999999994</v>
      </c>
      <c r="G156" s="32">
        <v>66.3</v>
      </c>
      <c r="H156" s="32">
        <v>192</v>
      </c>
      <c r="I156" s="32">
        <v>33</v>
      </c>
      <c r="J156" s="32">
        <v>5025.8999999999996</v>
      </c>
      <c r="K156" s="32">
        <v>363.1</v>
      </c>
      <c r="L156" s="32">
        <v>133.19999999999999</v>
      </c>
      <c r="M156" s="32">
        <v>4529.5</v>
      </c>
      <c r="N156" s="51" t="s">
        <v>62</v>
      </c>
    </row>
    <row r="157" spans="1:14" s="1" customFormat="1" x14ac:dyDescent="0.25">
      <c r="A157" s="183" t="s">
        <v>100</v>
      </c>
      <c r="B157" s="74">
        <v>36</v>
      </c>
      <c r="C157" s="77" t="s">
        <v>288</v>
      </c>
      <c r="D157" s="75">
        <v>99</v>
      </c>
      <c r="E157" s="36">
        <v>1859.8</v>
      </c>
      <c r="F157" s="36" t="s">
        <v>62</v>
      </c>
      <c r="G157" s="36" t="s">
        <v>62</v>
      </c>
      <c r="H157" s="36">
        <v>77.2</v>
      </c>
      <c r="I157" s="36">
        <v>18.399999999999999</v>
      </c>
      <c r="J157" s="36">
        <v>1764.2</v>
      </c>
      <c r="K157" s="36">
        <v>87.4</v>
      </c>
      <c r="L157" s="36">
        <v>27.2</v>
      </c>
      <c r="M157" s="36">
        <v>1649.6</v>
      </c>
      <c r="N157" s="51" t="s">
        <v>62</v>
      </c>
    </row>
    <row r="158" spans="1:14" x14ac:dyDescent="0.25">
      <c r="A158" s="183" t="s">
        <v>98</v>
      </c>
      <c r="B158" s="74">
        <v>34</v>
      </c>
      <c r="C158" s="77" t="s">
        <v>289</v>
      </c>
      <c r="D158" s="75">
        <v>99</v>
      </c>
      <c r="E158" s="36">
        <v>10718.5</v>
      </c>
      <c r="F158" s="36">
        <v>408.6</v>
      </c>
      <c r="G158" s="36">
        <v>399.9</v>
      </c>
      <c r="H158" s="36">
        <v>439.8</v>
      </c>
      <c r="I158" s="36">
        <v>101.7</v>
      </c>
      <c r="J158" s="36">
        <v>10185.700000000001</v>
      </c>
      <c r="K158" s="36">
        <v>679.5</v>
      </c>
      <c r="L158" s="36">
        <v>266.7</v>
      </c>
      <c r="M158" s="36">
        <v>9239.5</v>
      </c>
      <c r="N158" s="51" t="s">
        <v>62</v>
      </c>
    </row>
    <row r="159" spans="1:14" s="1" customFormat="1" x14ac:dyDescent="0.25">
      <c r="A159" s="183" t="s">
        <v>91</v>
      </c>
      <c r="B159" s="74">
        <v>1</v>
      </c>
      <c r="C159" s="77" t="s">
        <v>290</v>
      </c>
      <c r="D159" s="75">
        <v>99</v>
      </c>
      <c r="E159" s="36">
        <v>10718.5</v>
      </c>
      <c r="F159" s="36">
        <v>408.6</v>
      </c>
      <c r="G159" s="36">
        <v>399.9</v>
      </c>
      <c r="H159" s="36">
        <v>439.8</v>
      </c>
      <c r="I159" s="36">
        <v>101.7</v>
      </c>
      <c r="J159" s="36">
        <v>10185.700000000001</v>
      </c>
      <c r="K159" s="36">
        <v>679.5</v>
      </c>
      <c r="L159" s="36">
        <v>266.7</v>
      </c>
      <c r="M159" s="36">
        <v>9239.5</v>
      </c>
      <c r="N159" s="51" t="s">
        <v>62</v>
      </c>
    </row>
    <row r="160" spans="1:14" s="1" customFormat="1" x14ac:dyDescent="0.25">
      <c r="A160" s="183" t="s">
        <v>65</v>
      </c>
      <c r="B160" s="80">
        <v>3</v>
      </c>
      <c r="C160" s="185" t="s">
        <v>291</v>
      </c>
      <c r="D160" s="81">
        <v>99</v>
      </c>
      <c r="E160" s="36">
        <v>19844.900000000001</v>
      </c>
      <c r="F160" s="36">
        <v>624</v>
      </c>
      <c r="G160" s="36">
        <v>620.4</v>
      </c>
      <c r="H160" s="36">
        <v>1018.9</v>
      </c>
      <c r="I160" s="36">
        <v>116</v>
      </c>
      <c r="J160" s="36">
        <v>18713.5</v>
      </c>
      <c r="K160" s="36">
        <v>1669.9</v>
      </c>
      <c r="L160" s="36">
        <v>609.79999999999995</v>
      </c>
      <c r="M160" s="36">
        <v>16433.8</v>
      </c>
      <c r="N160" s="82" t="s">
        <v>62</v>
      </c>
    </row>
    <row r="161" spans="1:14" s="1" customFormat="1" x14ac:dyDescent="0.25">
      <c r="A161" s="244"/>
      <c r="B161" s="85"/>
      <c r="C161" s="95"/>
      <c r="D161" s="95"/>
      <c r="E161" s="94"/>
      <c r="F161" s="94"/>
      <c r="G161" s="94"/>
      <c r="H161" s="94"/>
      <c r="I161" s="94"/>
      <c r="J161" s="94"/>
      <c r="K161" s="94"/>
      <c r="L161" s="94"/>
      <c r="M161" s="94"/>
      <c r="N161" s="95"/>
    </row>
    <row r="162" spans="1:14" x14ac:dyDescent="0.25">
      <c r="A162" s="245" t="s">
        <v>45</v>
      </c>
      <c r="B162" s="6"/>
      <c r="C162" s="6"/>
      <c r="D162" s="6"/>
      <c r="E162" s="6" t="s">
        <v>63</v>
      </c>
      <c r="F162" s="15"/>
      <c r="G162" s="15"/>
      <c r="H162" s="6"/>
      <c r="I162" s="6"/>
      <c r="J162" s="15"/>
      <c r="K162" s="15"/>
      <c r="L162" s="6"/>
      <c r="M162" s="16"/>
      <c r="N162" s="96"/>
    </row>
    <row r="163" spans="1:14" x14ac:dyDescent="0.25">
      <c r="A163" s="246"/>
      <c r="B163" s="8"/>
      <c r="C163" s="8"/>
      <c r="D163" s="8"/>
      <c r="E163" s="8"/>
      <c r="F163" s="18"/>
      <c r="G163" s="18"/>
      <c r="H163" s="8"/>
      <c r="I163" s="8"/>
      <c r="J163" s="18"/>
      <c r="K163" s="18"/>
      <c r="L163" s="8"/>
      <c r="M163" s="19"/>
      <c r="N163" s="96"/>
    </row>
    <row r="164" spans="1:14" x14ac:dyDescent="0.25">
      <c r="A164" s="247" t="s">
        <v>46</v>
      </c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9"/>
      <c r="N164" s="96"/>
    </row>
    <row r="165" spans="1:14" x14ac:dyDescent="0.25">
      <c r="A165" s="247" t="s">
        <v>47</v>
      </c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9"/>
      <c r="N165" s="96"/>
    </row>
    <row r="166" spans="1:14" x14ac:dyDescent="0.25">
      <c r="A166" s="247" t="s">
        <v>48</v>
      </c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9"/>
      <c r="N166" s="96"/>
    </row>
    <row r="167" spans="1:14" x14ac:dyDescent="0.25">
      <c r="A167" s="247" t="s">
        <v>49</v>
      </c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9"/>
      <c r="N167" s="96"/>
    </row>
    <row r="168" spans="1:14" x14ac:dyDescent="0.25">
      <c r="A168" s="247" t="s">
        <v>50</v>
      </c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9"/>
      <c r="N168" s="96"/>
    </row>
    <row r="169" spans="1:14" x14ac:dyDescent="0.25">
      <c r="A169" s="248" t="s">
        <v>51</v>
      </c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1"/>
      <c r="N169" s="96"/>
    </row>
    <row r="170" spans="1:14" x14ac:dyDescent="0.25">
      <c r="A170" s="55" t="s">
        <v>52</v>
      </c>
    </row>
  </sheetData>
  <autoFilter ref="A5:N5">
    <sortState ref="A6:N160">
      <sortCondition ref="D5"/>
    </sortState>
  </autoFilter>
  <mergeCells count="8">
    <mergeCell ref="P2:AC2"/>
    <mergeCell ref="P3:P5"/>
    <mergeCell ref="Q3:S5"/>
    <mergeCell ref="T3:AC3"/>
    <mergeCell ref="T4:Y4"/>
    <mergeCell ref="Z4:AC5"/>
    <mergeCell ref="T5:W5"/>
    <mergeCell ref="X5:Y5"/>
  </mergeCells>
  <hyperlinks>
    <hyperlink ref="K1" r:id="rId1"/>
  </hyperlinks>
  <pageMargins left="0.7" right="0.7" top="0.78740157499999996" bottom="0.78740157499999996" header="0.3" footer="0.3"/>
  <pageSetup paperSize="9" orientation="portrait"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70"/>
  <sheetViews>
    <sheetView topLeftCell="A22" zoomScale="80" zoomScaleNormal="80" workbookViewId="0">
      <selection activeCell="E69" sqref="E69:H69"/>
    </sheetView>
  </sheetViews>
  <sheetFormatPr baseColWidth="10" defaultRowHeight="15" x14ac:dyDescent="0.25"/>
  <cols>
    <col min="1" max="1" width="20.42578125" customWidth="1"/>
    <col min="2" max="2" width="6.7109375" style="57" bestFit="1" customWidth="1"/>
    <col min="3" max="3" width="8.42578125" bestFit="1" customWidth="1"/>
    <col min="4" max="4" width="17.85546875" bestFit="1" customWidth="1"/>
    <col min="5" max="5" width="17.140625" customWidth="1"/>
    <col min="6" max="6" width="15" customWidth="1"/>
    <col min="7" max="7" width="15.5703125" customWidth="1"/>
    <col min="8" max="9" width="17.140625" customWidth="1"/>
    <col min="10" max="10" width="24.140625" customWidth="1"/>
    <col min="11" max="11" width="22.5703125" customWidth="1"/>
    <col min="14" max="14" width="4.28515625" customWidth="1"/>
    <col min="15" max="15" width="9.5703125" bestFit="1" customWidth="1"/>
    <col min="16" max="16" width="6.5703125" bestFit="1" customWidth="1"/>
    <col min="17" max="17" width="11.7109375" bestFit="1" customWidth="1"/>
    <col min="18" max="18" width="14.85546875" bestFit="1" customWidth="1"/>
    <col min="19" max="19" width="9.85546875" bestFit="1" customWidth="1"/>
    <col min="20" max="20" width="11.28515625" bestFit="1" customWidth="1"/>
    <col min="21" max="21" width="5.140625" bestFit="1" customWidth="1"/>
    <col min="22" max="22" width="6.5703125" bestFit="1" customWidth="1"/>
    <col min="23" max="23" width="3.7109375" bestFit="1" customWidth="1"/>
    <col min="24" max="24" width="5.140625" bestFit="1" customWidth="1"/>
    <col min="25" max="25" width="6.42578125" bestFit="1" customWidth="1"/>
    <col min="26" max="26" width="13.42578125" bestFit="1" customWidth="1"/>
    <col min="27" max="28" width="15" bestFit="1" customWidth="1"/>
  </cols>
  <sheetData>
    <row r="1" spans="1:28" ht="15.75" x14ac:dyDescent="0.25">
      <c r="A1" s="4" t="s">
        <v>341</v>
      </c>
      <c r="B1" s="26"/>
      <c r="C1" s="26"/>
      <c r="D1" s="26"/>
      <c r="E1" s="5"/>
      <c r="F1" s="5"/>
      <c r="G1" s="39" t="s">
        <v>218</v>
      </c>
      <c r="H1" s="39" t="s">
        <v>219</v>
      </c>
      <c r="I1" s="6"/>
      <c r="J1" s="50" t="s">
        <v>375</v>
      </c>
      <c r="K1" s="6"/>
      <c r="O1" t="s">
        <v>266</v>
      </c>
    </row>
    <row r="2" spans="1:28" s="3" customFormat="1" ht="16.5" customHeight="1" x14ac:dyDescent="0.25">
      <c r="A2" s="25" t="s">
        <v>185</v>
      </c>
      <c r="B2" s="26"/>
      <c r="C2" s="26"/>
      <c r="D2" s="26"/>
      <c r="E2" s="26"/>
      <c r="F2" s="26"/>
      <c r="G2" s="26"/>
      <c r="H2" s="27"/>
      <c r="I2" s="27"/>
      <c r="J2" s="27"/>
      <c r="K2" s="27"/>
      <c r="O2" s="830" t="s">
        <v>259</v>
      </c>
      <c r="P2" s="831"/>
      <c r="Q2" s="831"/>
      <c r="R2" s="831"/>
      <c r="S2" s="831"/>
      <c r="T2" s="831"/>
      <c r="U2" s="831"/>
      <c r="V2" s="831"/>
      <c r="W2" s="831"/>
      <c r="X2" s="831"/>
      <c r="Y2" s="831"/>
      <c r="Z2" s="831"/>
      <c r="AA2" s="831"/>
      <c r="AB2" s="832"/>
    </row>
    <row r="3" spans="1:28" s="3" customFormat="1" ht="16.5" customHeight="1" x14ac:dyDescent="0.25">
      <c r="A3" s="65" t="s">
        <v>2</v>
      </c>
      <c r="B3" s="26"/>
      <c r="C3" s="26"/>
      <c r="D3" s="26"/>
      <c r="E3" s="26"/>
      <c r="F3" s="26"/>
      <c r="G3" s="26"/>
      <c r="H3" s="27"/>
      <c r="I3" s="27"/>
      <c r="J3" s="27"/>
      <c r="K3" s="69" t="s">
        <v>260</v>
      </c>
      <c r="O3" s="833" t="s">
        <v>257</v>
      </c>
      <c r="P3" s="836" t="s">
        <v>256</v>
      </c>
      <c r="Q3" s="837"/>
      <c r="R3" s="838"/>
      <c r="S3" s="845" t="s">
        <v>258</v>
      </c>
      <c r="T3" s="846"/>
      <c r="U3" s="846"/>
      <c r="V3" s="846"/>
      <c r="W3" s="846"/>
      <c r="X3" s="846"/>
      <c r="Y3" s="846"/>
      <c r="Z3" s="846"/>
      <c r="AA3" s="846"/>
      <c r="AB3" s="847"/>
    </row>
    <row r="4" spans="1:28" ht="15.75" x14ac:dyDescent="0.25">
      <c r="A4" s="9"/>
      <c r="B4" s="26"/>
      <c r="C4" s="26"/>
      <c r="D4" s="26"/>
      <c r="E4" s="10"/>
      <c r="F4" s="10"/>
      <c r="G4" s="10"/>
      <c r="H4" s="11"/>
      <c r="I4" s="851" t="s">
        <v>255</v>
      </c>
      <c r="J4" s="852"/>
      <c r="K4" s="68" t="s">
        <v>261</v>
      </c>
      <c r="O4" s="834"/>
      <c r="P4" s="839"/>
      <c r="Q4" s="840"/>
      <c r="R4" s="841"/>
      <c r="S4" s="836" t="s">
        <v>251</v>
      </c>
      <c r="T4" s="837"/>
      <c r="U4" s="837"/>
      <c r="V4" s="837"/>
      <c r="W4" s="837"/>
      <c r="X4" s="838"/>
      <c r="Y4" s="836" t="s">
        <v>252</v>
      </c>
      <c r="Z4" s="837"/>
      <c r="AA4" s="837"/>
      <c r="AB4" s="838"/>
    </row>
    <row r="5" spans="1:28" s="1" customFormat="1" x14ac:dyDescent="0.25">
      <c r="A5" s="155" t="s">
        <v>264</v>
      </c>
      <c r="B5" s="71" t="s">
        <v>222</v>
      </c>
      <c r="C5" s="71" t="s">
        <v>262</v>
      </c>
      <c r="D5" s="71" t="s">
        <v>275</v>
      </c>
      <c r="E5" s="54" t="s">
        <v>186</v>
      </c>
      <c r="F5" s="54" t="s">
        <v>187</v>
      </c>
      <c r="G5" s="54" t="s">
        <v>188</v>
      </c>
      <c r="H5" s="61" t="s">
        <v>189</v>
      </c>
      <c r="I5" s="67" t="s">
        <v>190</v>
      </c>
      <c r="J5" s="67" t="s">
        <v>191</v>
      </c>
      <c r="K5" s="64" t="s">
        <v>250</v>
      </c>
      <c r="L5" s="71" t="s">
        <v>263</v>
      </c>
      <c r="M5" s="76" t="s">
        <v>265</v>
      </c>
      <c r="O5" s="835"/>
      <c r="P5" s="842"/>
      <c r="Q5" s="843"/>
      <c r="R5" s="844"/>
      <c r="S5" s="848" t="s">
        <v>253</v>
      </c>
      <c r="T5" s="849"/>
      <c r="U5" s="849"/>
      <c r="V5" s="850"/>
      <c r="W5" s="842"/>
      <c r="X5" s="844"/>
      <c r="Y5" s="842"/>
      <c r="Z5" s="843"/>
      <c r="AA5" s="843"/>
      <c r="AB5" s="844"/>
    </row>
    <row r="6" spans="1:28" x14ac:dyDescent="0.25">
      <c r="A6" s="160" t="s">
        <v>73</v>
      </c>
      <c r="B6" s="190">
        <v>12</v>
      </c>
      <c r="C6" s="160" t="s">
        <v>238</v>
      </c>
      <c r="D6" s="120">
        <v>1</v>
      </c>
      <c r="E6" s="48">
        <v>140.53</v>
      </c>
      <c r="F6" s="48">
        <v>28.46</v>
      </c>
      <c r="G6" s="48" t="s">
        <v>62</v>
      </c>
      <c r="H6" s="48">
        <v>42.79</v>
      </c>
      <c r="I6" s="48">
        <v>394.56</v>
      </c>
      <c r="J6" s="48">
        <v>30.76</v>
      </c>
      <c r="K6" s="48">
        <v>637.1</v>
      </c>
      <c r="L6" s="51" t="s">
        <v>62</v>
      </c>
      <c r="M6" s="104" t="str">
        <f>IF(A6='Table 1.1 complete'!A6,"","sort code!")</f>
        <v/>
      </c>
      <c r="O6" s="52" t="s">
        <v>186</v>
      </c>
      <c r="P6" s="52" t="s">
        <v>187</v>
      </c>
      <c r="Q6" s="52" t="s">
        <v>188</v>
      </c>
      <c r="R6" s="70" t="s">
        <v>189</v>
      </c>
      <c r="S6" s="52" t="s">
        <v>201</v>
      </c>
      <c r="T6" s="52" t="s">
        <v>202</v>
      </c>
      <c r="U6" s="52" t="s">
        <v>203</v>
      </c>
      <c r="V6" s="70" t="s">
        <v>204</v>
      </c>
      <c r="W6" s="52" t="s">
        <v>205</v>
      </c>
      <c r="X6" s="52" t="s">
        <v>206</v>
      </c>
      <c r="Y6" s="52" t="s">
        <v>207</v>
      </c>
      <c r="Z6" s="52" t="s">
        <v>208</v>
      </c>
      <c r="AA6" s="52" t="s">
        <v>209</v>
      </c>
      <c r="AB6" s="52" t="s">
        <v>210</v>
      </c>
    </row>
    <row r="7" spans="1:28" x14ac:dyDescent="0.25">
      <c r="A7" s="165" t="s">
        <v>72</v>
      </c>
      <c r="B7" s="195">
        <v>11</v>
      </c>
      <c r="C7" s="165" t="s">
        <v>249</v>
      </c>
      <c r="D7" s="125">
        <v>2</v>
      </c>
      <c r="E7" s="45">
        <v>439.73</v>
      </c>
      <c r="F7" s="45">
        <v>63.66</v>
      </c>
      <c r="G7" s="45" t="s">
        <v>62</v>
      </c>
      <c r="H7" s="45">
        <v>4.59</v>
      </c>
      <c r="I7" s="45">
        <v>56.35</v>
      </c>
      <c r="J7" s="45">
        <v>5.51</v>
      </c>
      <c r="K7" s="45">
        <v>569.84</v>
      </c>
      <c r="L7" s="51" t="s">
        <v>62</v>
      </c>
      <c r="M7" s="103" t="str">
        <f>IF(A7='Table 1.1 complete'!A7,"","sort code!")</f>
        <v/>
      </c>
    </row>
    <row r="8" spans="1:28" s="1" customFormat="1" x14ac:dyDescent="0.25">
      <c r="A8" s="156" t="s">
        <v>67</v>
      </c>
      <c r="B8" s="186">
        <v>5</v>
      </c>
      <c r="C8" s="156" t="s">
        <v>229</v>
      </c>
      <c r="D8" s="116">
        <v>3</v>
      </c>
      <c r="E8" s="45" t="s">
        <v>62</v>
      </c>
      <c r="F8" s="45">
        <v>38.49</v>
      </c>
      <c r="G8" s="45">
        <v>0</v>
      </c>
      <c r="H8" s="45">
        <v>2.0499999999999998</v>
      </c>
      <c r="I8" s="45">
        <v>18.739999999999998</v>
      </c>
      <c r="J8" s="45">
        <v>4.1500000000000004</v>
      </c>
      <c r="K8" s="45">
        <v>63.43</v>
      </c>
      <c r="L8" s="77" t="s">
        <v>62</v>
      </c>
      <c r="M8" s="103" t="str">
        <f>IF(A8='Table 1.1 complete'!A8,"","sort code!")</f>
        <v/>
      </c>
    </row>
    <row r="9" spans="1:28" x14ac:dyDescent="0.25">
      <c r="A9" s="179" t="s">
        <v>89</v>
      </c>
      <c r="B9" s="210">
        <v>30</v>
      </c>
      <c r="C9" s="179" t="s">
        <v>246</v>
      </c>
      <c r="D9" s="138">
        <v>4</v>
      </c>
      <c r="E9" s="45">
        <v>27.93</v>
      </c>
      <c r="F9" s="45">
        <v>36.74</v>
      </c>
      <c r="G9" s="45" t="s">
        <v>62</v>
      </c>
      <c r="H9" s="45">
        <v>0.04</v>
      </c>
      <c r="I9" s="45">
        <v>0.94</v>
      </c>
      <c r="J9" s="45">
        <v>2.31</v>
      </c>
      <c r="K9" s="45">
        <v>67.95</v>
      </c>
      <c r="L9" s="51" t="s">
        <v>62</v>
      </c>
      <c r="M9" s="103" t="str">
        <f>IF(A9='Table 1.1 complete'!A9,"","sort code!")</f>
        <v/>
      </c>
    </row>
    <row r="10" spans="1:28" x14ac:dyDescent="0.25">
      <c r="A10" s="157" t="s">
        <v>68</v>
      </c>
      <c r="B10" s="187">
        <v>6</v>
      </c>
      <c r="C10" s="163" t="s">
        <v>236</v>
      </c>
      <c r="D10" s="123">
        <v>5</v>
      </c>
      <c r="E10" s="45">
        <v>48.23</v>
      </c>
      <c r="F10" s="45">
        <v>1.68</v>
      </c>
      <c r="G10" s="45" t="s">
        <v>62</v>
      </c>
      <c r="H10" s="45">
        <v>0.74</v>
      </c>
      <c r="I10" s="45">
        <v>34.53</v>
      </c>
      <c r="J10" s="45">
        <v>3.64</v>
      </c>
      <c r="K10" s="45">
        <v>88.82</v>
      </c>
      <c r="L10" s="51" t="s">
        <v>62</v>
      </c>
      <c r="M10" s="103" t="str">
        <f>IF(A10='Table 1.1 complete'!A10,"","sort code!")</f>
        <v/>
      </c>
    </row>
    <row r="11" spans="1:28" x14ac:dyDescent="0.25">
      <c r="A11" s="163" t="s">
        <v>70</v>
      </c>
      <c r="B11" s="193">
        <v>9</v>
      </c>
      <c r="C11" s="163" t="s">
        <v>236</v>
      </c>
      <c r="D11" s="123">
        <v>5</v>
      </c>
      <c r="E11" s="45" t="s">
        <v>62</v>
      </c>
      <c r="F11" s="45">
        <v>0.03</v>
      </c>
      <c r="G11" s="45" t="s">
        <v>62</v>
      </c>
      <c r="H11" s="45">
        <v>7.18</v>
      </c>
      <c r="I11" s="45">
        <v>28.09</v>
      </c>
      <c r="J11" s="45">
        <v>3.86</v>
      </c>
      <c r="K11" s="45">
        <v>39.15</v>
      </c>
      <c r="L11" s="51" t="s">
        <v>62</v>
      </c>
      <c r="M11" s="103" t="str">
        <f>IF(A11='Table 1.1 complete'!A11,"","sort code!")</f>
        <v/>
      </c>
    </row>
    <row r="12" spans="1:28" s="1" customFormat="1" x14ac:dyDescent="0.25">
      <c r="A12" s="163" t="s">
        <v>156</v>
      </c>
      <c r="B12" s="193">
        <v>128</v>
      </c>
      <c r="C12" s="163" t="s">
        <v>236</v>
      </c>
      <c r="D12" s="123">
        <v>5</v>
      </c>
      <c r="E12" s="45" t="s">
        <v>62</v>
      </c>
      <c r="F12" s="45">
        <v>0.02</v>
      </c>
      <c r="G12" s="45" t="s">
        <v>62</v>
      </c>
      <c r="H12" s="45">
        <v>0.09</v>
      </c>
      <c r="I12" s="45">
        <v>12.05</v>
      </c>
      <c r="J12" s="45">
        <v>0.03</v>
      </c>
      <c r="K12" s="45">
        <v>12.19</v>
      </c>
      <c r="L12" s="51" t="s">
        <v>62</v>
      </c>
      <c r="M12" s="103" t="str">
        <f>IF(A12='Table 1.1 complete'!A12,"","sort code!")</f>
        <v/>
      </c>
    </row>
    <row r="13" spans="1:28" x14ac:dyDescent="0.25">
      <c r="A13" s="163" t="s">
        <v>71</v>
      </c>
      <c r="B13" s="193">
        <v>10</v>
      </c>
      <c r="C13" s="163" t="s">
        <v>236</v>
      </c>
      <c r="D13" s="123">
        <v>5</v>
      </c>
      <c r="E13" s="45">
        <v>23.42</v>
      </c>
      <c r="F13" s="45">
        <v>14.18</v>
      </c>
      <c r="G13" s="45" t="s">
        <v>62</v>
      </c>
      <c r="H13" s="45">
        <v>0.57999999999999996</v>
      </c>
      <c r="I13" s="45">
        <v>32.97</v>
      </c>
      <c r="J13" s="45">
        <v>10.1</v>
      </c>
      <c r="K13" s="45">
        <v>81.25</v>
      </c>
      <c r="L13" s="51" t="s">
        <v>62</v>
      </c>
      <c r="M13" s="103" t="str">
        <f>IF(A13='Table 1.1 complete'!A13,"","sort code!")</f>
        <v/>
      </c>
    </row>
    <row r="14" spans="1:28" x14ac:dyDescent="0.25">
      <c r="A14" s="261" t="s">
        <v>306</v>
      </c>
      <c r="B14" s="262">
        <v>119</v>
      </c>
      <c r="C14" s="163" t="s">
        <v>236</v>
      </c>
      <c r="D14" s="123">
        <v>5</v>
      </c>
      <c r="E14" s="235" t="s">
        <v>62</v>
      </c>
      <c r="F14" s="235" t="s">
        <v>62</v>
      </c>
      <c r="G14" s="235" t="s">
        <v>62</v>
      </c>
      <c r="H14" s="235" t="s">
        <v>62</v>
      </c>
      <c r="I14" s="235">
        <v>0.16</v>
      </c>
      <c r="J14" s="235" t="s">
        <v>62</v>
      </c>
      <c r="K14" s="235">
        <v>0.16</v>
      </c>
      <c r="L14" s="234" t="s">
        <v>305</v>
      </c>
      <c r="M14" s="103" t="str">
        <f>IF(A14='Table 1.1 complete'!A14,"","sort code!")</f>
        <v/>
      </c>
    </row>
    <row r="15" spans="1:28" x14ac:dyDescent="0.25">
      <c r="A15" s="180" t="s">
        <v>77</v>
      </c>
      <c r="B15" s="211">
        <v>16</v>
      </c>
      <c r="C15" s="163" t="s">
        <v>236</v>
      </c>
      <c r="D15" s="123">
        <v>5</v>
      </c>
      <c r="E15" s="45" t="s">
        <v>62</v>
      </c>
      <c r="F15" s="45">
        <v>1.02</v>
      </c>
      <c r="G15" s="45" t="s">
        <v>62</v>
      </c>
      <c r="H15" s="45">
        <v>1.96</v>
      </c>
      <c r="I15" s="45">
        <v>25.12</v>
      </c>
      <c r="J15" s="45">
        <v>0.13</v>
      </c>
      <c r="K15" s="45">
        <v>28.23</v>
      </c>
      <c r="L15" s="51" t="s">
        <v>62</v>
      </c>
      <c r="M15" s="103" t="str">
        <f>IF(A15='Table 1.1 complete'!A15,"","sort code!")</f>
        <v/>
      </c>
    </row>
    <row r="16" spans="1:28" x14ac:dyDescent="0.25">
      <c r="A16" s="163" t="s">
        <v>160</v>
      </c>
      <c r="B16" s="193">
        <v>132</v>
      </c>
      <c r="C16" s="163" t="s">
        <v>236</v>
      </c>
      <c r="D16" s="123">
        <v>5</v>
      </c>
      <c r="E16" s="45" t="s">
        <v>62</v>
      </c>
      <c r="F16" s="45">
        <v>2.73</v>
      </c>
      <c r="G16" s="45" t="s">
        <v>62</v>
      </c>
      <c r="H16" s="45">
        <v>0.05</v>
      </c>
      <c r="I16" s="45">
        <v>1.94</v>
      </c>
      <c r="J16" s="45">
        <v>0.04</v>
      </c>
      <c r="K16" s="45">
        <v>4.7699999999999996</v>
      </c>
      <c r="L16" s="51" t="s">
        <v>62</v>
      </c>
      <c r="M16" s="103" t="str">
        <f>IF(A16='Table 1.1 complete'!A16,"","sort code!")</f>
        <v/>
      </c>
    </row>
    <row r="17" spans="1:13" x14ac:dyDescent="0.25">
      <c r="A17" s="163" t="s">
        <v>161</v>
      </c>
      <c r="B17" s="193">
        <v>133</v>
      </c>
      <c r="C17" s="163" t="s">
        <v>236</v>
      </c>
      <c r="D17" s="123">
        <v>5</v>
      </c>
      <c r="E17" s="45">
        <v>9.83</v>
      </c>
      <c r="F17" s="45">
        <v>0.96</v>
      </c>
      <c r="G17" s="45" t="s">
        <v>62</v>
      </c>
      <c r="H17" s="45">
        <v>0.34</v>
      </c>
      <c r="I17" s="45">
        <v>2.83</v>
      </c>
      <c r="J17" s="45">
        <v>0.05</v>
      </c>
      <c r="K17" s="45">
        <v>14.01</v>
      </c>
      <c r="L17" s="51" t="s">
        <v>62</v>
      </c>
      <c r="M17" s="103" t="str">
        <f>IF(A17='Table 1.1 complete'!A17,"","sort code!")</f>
        <v/>
      </c>
    </row>
    <row r="18" spans="1:13" s="1" customFormat="1" x14ac:dyDescent="0.25">
      <c r="A18" s="157" t="s">
        <v>81</v>
      </c>
      <c r="B18" s="187">
        <v>20</v>
      </c>
      <c r="C18" s="163" t="s">
        <v>236</v>
      </c>
      <c r="D18" s="123">
        <v>5</v>
      </c>
      <c r="E18" s="45" t="s">
        <v>62</v>
      </c>
      <c r="F18" s="45">
        <v>0.92</v>
      </c>
      <c r="G18" s="45" t="s">
        <v>62</v>
      </c>
      <c r="H18" s="45">
        <v>0.09</v>
      </c>
      <c r="I18" s="45">
        <v>2.9</v>
      </c>
      <c r="J18" s="45">
        <v>0.1</v>
      </c>
      <c r="K18" s="45">
        <v>4</v>
      </c>
      <c r="L18" s="51" t="s">
        <v>62</v>
      </c>
      <c r="M18" s="103" t="str">
        <f>IF(A18='Table 1.1 complete'!A18,"","sort code!")</f>
        <v/>
      </c>
    </row>
    <row r="19" spans="1:13" x14ac:dyDescent="0.25">
      <c r="A19" s="157" t="s">
        <v>83</v>
      </c>
      <c r="B19" s="187">
        <v>22</v>
      </c>
      <c r="C19" s="163" t="s">
        <v>236</v>
      </c>
      <c r="D19" s="123">
        <v>5</v>
      </c>
      <c r="E19" s="45">
        <v>4.2</v>
      </c>
      <c r="F19" s="45">
        <v>0.11</v>
      </c>
      <c r="G19" s="45" t="s">
        <v>62</v>
      </c>
      <c r="H19" s="45">
        <v>3.65</v>
      </c>
      <c r="I19" s="45">
        <v>89.72</v>
      </c>
      <c r="J19" s="45">
        <v>5.57</v>
      </c>
      <c r="K19" s="45">
        <v>103.24</v>
      </c>
      <c r="L19" s="51" t="s">
        <v>62</v>
      </c>
      <c r="M19" s="103" t="str">
        <f>IF(A19='Table 1.1 complete'!A19,"","sort code!")</f>
        <v/>
      </c>
    </row>
    <row r="20" spans="1:13" x14ac:dyDescent="0.25">
      <c r="A20" s="163" t="s">
        <v>88</v>
      </c>
      <c r="B20" s="193">
        <v>29</v>
      </c>
      <c r="C20" s="163" t="s">
        <v>236</v>
      </c>
      <c r="D20" s="123">
        <v>5</v>
      </c>
      <c r="E20" s="45">
        <v>66.97</v>
      </c>
      <c r="F20" s="45">
        <v>66.19</v>
      </c>
      <c r="G20" s="45" t="s">
        <v>62</v>
      </c>
      <c r="H20" s="45">
        <v>1.43</v>
      </c>
      <c r="I20" s="45">
        <v>3.61</v>
      </c>
      <c r="J20" s="45">
        <v>10.66</v>
      </c>
      <c r="K20" s="45">
        <v>148.85</v>
      </c>
      <c r="L20" s="51" t="s">
        <v>62</v>
      </c>
      <c r="M20" s="103" t="str">
        <f>IF(A20='Table 1.1 complete'!A20,"","sort code!")</f>
        <v/>
      </c>
    </row>
    <row r="21" spans="1:13" x14ac:dyDescent="0.25">
      <c r="A21" s="180" t="s">
        <v>96</v>
      </c>
      <c r="B21" s="211">
        <v>32</v>
      </c>
      <c r="C21" s="163" t="s">
        <v>236</v>
      </c>
      <c r="D21" s="123">
        <v>5</v>
      </c>
      <c r="E21" s="45">
        <v>63.03</v>
      </c>
      <c r="F21" s="45">
        <v>8.9499999999999993</v>
      </c>
      <c r="G21" s="45" t="s">
        <v>62</v>
      </c>
      <c r="H21" s="45">
        <v>5.29</v>
      </c>
      <c r="I21" s="45">
        <v>307.49</v>
      </c>
      <c r="J21" s="45">
        <v>11.4</v>
      </c>
      <c r="K21" s="45">
        <v>396.14</v>
      </c>
      <c r="L21" s="51" t="s">
        <v>62</v>
      </c>
      <c r="M21" s="103" t="str">
        <f>IF(A21='Table 1.1 complete'!A21,"","sort code!")</f>
        <v/>
      </c>
    </row>
    <row r="22" spans="1:13" x14ac:dyDescent="0.25">
      <c r="A22" s="164" t="s">
        <v>142</v>
      </c>
      <c r="B22" s="194">
        <v>116</v>
      </c>
      <c r="C22" s="164" t="s">
        <v>235</v>
      </c>
      <c r="D22" s="124">
        <v>6</v>
      </c>
      <c r="E22" s="49" t="s">
        <v>62</v>
      </c>
      <c r="F22" s="49">
        <v>4.4000000000000004</v>
      </c>
      <c r="G22" s="49" t="s">
        <v>62</v>
      </c>
      <c r="H22" s="49">
        <v>0.04</v>
      </c>
      <c r="I22" s="49">
        <v>7.8</v>
      </c>
      <c r="J22" s="49">
        <v>0.01</v>
      </c>
      <c r="K22" s="49">
        <v>12.25</v>
      </c>
      <c r="L22" s="51" t="s">
        <v>62</v>
      </c>
      <c r="M22" s="103" t="str">
        <f>IF(A22='Table 1.1 complete'!A22,"","sort code!")</f>
        <v/>
      </c>
    </row>
    <row r="23" spans="1:13" x14ac:dyDescent="0.25">
      <c r="A23" s="164" t="s">
        <v>143</v>
      </c>
      <c r="B23" s="194">
        <v>117</v>
      </c>
      <c r="C23" s="164" t="s">
        <v>235</v>
      </c>
      <c r="D23" s="124">
        <v>6</v>
      </c>
      <c r="E23" s="49" t="s">
        <v>62</v>
      </c>
      <c r="F23" s="49" t="s">
        <v>62</v>
      </c>
      <c r="G23" s="49" t="s">
        <v>62</v>
      </c>
      <c r="H23" s="49">
        <v>0</v>
      </c>
      <c r="I23" s="49">
        <v>4.87</v>
      </c>
      <c r="J23" s="49" t="s">
        <v>62</v>
      </c>
      <c r="K23" s="49">
        <v>4.87</v>
      </c>
      <c r="L23" s="51" t="s">
        <v>62</v>
      </c>
      <c r="M23" s="103" t="str">
        <f>IF(A23='Table 1.1 complete'!A23,"","sort code!")</f>
        <v/>
      </c>
    </row>
    <row r="24" spans="1:13" x14ac:dyDescent="0.25">
      <c r="A24" s="164" t="s">
        <v>74</v>
      </c>
      <c r="B24" s="194">
        <v>13</v>
      </c>
      <c r="C24" s="164" t="s">
        <v>235</v>
      </c>
      <c r="D24" s="124">
        <v>6</v>
      </c>
      <c r="E24" s="45" t="s">
        <v>62</v>
      </c>
      <c r="F24" s="45">
        <v>3.38</v>
      </c>
      <c r="G24" s="45" t="s">
        <v>62</v>
      </c>
      <c r="H24" s="45">
        <v>1.82</v>
      </c>
      <c r="I24" s="45">
        <v>58.09</v>
      </c>
      <c r="J24" s="45">
        <v>0.21</v>
      </c>
      <c r="K24" s="45">
        <v>63.5</v>
      </c>
      <c r="L24" s="78" t="s">
        <v>62</v>
      </c>
      <c r="M24" s="103" t="str">
        <f>IF(A24='Table 1.1 complete'!A24,"","sort code!")</f>
        <v/>
      </c>
    </row>
    <row r="25" spans="1:13" x14ac:dyDescent="0.25">
      <c r="A25" s="164" t="s">
        <v>78</v>
      </c>
      <c r="B25" s="194">
        <v>17</v>
      </c>
      <c r="C25" s="164" t="s">
        <v>235</v>
      </c>
      <c r="D25" s="124">
        <v>6</v>
      </c>
      <c r="E25" s="45" t="s">
        <v>62</v>
      </c>
      <c r="F25" s="45">
        <v>38.479999999999997</v>
      </c>
      <c r="G25" s="45">
        <v>5.57</v>
      </c>
      <c r="H25" s="45">
        <v>5.09</v>
      </c>
      <c r="I25" s="45">
        <v>257.79000000000002</v>
      </c>
      <c r="J25" s="45">
        <v>6.95</v>
      </c>
      <c r="K25" s="45">
        <v>313.89</v>
      </c>
      <c r="L25" s="51" t="s">
        <v>62</v>
      </c>
      <c r="M25" s="103" t="str">
        <f>IF(A25='Table 1.1 complete'!A25,"","sort code!")</f>
        <v/>
      </c>
    </row>
    <row r="26" spans="1:13" x14ac:dyDescent="0.25">
      <c r="A26" s="164" t="s">
        <v>148</v>
      </c>
      <c r="B26" s="194">
        <v>120</v>
      </c>
      <c r="C26" s="164" t="s">
        <v>235</v>
      </c>
      <c r="D26" s="124">
        <v>6</v>
      </c>
      <c r="E26" s="45" t="s">
        <v>62</v>
      </c>
      <c r="F26" s="45" t="s">
        <v>62</v>
      </c>
      <c r="G26" s="45" t="s">
        <v>62</v>
      </c>
      <c r="H26" s="45" t="s">
        <v>62</v>
      </c>
      <c r="I26" s="45">
        <v>2.2999999999999998</v>
      </c>
      <c r="J26" s="45" t="s">
        <v>62</v>
      </c>
      <c r="K26" s="45">
        <v>2.2999999999999998</v>
      </c>
      <c r="L26" s="51" t="s">
        <v>62</v>
      </c>
      <c r="M26" s="103" t="str">
        <f>IF(A26='Table 1.1 complete'!A26,"","sort code!")</f>
        <v/>
      </c>
    </row>
    <row r="27" spans="1:13" x14ac:dyDescent="0.25">
      <c r="A27" s="164" t="s">
        <v>86</v>
      </c>
      <c r="B27" s="194">
        <v>26</v>
      </c>
      <c r="C27" s="164" t="s">
        <v>235</v>
      </c>
      <c r="D27" s="124">
        <v>6</v>
      </c>
      <c r="E27" s="45" t="s">
        <v>62</v>
      </c>
      <c r="F27" s="45">
        <v>10.45</v>
      </c>
      <c r="G27" s="45">
        <v>0.2</v>
      </c>
      <c r="H27" s="45">
        <v>4.0599999999999996</v>
      </c>
      <c r="I27" s="45">
        <v>30.39</v>
      </c>
      <c r="J27" s="45">
        <v>2.15</v>
      </c>
      <c r="K27" s="45">
        <v>47.25</v>
      </c>
      <c r="L27" s="51" t="s">
        <v>62</v>
      </c>
      <c r="M27" s="103" t="str">
        <f>IF(A27='Table 1.1 complete'!A27,"","sort code!")</f>
        <v/>
      </c>
    </row>
    <row r="28" spans="1:13" s="1" customFormat="1" x14ac:dyDescent="0.25">
      <c r="A28" s="164" t="s">
        <v>151</v>
      </c>
      <c r="B28" s="194">
        <v>123</v>
      </c>
      <c r="C28" s="164" t="s">
        <v>235</v>
      </c>
      <c r="D28" s="124">
        <v>6</v>
      </c>
      <c r="E28" s="45">
        <v>5.7</v>
      </c>
      <c r="F28" s="45">
        <v>3.27</v>
      </c>
      <c r="G28" s="45" t="s">
        <v>62</v>
      </c>
      <c r="H28" s="45" t="s">
        <v>62</v>
      </c>
      <c r="I28" s="45">
        <v>5.97</v>
      </c>
      <c r="J28" s="45">
        <v>0.12</v>
      </c>
      <c r="K28" s="45">
        <v>15.04</v>
      </c>
      <c r="L28" s="51" t="s">
        <v>62</v>
      </c>
      <c r="M28" s="103" t="str">
        <f>IF(A28='Table 1.1 complete'!A28,"","sort code!")</f>
        <v/>
      </c>
    </row>
    <row r="29" spans="1:13" x14ac:dyDescent="0.25">
      <c r="A29" s="164" t="s">
        <v>87</v>
      </c>
      <c r="B29" s="194">
        <v>28</v>
      </c>
      <c r="C29" s="164" t="s">
        <v>235</v>
      </c>
      <c r="D29" s="124">
        <v>6</v>
      </c>
      <c r="E29" s="45">
        <v>55.1</v>
      </c>
      <c r="F29" s="45">
        <v>30.81</v>
      </c>
      <c r="G29" s="45" t="s">
        <v>62</v>
      </c>
      <c r="H29" s="45">
        <v>28.34</v>
      </c>
      <c r="I29" s="45">
        <v>185.41</v>
      </c>
      <c r="J29" s="45">
        <v>3.64</v>
      </c>
      <c r="K29" s="45">
        <v>303.29000000000002</v>
      </c>
      <c r="L29" s="51" t="s">
        <v>62</v>
      </c>
      <c r="M29" s="103" t="str">
        <f>IF(A29='Table 1.1 complete'!A29,"","sort code!")</f>
        <v/>
      </c>
    </row>
    <row r="30" spans="1:13" x14ac:dyDescent="0.25">
      <c r="A30" s="162" t="s">
        <v>141</v>
      </c>
      <c r="B30" s="192">
        <v>115</v>
      </c>
      <c r="C30" s="162" t="s">
        <v>233</v>
      </c>
      <c r="D30" s="122">
        <v>7</v>
      </c>
      <c r="E30" s="49">
        <v>14.64</v>
      </c>
      <c r="F30" s="49">
        <v>3.23</v>
      </c>
      <c r="G30" s="49" t="s">
        <v>62</v>
      </c>
      <c r="H30" s="49">
        <v>0.05</v>
      </c>
      <c r="I30" s="49">
        <v>25.37</v>
      </c>
      <c r="J30" s="49">
        <v>0.01</v>
      </c>
      <c r="K30" s="49">
        <v>43.3</v>
      </c>
      <c r="L30" s="51" t="s">
        <v>62</v>
      </c>
      <c r="M30" s="103" t="str">
        <f>IF(A30='Table 1.1 complete'!A30,"","sort code!")</f>
        <v/>
      </c>
    </row>
    <row r="31" spans="1:13" x14ac:dyDescent="0.25">
      <c r="A31" s="162" t="s">
        <v>93</v>
      </c>
      <c r="B31" s="192">
        <v>8</v>
      </c>
      <c r="C31" s="162" t="s">
        <v>233</v>
      </c>
      <c r="D31" s="122">
        <v>7</v>
      </c>
      <c r="E31" s="45">
        <v>26.17</v>
      </c>
      <c r="F31" s="45">
        <v>2.52</v>
      </c>
      <c r="G31" s="45" t="s">
        <v>62</v>
      </c>
      <c r="H31" s="45">
        <v>0.13</v>
      </c>
      <c r="I31" s="45">
        <v>58.17</v>
      </c>
      <c r="J31" s="45">
        <v>1.2</v>
      </c>
      <c r="K31" s="45">
        <v>88.2</v>
      </c>
      <c r="L31" s="51" t="s">
        <v>62</v>
      </c>
      <c r="M31" s="103" t="str">
        <f>IF(A31='Table 1.1 complete'!A31,"","sort code!")</f>
        <v/>
      </c>
    </row>
    <row r="32" spans="1:13" x14ac:dyDescent="0.25">
      <c r="A32" s="162" t="s">
        <v>75</v>
      </c>
      <c r="B32" s="192">
        <v>14</v>
      </c>
      <c r="C32" s="162" t="s">
        <v>233</v>
      </c>
      <c r="D32" s="122">
        <v>7</v>
      </c>
      <c r="E32" s="45">
        <v>14.68</v>
      </c>
      <c r="F32" s="45">
        <v>0.21</v>
      </c>
      <c r="G32" s="45" t="s">
        <v>62</v>
      </c>
      <c r="H32" s="45">
        <v>0.11</v>
      </c>
      <c r="I32" s="45">
        <v>23.25</v>
      </c>
      <c r="J32" s="45">
        <v>1.71</v>
      </c>
      <c r="K32" s="45">
        <v>39.96</v>
      </c>
      <c r="L32" s="51" t="s">
        <v>62</v>
      </c>
      <c r="M32" s="103" t="str">
        <f>IF(A32='Table 1.1 complete'!A32,"","sort code!")</f>
        <v/>
      </c>
    </row>
    <row r="33" spans="1:13" x14ac:dyDescent="0.25">
      <c r="A33" s="162" t="s">
        <v>85</v>
      </c>
      <c r="B33" s="192">
        <v>25</v>
      </c>
      <c r="C33" s="162" t="s">
        <v>233</v>
      </c>
      <c r="D33" s="122">
        <v>7</v>
      </c>
      <c r="E33" s="45" t="s">
        <v>62</v>
      </c>
      <c r="F33" s="45">
        <v>2.94</v>
      </c>
      <c r="G33" s="45" t="s">
        <v>62</v>
      </c>
      <c r="H33" s="45">
        <v>0.52</v>
      </c>
      <c r="I33" s="45">
        <v>153</v>
      </c>
      <c r="J33" s="45">
        <v>2.89</v>
      </c>
      <c r="K33" s="45">
        <v>159.35</v>
      </c>
      <c r="L33" s="51" t="s">
        <v>62</v>
      </c>
      <c r="M33" s="103" t="str">
        <f>IF(A33='Table 1.1 complete'!A33,"","sort code!")</f>
        <v/>
      </c>
    </row>
    <row r="34" spans="1:13" x14ac:dyDescent="0.25">
      <c r="A34" s="162" t="s">
        <v>149</v>
      </c>
      <c r="B34" s="192">
        <v>121</v>
      </c>
      <c r="C34" s="162" t="s">
        <v>233</v>
      </c>
      <c r="D34" s="122">
        <v>7</v>
      </c>
      <c r="E34" s="45">
        <v>7.71</v>
      </c>
      <c r="F34" s="45">
        <v>15.97</v>
      </c>
      <c r="G34" s="45" t="s">
        <v>62</v>
      </c>
      <c r="H34" s="45">
        <v>0</v>
      </c>
      <c r="I34" s="45">
        <v>37.96</v>
      </c>
      <c r="J34" s="45">
        <v>0.04</v>
      </c>
      <c r="K34" s="45">
        <v>61.67</v>
      </c>
      <c r="L34" s="51" t="s">
        <v>62</v>
      </c>
      <c r="M34" s="103" t="str">
        <f>IF(A34='Table 1.1 complete'!A34,"","sort code!")</f>
        <v/>
      </c>
    </row>
    <row r="35" spans="1:13" x14ac:dyDescent="0.25">
      <c r="A35" s="162" t="s">
        <v>95</v>
      </c>
      <c r="B35" s="192">
        <v>27</v>
      </c>
      <c r="C35" s="162" t="s">
        <v>233</v>
      </c>
      <c r="D35" s="122">
        <v>7</v>
      </c>
      <c r="E35" s="45">
        <v>15.33</v>
      </c>
      <c r="F35" s="45">
        <v>4.62</v>
      </c>
      <c r="G35" s="45" t="s">
        <v>62</v>
      </c>
      <c r="H35" s="45">
        <v>0.06</v>
      </c>
      <c r="I35" s="45">
        <v>7.55</v>
      </c>
      <c r="J35" s="45">
        <v>0.5</v>
      </c>
      <c r="K35" s="45">
        <v>28.06</v>
      </c>
      <c r="L35" s="51" t="s">
        <v>62</v>
      </c>
      <c r="M35" s="103" t="str">
        <f>IF(A35='Table 1.1 complete'!A35,"","sort code!")</f>
        <v/>
      </c>
    </row>
    <row r="36" spans="1:13" x14ac:dyDescent="0.25">
      <c r="A36" s="170" t="s">
        <v>66</v>
      </c>
      <c r="B36" s="201">
        <v>4</v>
      </c>
      <c r="C36" s="99" t="s">
        <v>420</v>
      </c>
      <c r="D36" s="130">
        <v>8</v>
      </c>
      <c r="E36" s="45" t="s">
        <v>62</v>
      </c>
      <c r="F36" s="45">
        <v>14.72</v>
      </c>
      <c r="G36" s="45" t="s">
        <v>62</v>
      </c>
      <c r="H36" s="45">
        <v>2.62</v>
      </c>
      <c r="I36" s="45">
        <v>235.59</v>
      </c>
      <c r="J36" s="45">
        <v>2.0299999999999998</v>
      </c>
      <c r="K36" s="45">
        <v>254.97</v>
      </c>
      <c r="L36" s="51" t="s">
        <v>62</v>
      </c>
      <c r="M36" s="103" t="str">
        <f>IF(A36='Table 1.1 complete'!A36,"","sort code!")</f>
        <v/>
      </c>
    </row>
    <row r="37" spans="1:13" s="1" customFormat="1" x14ac:dyDescent="0.25">
      <c r="A37" s="168" t="s">
        <v>69</v>
      </c>
      <c r="B37" s="199">
        <v>7</v>
      </c>
      <c r="C37" s="99" t="s">
        <v>420</v>
      </c>
      <c r="D37" s="128">
        <v>8</v>
      </c>
      <c r="E37" s="45">
        <v>93.49</v>
      </c>
      <c r="F37" s="45">
        <v>368.52</v>
      </c>
      <c r="G37" s="45" t="s">
        <v>62</v>
      </c>
      <c r="H37" s="45">
        <v>3.08</v>
      </c>
      <c r="I37" s="45">
        <v>166.3</v>
      </c>
      <c r="J37" s="45">
        <v>8.4600000000000009</v>
      </c>
      <c r="K37" s="45">
        <v>639.84</v>
      </c>
      <c r="L37" s="51" t="s">
        <v>62</v>
      </c>
      <c r="M37" s="103" t="str">
        <f>IF(A37='Table 1.1 complete'!A37,"","sort code!")</f>
        <v/>
      </c>
    </row>
    <row r="38" spans="1:13" x14ac:dyDescent="0.25">
      <c r="A38" s="161" t="s">
        <v>76</v>
      </c>
      <c r="B38" s="191">
        <v>15</v>
      </c>
      <c r="C38" s="161" t="s">
        <v>420</v>
      </c>
      <c r="D38" s="121">
        <v>8</v>
      </c>
      <c r="E38" s="45" t="s">
        <v>62</v>
      </c>
      <c r="F38" s="45">
        <v>8.39</v>
      </c>
      <c r="G38" s="45">
        <v>3.58</v>
      </c>
      <c r="H38" s="45" t="s">
        <v>62</v>
      </c>
      <c r="I38" s="45">
        <v>0</v>
      </c>
      <c r="J38" s="45">
        <v>0</v>
      </c>
      <c r="K38" s="45">
        <v>11.98</v>
      </c>
      <c r="L38" s="51" t="s">
        <v>62</v>
      </c>
      <c r="M38" s="103" t="str">
        <f>IF(A38='Table 1.1 complete'!A38,"","sort code!")</f>
        <v/>
      </c>
    </row>
    <row r="39" spans="1:13" s="1" customFormat="1" x14ac:dyDescent="0.25">
      <c r="A39" s="99" t="s">
        <v>79</v>
      </c>
      <c r="B39" s="197">
        <v>18</v>
      </c>
      <c r="C39" s="99" t="s">
        <v>420</v>
      </c>
      <c r="D39" s="100">
        <v>8</v>
      </c>
      <c r="E39" s="45">
        <v>263.83</v>
      </c>
      <c r="F39" s="45">
        <v>84.23</v>
      </c>
      <c r="G39" s="45">
        <v>3.04</v>
      </c>
      <c r="H39" s="45">
        <v>2.63</v>
      </c>
      <c r="I39" s="45">
        <v>756.95</v>
      </c>
      <c r="J39" s="45">
        <v>23.02</v>
      </c>
      <c r="K39" s="45">
        <v>1133.71</v>
      </c>
      <c r="L39" s="51" t="s">
        <v>62</v>
      </c>
      <c r="M39" s="103" t="str">
        <f>IF(A39='Table 1.1 complete'!A39,"","sort code!")</f>
        <v/>
      </c>
    </row>
    <row r="40" spans="1:13" s="1" customFormat="1" x14ac:dyDescent="0.25">
      <c r="A40" s="99" t="s">
        <v>80</v>
      </c>
      <c r="B40" s="197">
        <v>19</v>
      </c>
      <c r="C40" s="99" t="s">
        <v>420</v>
      </c>
      <c r="D40" s="100">
        <v>8</v>
      </c>
      <c r="E40" s="45">
        <v>142.94</v>
      </c>
      <c r="F40" s="45">
        <v>5.04</v>
      </c>
      <c r="G40" s="45" t="s">
        <v>62</v>
      </c>
      <c r="H40" s="45">
        <v>0.52</v>
      </c>
      <c r="I40" s="45">
        <v>278.25</v>
      </c>
      <c r="J40" s="45">
        <v>0.56999999999999995</v>
      </c>
      <c r="K40" s="45">
        <v>427.32</v>
      </c>
      <c r="L40" s="51" t="s">
        <v>62</v>
      </c>
      <c r="M40" s="103" t="str">
        <f>IF(A40='Table 1.1 complete'!A40,"","sort code!")</f>
        <v/>
      </c>
    </row>
    <row r="41" spans="1:13" x14ac:dyDescent="0.25">
      <c r="A41" s="168" t="s">
        <v>82</v>
      </c>
      <c r="B41" s="199">
        <v>21</v>
      </c>
      <c r="C41" s="99" t="s">
        <v>420</v>
      </c>
      <c r="D41" s="128">
        <v>8</v>
      </c>
      <c r="E41" s="45">
        <v>10.42</v>
      </c>
      <c r="F41" s="45">
        <v>27.28</v>
      </c>
      <c r="G41" s="45">
        <v>7.4</v>
      </c>
      <c r="H41" s="45">
        <v>0.27</v>
      </c>
      <c r="I41" s="45">
        <v>209.43</v>
      </c>
      <c r="J41" s="45">
        <v>2.66</v>
      </c>
      <c r="K41" s="45">
        <v>257.45999999999998</v>
      </c>
      <c r="L41" s="51" t="s">
        <v>62</v>
      </c>
      <c r="M41" s="103" t="str">
        <f>IF(A41='Table 1.1 complete'!A41,"","sort code!")</f>
        <v/>
      </c>
    </row>
    <row r="42" spans="1:13" s="1" customFormat="1" x14ac:dyDescent="0.25">
      <c r="A42" s="855" t="s">
        <v>94</v>
      </c>
      <c r="B42" s="856">
        <v>23</v>
      </c>
      <c r="C42" s="857" t="s">
        <v>420</v>
      </c>
      <c r="D42" s="859">
        <v>8</v>
      </c>
      <c r="E42" s="91" t="s">
        <v>62</v>
      </c>
      <c r="F42" s="45">
        <v>23.52</v>
      </c>
      <c r="G42" s="45">
        <v>3.46</v>
      </c>
      <c r="H42" s="45">
        <v>0.98</v>
      </c>
      <c r="I42" s="45">
        <v>15.11</v>
      </c>
      <c r="J42" s="45">
        <v>0.78</v>
      </c>
      <c r="K42" s="45">
        <v>43.85</v>
      </c>
      <c r="L42" s="51" t="s">
        <v>62</v>
      </c>
      <c r="M42" s="103" t="str">
        <f>IF(A42='Table 1.1 complete'!A42,"","sort code!")</f>
        <v/>
      </c>
    </row>
    <row r="43" spans="1:13" x14ac:dyDescent="0.25">
      <c r="A43" s="161" t="s">
        <v>84</v>
      </c>
      <c r="B43" s="191">
        <v>24</v>
      </c>
      <c r="C43" s="161" t="s">
        <v>420</v>
      </c>
      <c r="D43" s="121">
        <v>8</v>
      </c>
      <c r="E43" s="45" t="s">
        <v>62</v>
      </c>
      <c r="F43" s="48">
        <v>135.05000000000001</v>
      </c>
      <c r="G43" s="48" t="s">
        <v>62</v>
      </c>
      <c r="H43" s="48">
        <v>1.08</v>
      </c>
      <c r="I43" s="48">
        <v>0.9</v>
      </c>
      <c r="J43" s="48">
        <v>0.44</v>
      </c>
      <c r="K43" s="48">
        <v>137.47</v>
      </c>
      <c r="L43" s="51" t="s">
        <v>62</v>
      </c>
      <c r="M43" s="103" t="str">
        <f>IF(A43='Table 1.1 complete'!A43,"","sort code!")</f>
        <v/>
      </c>
    </row>
    <row r="44" spans="1:13" x14ac:dyDescent="0.25">
      <c r="A44" s="181" t="s">
        <v>97</v>
      </c>
      <c r="B44" s="212">
        <v>33</v>
      </c>
      <c r="C44" s="181" t="s">
        <v>247</v>
      </c>
      <c r="D44" s="140">
        <v>9</v>
      </c>
      <c r="E44" s="45">
        <v>836.63</v>
      </c>
      <c r="F44" s="45">
        <v>275.55</v>
      </c>
      <c r="G44" s="45">
        <v>16.8</v>
      </c>
      <c r="H44" s="45">
        <v>36.44</v>
      </c>
      <c r="I44" s="45">
        <v>3111.79</v>
      </c>
      <c r="J44" s="45">
        <v>71.650000000000006</v>
      </c>
      <c r="K44" s="45">
        <v>4348.8599999999997</v>
      </c>
      <c r="L44" s="51" t="s">
        <v>62</v>
      </c>
      <c r="M44" s="103" t="str">
        <f>IF(A44='Table 1.1 complete'!A44,"","sort code!")</f>
        <v/>
      </c>
    </row>
    <row r="45" spans="1:13" s="1" customFormat="1" x14ac:dyDescent="0.25">
      <c r="A45" s="158" t="s">
        <v>36</v>
      </c>
      <c r="B45" s="188">
        <v>69</v>
      </c>
      <c r="C45" s="158" t="s">
        <v>232</v>
      </c>
      <c r="D45" s="118">
        <v>10</v>
      </c>
      <c r="E45" s="45">
        <v>12.35</v>
      </c>
      <c r="F45" s="45">
        <v>374.02</v>
      </c>
      <c r="G45" s="45" t="s">
        <v>62</v>
      </c>
      <c r="H45" s="45">
        <v>2</v>
      </c>
      <c r="I45" s="45">
        <v>39.380000000000003</v>
      </c>
      <c r="J45" s="45">
        <v>17.399999999999999</v>
      </c>
      <c r="K45" s="45">
        <v>445.14</v>
      </c>
      <c r="L45" s="51" t="s">
        <v>62</v>
      </c>
      <c r="M45" s="103" t="str">
        <f>IF(A45='Table 1.1 complete'!A45,"","sort code!")</f>
        <v/>
      </c>
    </row>
    <row r="46" spans="1:13" x14ac:dyDescent="0.25">
      <c r="A46" s="178" t="s">
        <v>163</v>
      </c>
      <c r="B46" s="209">
        <v>135</v>
      </c>
      <c r="C46" s="178" t="s">
        <v>244</v>
      </c>
      <c r="D46" s="137">
        <v>11</v>
      </c>
      <c r="E46" s="45">
        <v>160.04</v>
      </c>
      <c r="F46" s="45">
        <v>178.98</v>
      </c>
      <c r="G46" s="45">
        <v>0.49</v>
      </c>
      <c r="H46" s="45">
        <v>0.01</v>
      </c>
      <c r="I46" s="45">
        <v>673.82</v>
      </c>
      <c r="J46" s="45">
        <v>2</v>
      </c>
      <c r="K46" s="45">
        <v>1015.33</v>
      </c>
      <c r="L46" s="51" t="s">
        <v>62</v>
      </c>
      <c r="M46" s="103" t="str">
        <f>IF(A46='Table 1.1 complete'!A46,"","sort code!")</f>
        <v/>
      </c>
    </row>
    <row r="47" spans="1:13" x14ac:dyDescent="0.25">
      <c r="A47" s="166" t="s">
        <v>120</v>
      </c>
      <c r="B47" s="196">
        <v>94</v>
      </c>
      <c r="C47" s="166" t="s">
        <v>241</v>
      </c>
      <c r="D47" s="126">
        <v>12</v>
      </c>
      <c r="E47" s="45">
        <v>16.78</v>
      </c>
      <c r="F47" s="45">
        <v>123.83</v>
      </c>
      <c r="G47" s="45" t="s">
        <v>62</v>
      </c>
      <c r="H47" s="45">
        <v>11.67</v>
      </c>
      <c r="I47" s="45">
        <v>638.20000000000005</v>
      </c>
      <c r="J47" s="45">
        <v>1.95</v>
      </c>
      <c r="K47" s="45">
        <v>792.42</v>
      </c>
      <c r="L47" s="51" t="s">
        <v>62</v>
      </c>
      <c r="M47" s="103" t="str">
        <f>IF(A47='Table 1.1 complete'!A47,"","sort code!")</f>
        <v/>
      </c>
    </row>
    <row r="48" spans="1:13" x14ac:dyDescent="0.25">
      <c r="A48" s="159" t="s">
        <v>137</v>
      </c>
      <c r="B48" s="189">
        <v>111</v>
      </c>
      <c r="C48" s="159" t="s">
        <v>239</v>
      </c>
      <c r="D48" s="119">
        <v>13</v>
      </c>
      <c r="E48" s="45" t="s">
        <v>62</v>
      </c>
      <c r="F48" s="45" t="s">
        <v>62</v>
      </c>
      <c r="G48" s="45" t="s">
        <v>62</v>
      </c>
      <c r="H48" s="45">
        <v>0</v>
      </c>
      <c r="I48" s="45">
        <v>38.950000000000003</v>
      </c>
      <c r="J48" s="45" t="s">
        <v>62</v>
      </c>
      <c r="K48" s="45">
        <v>38.950000000000003</v>
      </c>
      <c r="L48" s="51" t="s">
        <v>62</v>
      </c>
      <c r="M48" s="103" t="str">
        <f>IF(A48='Table 1.1 complete'!A48,"","sort code!")</f>
        <v/>
      </c>
    </row>
    <row r="49" spans="1:13" s="1" customFormat="1" x14ac:dyDescent="0.25">
      <c r="A49" s="159" t="s">
        <v>136</v>
      </c>
      <c r="B49" s="189">
        <v>110</v>
      </c>
      <c r="C49" s="159" t="s">
        <v>239</v>
      </c>
      <c r="D49" s="119">
        <v>13</v>
      </c>
      <c r="E49" s="45">
        <v>62.13</v>
      </c>
      <c r="F49" s="45">
        <v>485.26</v>
      </c>
      <c r="G49" s="45" t="s">
        <v>62</v>
      </c>
      <c r="H49" s="45">
        <v>8.91</v>
      </c>
      <c r="I49" s="45">
        <v>2720.62</v>
      </c>
      <c r="J49" s="45">
        <v>2.31</v>
      </c>
      <c r="K49" s="45">
        <v>3279.23</v>
      </c>
      <c r="L49" s="51" t="s">
        <v>62</v>
      </c>
      <c r="M49" s="103" t="str">
        <f>IF(A49='Table 1.1 complete'!A49,"","sort code!")</f>
        <v/>
      </c>
    </row>
    <row r="50" spans="1:13" x14ac:dyDescent="0.25">
      <c r="A50" s="177" t="s">
        <v>25</v>
      </c>
      <c r="B50" s="208">
        <v>58</v>
      </c>
      <c r="C50" s="177" t="s">
        <v>245</v>
      </c>
      <c r="D50" s="136">
        <v>14</v>
      </c>
      <c r="E50" s="45">
        <v>11.32</v>
      </c>
      <c r="F50" s="45">
        <v>3.91</v>
      </c>
      <c r="G50" s="45" t="s">
        <v>62</v>
      </c>
      <c r="H50" s="45">
        <v>0.05</v>
      </c>
      <c r="I50" s="45">
        <v>247.94</v>
      </c>
      <c r="J50" s="45">
        <v>0.26</v>
      </c>
      <c r="K50" s="45">
        <v>263.48</v>
      </c>
      <c r="L50" s="51" t="s">
        <v>62</v>
      </c>
      <c r="M50" s="103" t="str">
        <f>IF(A50='Table 1.1 complete'!A50,"","sort code!")</f>
        <v/>
      </c>
    </row>
    <row r="51" spans="1:13" x14ac:dyDescent="0.25">
      <c r="A51" s="169" t="s">
        <v>4</v>
      </c>
      <c r="B51" s="200">
        <v>38</v>
      </c>
      <c r="C51" s="169" t="s">
        <v>422</v>
      </c>
      <c r="D51" s="129">
        <v>16</v>
      </c>
      <c r="E51" s="45" t="s">
        <v>62</v>
      </c>
      <c r="F51" s="45">
        <v>0.23</v>
      </c>
      <c r="G51" s="45" t="s">
        <v>62</v>
      </c>
      <c r="H51" s="45" t="s">
        <v>62</v>
      </c>
      <c r="I51" s="45">
        <v>36.97</v>
      </c>
      <c r="J51" s="45" t="s">
        <v>62</v>
      </c>
      <c r="K51" s="45">
        <v>37.200000000000003</v>
      </c>
      <c r="L51" s="51" t="s">
        <v>62</v>
      </c>
      <c r="M51" s="103" t="str">
        <f>IF(A51='Table 1.1 complete'!A51,"","sort code!")</f>
        <v/>
      </c>
    </row>
    <row r="52" spans="1:13" x14ac:dyDescent="0.25">
      <c r="A52" s="167" t="s">
        <v>169</v>
      </c>
      <c r="B52" s="198">
        <v>141</v>
      </c>
      <c r="C52" s="169" t="s">
        <v>422</v>
      </c>
      <c r="D52" s="129">
        <v>16</v>
      </c>
      <c r="E52" s="45" t="s">
        <v>62</v>
      </c>
      <c r="F52" s="45" t="s">
        <v>62</v>
      </c>
      <c r="G52" s="45" t="s">
        <v>62</v>
      </c>
      <c r="H52" s="45" t="s">
        <v>62</v>
      </c>
      <c r="I52" s="45">
        <v>10.91</v>
      </c>
      <c r="J52" s="45" t="s">
        <v>62</v>
      </c>
      <c r="K52" s="45">
        <v>10.91</v>
      </c>
      <c r="L52" s="51" t="s">
        <v>62</v>
      </c>
      <c r="M52" s="103" t="str">
        <f>IF(A52='Table 1.1 complete'!A52,"","sort code!")</f>
        <v/>
      </c>
    </row>
    <row r="53" spans="1:13" x14ac:dyDescent="0.25">
      <c r="A53" s="169" t="s">
        <v>13</v>
      </c>
      <c r="B53" s="200">
        <v>46</v>
      </c>
      <c r="C53" s="169" t="s">
        <v>422</v>
      </c>
      <c r="D53" s="129">
        <v>16</v>
      </c>
      <c r="E53" s="45" t="s">
        <v>62</v>
      </c>
      <c r="F53" s="45">
        <v>15.51</v>
      </c>
      <c r="G53" s="45" t="s">
        <v>62</v>
      </c>
      <c r="H53" s="45">
        <v>0.83</v>
      </c>
      <c r="I53" s="45">
        <v>108.79</v>
      </c>
      <c r="J53" s="45" t="s">
        <v>62</v>
      </c>
      <c r="K53" s="45">
        <v>125.13</v>
      </c>
      <c r="L53" s="51" t="s">
        <v>62</v>
      </c>
      <c r="M53" s="103" t="str">
        <f>IF(A53='Table 1.1 complete'!A53,"","sort code!")</f>
        <v/>
      </c>
    </row>
    <row r="54" spans="1:13" x14ac:dyDescent="0.25">
      <c r="A54" s="167" t="s">
        <v>170</v>
      </c>
      <c r="B54" s="198">
        <v>142</v>
      </c>
      <c r="C54" s="169" t="s">
        <v>422</v>
      </c>
      <c r="D54" s="129">
        <v>16</v>
      </c>
      <c r="E54" s="45" t="s">
        <v>62</v>
      </c>
      <c r="F54" s="45">
        <v>17.989999999999998</v>
      </c>
      <c r="G54" s="45" t="s">
        <v>62</v>
      </c>
      <c r="H54" s="45">
        <v>0.14000000000000001</v>
      </c>
      <c r="I54" s="45">
        <v>185.86</v>
      </c>
      <c r="J54" s="45" t="s">
        <v>62</v>
      </c>
      <c r="K54" s="45">
        <v>203.99</v>
      </c>
      <c r="L54" s="51" t="s">
        <v>62</v>
      </c>
      <c r="M54" s="103" t="str">
        <f>IF(A54='Table 1.1 complete'!A54,"","sort code!")</f>
        <v/>
      </c>
    </row>
    <row r="55" spans="1:13" s="1" customFormat="1" x14ac:dyDescent="0.25">
      <c r="A55" s="167" t="s">
        <v>171</v>
      </c>
      <c r="B55" s="198">
        <v>143</v>
      </c>
      <c r="C55" s="169" t="s">
        <v>422</v>
      </c>
      <c r="D55" s="129">
        <v>16</v>
      </c>
      <c r="E55" s="45" t="s">
        <v>62</v>
      </c>
      <c r="F55" s="45">
        <v>0.51</v>
      </c>
      <c r="G55" s="45" t="s">
        <v>62</v>
      </c>
      <c r="H55" s="45" t="s">
        <v>62</v>
      </c>
      <c r="I55" s="45">
        <v>32.68</v>
      </c>
      <c r="J55" s="45" t="s">
        <v>62</v>
      </c>
      <c r="K55" s="45">
        <v>33.18</v>
      </c>
      <c r="L55" s="51" t="s">
        <v>62</v>
      </c>
      <c r="M55" s="103" t="str">
        <f>IF(A55='Table 1.1 complete'!A55,"","sort code!")</f>
        <v/>
      </c>
    </row>
    <row r="56" spans="1:13" x14ac:dyDescent="0.25">
      <c r="A56" s="167" t="s">
        <v>173</v>
      </c>
      <c r="B56" s="198">
        <v>145</v>
      </c>
      <c r="C56" s="169" t="s">
        <v>422</v>
      </c>
      <c r="D56" s="129">
        <v>16</v>
      </c>
      <c r="E56" s="45" t="s">
        <v>62</v>
      </c>
      <c r="F56" s="45">
        <v>0.06</v>
      </c>
      <c r="G56" s="45" t="s">
        <v>62</v>
      </c>
      <c r="H56" s="45">
        <v>0</v>
      </c>
      <c r="I56" s="45">
        <v>12.93</v>
      </c>
      <c r="J56" s="45">
        <v>0.01</v>
      </c>
      <c r="K56" s="45">
        <v>13</v>
      </c>
      <c r="L56" s="51" t="s">
        <v>62</v>
      </c>
      <c r="M56" s="103" t="str">
        <f>IF(A56='Table 1.1 complete'!A56,"","sort code!")</f>
        <v/>
      </c>
    </row>
    <row r="57" spans="1:13" x14ac:dyDescent="0.25">
      <c r="A57" s="167" t="s">
        <v>174</v>
      </c>
      <c r="B57" s="198">
        <v>146</v>
      </c>
      <c r="C57" s="169" t="s">
        <v>422</v>
      </c>
      <c r="D57" s="129">
        <v>16</v>
      </c>
      <c r="E57" s="45" t="s">
        <v>62</v>
      </c>
      <c r="F57" s="45" t="s">
        <v>62</v>
      </c>
      <c r="G57" s="45" t="s">
        <v>62</v>
      </c>
      <c r="H57" s="45" t="s">
        <v>62</v>
      </c>
      <c r="I57" s="45">
        <v>48.75</v>
      </c>
      <c r="J57" s="45" t="s">
        <v>62</v>
      </c>
      <c r="K57" s="45">
        <v>48.75</v>
      </c>
      <c r="L57" s="51" t="s">
        <v>62</v>
      </c>
      <c r="M57" s="103" t="str">
        <f>IF(A57='Table 1.1 complete'!A57,"","sort code!")</f>
        <v/>
      </c>
    </row>
    <row r="58" spans="1:13" x14ac:dyDescent="0.25">
      <c r="A58" s="167" t="s">
        <v>175</v>
      </c>
      <c r="B58" s="198">
        <v>147</v>
      </c>
      <c r="C58" s="169" t="s">
        <v>422</v>
      </c>
      <c r="D58" s="129">
        <v>16</v>
      </c>
      <c r="E58" s="45" t="s">
        <v>62</v>
      </c>
      <c r="F58" s="45">
        <v>0.59</v>
      </c>
      <c r="G58" s="45" t="s">
        <v>62</v>
      </c>
      <c r="H58" s="45" t="s">
        <v>62</v>
      </c>
      <c r="I58" s="45">
        <v>8.99</v>
      </c>
      <c r="J58" s="45" t="s">
        <v>62</v>
      </c>
      <c r="K58" s="45">
        <v>9.58</v>
      </c>
      <c r="L58" s="51" t="s">
        <v>62</v>
      </c>
      <c r="M58" s="103" t="str">
        <f>IF(A58='Table 1.1 complete'!A58,"","sort code!")</f>
        <v/>
      </c>
    </row>
    <row r="59" spans="1:13" x14ac:dyDescent="0.25">
      <c r="A59" s="169" t="s">
        <v>19</v>
      </c>
      <c r="B59" s="200">
        <v>52</v>
      </c>
      <c r="C59" s="169" t="s">
        <v>422</v>
      </c>
      <c r="D59" s="129">
        <v>16</v>
      </c>
      <c r="E59" s="45" t="s">
        <v>62</v>
      </c>
      <c r="F59" s="45" t="s">
        <v>62</v>
      </c>
      <c r="G59" s="45" t="s">
        <v>62</v>
      </c>
      <c r="H59" s="45" t="s">
        <v>62</v>
      </c>
      <c r="I59" s="45">
        <v>25.69</v>
      </c>
      <c r="J59" s="45" t="s">
        <v>62</v>
      </c>
      <c r="K59" s="45">
        <v>25.69</v>
      </c>
      <c r="L59" s="51" t="s">
        <v>62</v>
      </c>
      <c r="M59" s="103" t="str">
        <f>IF(A59='Table 1.1 complete'!A59,"","sort code!")</f>
        <v/>
      </c>
    </row>
    <row r="60" spans="1:13" x14ac:dyDescent="0.25">
      <c r="A60" s="169" t="s">
        <v>20</v>
      </c>
      <c r="B60" s="200">
        <v>53</v>
      </c>
      <c r="C60" s="169" t="s">
        <v>422</v>
      </c>
      <c r="D60" s="129">
        <v>16</v>
      </c>
      <c r="E60" s="45" t="s">
        <v>62</v>
      </c>
      <c r="F60" s="45">
        <v>1.33</v>
      </c>
      <c r="G60" s="45" t="s">
        <v>62</v>
      </c>
      <c r="H60" s="45">
        <v>0.28000000000000003</v>
      </c>
      <c r="I60" s="45">
        <v>21.25</v>
      </c>
      <c r="J60" s="45" t="s">
        <v>62</v>
      </c>
      <c r="K60" s="45">
        <v>22.86</v>
      </c>
      <c r="L60" s="51" t="s">
        <v>62</v>
      </c>
      <c r="M60" s="103" t="str">
        <f>IF(A60='Table 1.1 complete'!A60,"","sort code!")</f>
        <v/>
      </c>
    </row>
    <row r="61" spans="1:13" x14ac:dyDescent="0.25">
      <c r="A61" s="167" t="s">
        <v>176</v>
      </c>
      <c r="B61" s="198">
        <v>148</v>
      </c>
      <c r="C61" s="169" t="s">
        <v>422</v>
      </c>
      <c r="D61" s="129">
        <v>16</v>
      </c>
      <c r="E61" s="45" t="s">
        <v>62</v>
      </c>
      <c r="F61" s="45" t="s">
        <v>62</v>
      </c>
      <c r="G61" s="45" t="s">
        <v>62</v>
      </c>
      <c r="H61" s="45" t="s">
        <v>62</v>
      </c>
      <c r="I61" s="45">
        <v>14.44</v>
      </c>
      <c r="J61" s="45" t="s">
        <v>62</v>
      </c>
      <c r="K61" s="45">
        <v>14.44</v>
      </c>
      <c r="L61" s="51" t="s">
        <v>62</v>
      </c>
      <c r="M61" s="103" t="str">
        <f>IF(A61='Table 1.1 complete'!A61,"","sort code!")</f>
        <v/>
      </c>
    </row>
    <row r="62" spans="1:13" x14ac:dyDescent="0.25">
      <c r="A62" s="167" t="s">
        <v>177</v>
      </c>
      <c r="B62" s="198">
        <v>149</v>
      </c>
      <c r="C62" s="169" t="s">
        <v>422</v>
      </c>
      <c r="D62" s="129">
        <v>16</v>
      </c>
      <c r="E62" s="45" t="s">
        <v>62</v>
      </c>
      <c r="F62" s="45" t="s">
        <v>62</v>
      </c>
      <c r="G62" s="45" t="s">
        <v>62</v>
      </c>
      <c r="H62" s="45" t="s">
        <v>62</v>
      </c>
      <c r="I62" s="45">
        <v>16.079999999999998</v>
      </c>
      <c r="J62" s="45" t="s">
        <v>62</v>
      </c>
      <c r="K62" s="45">
        <v>16.079999999999998</v>
      </c>
      <c r="L62" s="51" t="s">
        <v>62</v>
      </c>
      <c r="M62" s="103" t="str">
        <f>IF(A62='Table 1.1 complete'!A62,"","sort code!")</f>
        <v/>
      </c>
    </row>
    <row r="63" spans="1:13" x14ac:dyDescent="0.25">
      <c r="A63" s="167" t="s">
        <v>178</v>
      </c>
      <c r="B63" s="198">
        <v>150</v>
      </c>
      <c r="C63" s="169" t="s">
        <v>422</v>
      </c>
      <c r="D63" s="129">
        <v>16</v>
      </c>
      <c r="E63" s="45" t="s">
        <v>62</v>
      </c>
      <c r="F63" s="45" t="s">
        <v>62</v>
      </c>
      <c r="G63" s="45" t="s">
        <v>62</v>
      </c>
      <c r="H63" s="45" t="s">
        <v>62</v>
      </c>
      <c r="I63" s="45">
        <v>189.08</v>
      </c>
      <c r="J63" s="45" t="s">
        <v>62</v>
      </c>
      <c r="K63" s="45">
        <v>189.08</v>
      </c>
      <c r="L63" s="51" t="s">
        <v>62</v>
      </c>
      <c r="M63" s="103" t="str">
        <f>IF(A63='Table 1.1 complete'!A63,"","sort code!")</f>
        <v/>
      </c>
    </row>
    <row r="64" spans="1:13" x14ac:dyDescent="0.25">
      <c r="A64" s="167" t="s">
        <v>179</v>
      </c>
      <c r="B64" s="198">
        <v>151</v>
      </c>
      <c r="C64" s="169" t="s">
        <v>422</v>
      </c>
      <c r="D64" s="129">
        <v>16</v>
      </c>
      <c r="E64" s="45" t="s">
        <v>62</v>
      </c>
      <c r="F64" s="45">
        <v>3.52</v>
      </c>
      <c r="G64" s="45" t="s">
        <v>62</v>
      </c>
      <c r="H64" s="45" t="s">
        <v>62</v>
      </c>
      <c r="I64" s="45">
        <v>35.119999999999997</v>
      </c>
      <c r="J64" s="45" t="s">
        <v>62</v>
      </c>
      <c r="K64" s="45">
        <v>38.64</v>
      </c>
      <c r="L64" s="51" t="s">
        <v>62</v>
      </c>
      <c r="M64" s="103" t="str">
        <f>IF(A64='Table 1.1 complete'!A64,"","sort code!")</f>
        <v/>
      </c>
    </row>
    <row r="65" spans="1:13" s="1" customFormat="1" x14ac:dyDescent="0.25">
      <c r="A65" s="169" t="s">
        <v>29</v>
      </c>
      <c r="B65" s="200">
        <v>62</v>
      </c>
      <c r="C65" s="169" t="s">
        <v>422</v>
      </c>
      <c r="D65" s="129">
        <v>16</v>
      </c>
      <c r="E65" s="45" t="s">
        <v>62</v>
      </c>
      <c r="F65" s="45">
        <v>0.05</v>
      </c>
      <c r="G65" s="45" t="s">
        <v>62</v>
      </c>
      <c r="H65" s="45">
        <v>0.04</v>
      </c>
      <c r="I65" s="45">
        <v>14.57</v>
      </c>
      <c r="J65" s="45" t="s">
        <v>62</v>
      </c>
      <c r="K65" s="45">
        <v>14.66</v>
      </c>
      <c r="L65" s="51" t="s">
        <v>62</v>
      </c>
      <c r="M65" s="103" t="str">
        <f>IF(A65='Table 1.1 complete'!A65,"","sort code!")</f>
        <v/>
      </c>
    </row>
    <row r="66" spans="1:13" x14ac:dyDescent="0.25">
      <c r="A66" s="167" t="s">
        <v>180</v>
      </c>
      <c r="B66" s="198">
        <v>152</v>
      </c>
      <c r="C66" s="169" t="s">
        <v>422</v>
      </c>
      <c r="D66" s="129">
        <v>16</v>
      </c>
      <c r="E66" s="45" t="s">
        <v>62</v>
      </c>
      <c r="F66" s="45" t="s">
        <v>62</v>
      </c>
      <c r="G66" s="45" t="s">
        <v>62</v>
      </c>
      <c r="H66" s="45" t="s">
        <v>62</v>
      </c>
      <c r="I66" s="45">
        <v>76.11</v>
      </c>
      <c r="J66" s="45" t="s">
        <v>62</v>
      </c>
      <c r="K66" s="45">
        <v>76.11</v>
      </c>
      <c r="L66" s="51" t="s">
        <v>62</v>
      </c>
      <c r="M66" s="103" t="str">
        <f>IF(A66='Table 1.1 complete'!A66,"","sort code!")</f>
        <v/>
      </c>
    </row>
    <row r="67" spans="1:13" x14ac:dyDescent="0.25">
      <c r="A67" s="167" t="s">
        <v>181</v>
      </c>
      <c r="B67" s="198">
        <v>153</v>
      </c>
      <c r="C67" s="169" t="s">
        <v>422</v>
      </c>
      <c r="D67" s="129">
        <v>16</v>
      </c>
      <c r="E67" s="45" t="s">
        <v>62</v>
      </c>
      <c r="F67" s="45" t="s">
        <v>62</v>
      </c>
      <c r="G67" s="45" t="s">
        <v>62</v>
      </c>
      <c r="H67" s="45" t="s">
        <v>62</v>
      </c>
      <c r="I67" s="45">
        <v>6.03</v>
      </c>
      <c r="J67" s="45" t="s">
        <v>62</v>
      </c>
      <c r="K67" s="45">
        <v>6.03</v>
      </c>
      <c r="L67" s="51" t="s">
        <v>62</v>
      </c>
      <c r="M67" s="103" t="str">
        <f>IF(A67='Table 1.1 complete'!A67,"","sort code!")</f>
        <v/>
      </c>
    </row>
    <row r="68" spans="1:13" x14ac:dyDescent="0.25">
      <c r="A68" s="171" t="s">
        <v>42</v>
      </c>
      <c r="B68" s="202">
        <v>75</v>
      </c>
      <c r="C68" s="171" t="s">
        <v>421</v>
      </c>
      <c r="D68" s="131">
        <v>17</v>
      </c>
      <c r="E68" s="49" t="s">
        <v>62</v>
      </c>
      <c r="F68" s="49">
        <v>9.0399999999999991</v>
      </c>
      <c r="G68" s="49" t="s">
        <v>62</v>
      </c>
      <c r="H68" s="49" t="s">
        <v>62</v>
      </c>
      <c r="I68" s="49">
        <v>8.3000000000000007</v>
      </c>
      <c r="J68" s="49" t="s">
        <v>62</v>
      </c>
      <c r="K68" s="49">
        <v>17.34</v>
      </c>
      <c r="L68" s="51" t="s">
        <v>62</v>
      </c>
      <c r="M68" s="103" t="str">
        <f>IF(A68='Table 1.1 complete'!A68,"","sort code!")</f>
        <v/>
      </c>
    </row>
    <row r="69" spans="1:13" x14ac:dyDescent="0.25">
      <c r="A69" s="170" t="s">
        <v>121</v>
      </c>
      <c r="B69" s="201">
        <v>95</v>
      </c>
      <c r="C69" s="99" t="s">
        <v>421</v>
      </c>
      <c r="D69" s="130">
        <v>17</v>
      </c>
      <c r="E69" s="45" t="s">
        <v>62</v>
      </c>
      <c r="F69" s="45">
        <v>11.29</v>
      </c>
      <c r="G69" s="45">
        <v>7.02</v>
      </c>
      <c r="H69" s="45" t="s">
        <v>62</v>
      </c>
      <c r="I69" s="45">
        <v>123.93</v>
      </c>
      <c r="J69" s="45" t="s">
        <v>62</v>
      </c>
      <c r="K69" s="45">
        <v>142.24</v>
      </c>
      <c r="L69" s="51" t="s">
        <v>62</v>
      </c>
      <c r="M69" s="103" t="str">
        <f>IF(A69='Table 1.1 complete'!A69,"","sort code!")</f>
        <v/>
      </c>
    </row>
    <row r="70" spans="1:13" x14ac:dyDescent="0.25">
      <c r="A70" s="171" t="s">
        <v>23</v>
      </c>
      <c r="B70" s="202">
        <v>56</v>
      </c>
      <c r="C70" s="171" t="s">
        <v>421</v>
      </c>
      <c r="D70" s="131">
        <v>17</v>
      </c>
      <c r="E70" s="45" t="s">
        <v>62</v>
      </c>
      <c r="F70" s="45">
        <v>6.41</v>
      </c>
      <c r="G70" s="45" t="s">
        <v>62</v>
      </c>
      <c r="H70" s="45" t="s">
        <v>62</v>
      </c>
      <c r="I70" s="45">
        <v>16.57</v>
      </c>
      <c r="J70" s="45" t="s">
        <v>62</v>
      </c>
      <c r="K70" s="45">
        <v>22.98</v>
      </c>
      <c r="L70" s="51" t="s">
        <v>62</v>
      </c>
      <c r="M70" s="103" t="str">
        <f>IF(A70='Table 1.1 complete'!A70,"","sort code!")</f>
        <v/>
      </c>
    </row>
    <row r="71" spans="1:13" x14ac:dyDescent="0.25">
      <c r="A71" s="171" t="s">
        <v>114</v>
      </c>
      <c r="B71" s="202">
        <v>88</v>
      </c>
      <c r="C71" s="171" t="s">
        <v>421</v>
      </c>
      <c r="D71" s="131">
        <v>17</v>
      </c>
      <c r="E71" s="45" t="s">
        <v>62</v>
      </c>
      <c r="F71" s="45">
        <v>83.06</v>
      </c>
      <c r="G71" s="45" t="s">
        <v>62</v>
      </c>
      <c r="H71" s="45" t="s">
        <v>62</v>
      </c>
      <c r="I71" s="45">
        <v>31.79</v>
      </c>
      <c r="J71" s="45" t="s">
        <v>62</v>
      </c>
      <c r="K71" s="45">
        <v>114.85</v>
      </c>
      <c r="L71" s="51" t="s">
        <v>62</v>
      </c>
      <c r="M71" s="103" t="str">
        <f>IF(A71='Table 1.1 complete'!A71,"","sort code!")</f>
        <v/>
      </c>
    </row>
    <row r="72" spans="1:13" x14ac:dyDescent="0.25">
      <c r="A72" s="176" t="s">
        <v>139</v>
      </c>
      <c r="B72" s="207">
        <v>113</v>
      </c>
      <c r="C72" s="176" t="s">
        <v>423</v>
      </c>
      <c r="D72" s="135">
        <v>18</v>
      </c>
      <c r="E72" s="45" t="s">
        <v>62</v>
      </c>
      <c r="F72" s="45">
        <v>2.79</v>
      </c>
      <c r="G72" s="45" t="s">
        <v>62</v>
      </c>
      <c r="H72" s="45" t="s">
        <v>62</v>
      </c>
      <c r="I72" s="45">
        <v>7.0000000000000007E-2</v>
      </c>
      <c r="J72" s="45" t="s">
        <v>62</v>
      </c>
      <c r="K72" s="45">
        <v>2.86</v>
      </c>
      <c r="L72" s="51" t="s">
        <v>62</v>
      </c>
      <c r="M72" s="103" t="str">
        <f>IF(A72='Table 1.1 complete'!A72,"","sort code!")</f>
        <v/>
      </c>
    </row>
    <row r="73" spans="1:13" x14ac:dyDescent="0.25">
      <c r="A73" s="172" t="s">
        <v>6</v>
      </c>
      <c r="B73" s="203">
        <v>39</v>
      </c>
      <c r="C73" s="176" t="s">
        <v>423</v>
      </c>
      <c r="D73" s="135">
        <v>18</v>
      </c>
      <c r="E73" s="45" t="s">
        <v>62</v>
      </c>
      <c r="F73" s="45">
        <v>3.2</v>
      </c>
      <c r="G73" s="45" t="s">
        <v>62</v>
      </c>
      <c r="H73" s="45" t="s">
        <v>62</v>
      </c>
      <c r="I73" s="45">
        <v>0.59</v>
      </c>
      <c r="J73" s="45" t="s">
        <v>62</v>
      </c>
      <c r="K73" s="45">
        <v>3.79</v>
      </c>
      <c r="L73" s="51" t="s">
        <v>62</v>
      </c>
      <c r="M73" s="103" t="str">
        <f>IF(A73='Table 1.1 complete'!A73,"","sort code!")</f>
        <v/>
      </c>
    </row>
    <row r="74" spans="1:13" s="1" customFormat="1" x14ac:dyDescent="0.25">
      <c r="A74" s="173" t="s">
        <v>34</v>
      </c>
      <c r="B74" s="204">
        <v>67</v>
      </c>
      <c r="C74" s="176" t="s">
        <v>423</v>
      </c>
      <c r="D74" s="135">
        <v>18</v>
      </c>
      <c r="E74" s="45">
        <v>7.22</v>
      </c>
      <c r="F74" s="45">
        <v>30.73</v>
      </c>
      <c r="G74" s="45" t="s">
        <v>62</v>
      </c>
      <c r="H74" s="45">
        <v>0.06</v>
      </c>
      <c r="I74" s="45">
        <v>75.81</v>
      </c>
      <c r="J74" s="45">
        <v>1.48</v>
      </c>
      <c r="K74" s="45">
        <v>115.3</v>
      </c>
      <c r="L74" s="51" t="s">
        <v>62</v>
      </c>
      <c r="M74" s="103" t="str">
        <f>IF(A74='Table 1.1 complete'!A74,"","sort code!")</f>
        <v/>
      </c>
    </row>
    <row r="75" spans="1:13" x14ac:dyDescent="0.25">
      <c r="A75" s="174" t="s">
        <v>153</v>
      </c>
      <c r="B75" s="205">
        <v>125</v>
      </c>
      <c r="C75" s="176" t="s">
        <v>423</v>
      </c>
      <c r="D75" s="135">
        <v>18</v>
      </c>
      <c r="E75" s="45">
        <v>2.5499999999999998</v>
      </c>
      <c r="F75" s="45">
        <v>1.85</v>
      </c>
      <c r="G75" s="45" t="s">
        <v>62</v>
      </c>
      <c r="H75" s="45">
        <v>0</v>
      </c>
      <c r="I75" s="45">
        <v>1.49</v>
      </c>
      <c r="J75" s="45" t="s">
        <v>62</v>
      </c>
      <c r="K75" s="45">
        <v>5.9</v>
      </c>
      <c r="L75" s="51" t="s">
        <v>62</v>
      </c>
      <c r="M75" s="103" t="str">
        <f>IF(A75='Table 1.1 complete'!A75,"","sort code!")</f>
        <v/>
      </c>
    </row>
    <row r="76" spans="1:13" s="1" customFormat="1" x14ac:dyDescent="0.25">
      <c r="A76" s="174" t="s">
        <v>154</v>
      </c>
      <c r="B76" s="205">
        <v>126</v>
      </c>
      <c r="C76" s="176" t="s">
        <v>423</v>
      </c>
      <c r="D76" s="135">
        <v>18</v>
      </c>
      <c r="E76" s="45" t="s">
        <v>62</v>
      </c>
      <c r="F76" s="45">
        <v>2.36</v>
      </c>
      <c r="G76" s="45" t="s">
        <v>62</v>
      </c>
      <c r="H76" s="45" t="s">
        <v>62</v>
      </c>
      <c r="I76" s="45">
        <v>21.85</v>
      </c>
      <c r="J76" s="45" t="s">
        <v>62</v>
      </c>
      <c r="K76" s="45">
        <v>24.21</v>
      </c>
      <c r="L76" s="51" t="s">
        <v>62</v>
      </c>
      <c r="M76" s="103" t="str">
        <f>IF(A76='Table 1.1 complete'!A76,"","sort code!")</f>
        <v/>
      </c>
    </row>
    <row r="77" spans="1:13" s="1" customFormat="1" x14ac:dyDescent="0.25">
      <c r="A77" s="174" t="s">
        <v>117</v>
      </c>
      <c r="B77" s="205">
        <v>91</v>
      </c>
      <c r="C77" s="176" t="s">
        <v>423</v>
      </c>
      <c r="D77" s="135">
        <v>18</v>
      </c>
      <c r="E77" s="45" t="s">
        <v>62</v>
      </c>
      <c r="F77" s="45">
        <v>1.39</v>
      </c>
      <c r="G77" s="45" t="s">
        <v>62</v>
      </c>
      <c r="H77" s="45" t="s">
        <v>62</v>
      </c>
      <c r="I77" s="45">
        <v>22.99</v>
      </c>
      <c r="J77" s="45" t="s">
        <v>62</v>
      </c>
      <c r="K77" s="45">
        <v>24.38</v>
      </c>
      <c r="L77" s="51" t="s">
        <v>62</v>
      </c>
      <c r="M77" s="103" t="str">
        <f>IF(A77='Table 1.1 complete'!A77,"","sort code!")</f>
        <v/>
      </c>
    </row>
    <row r="78" spans="1:13" x14ac:dyDescent="0.25">
      <c r="A78" s="176" t="s">
        <v>155</v>
      </c>
      <c r="B78" s="207">
        <v>127</v>
      </c>
      <c r="C78" s="176" t="s">
        <v>423</v>
      </c>
      <c r="D78" s="135">
        <v>18</v>
      </c>
      <c r="E78" s="45" t="s">
        <v>62</v>
      </c>
      <c r="F78" s="45">
        <v>0.04</v>
      </c>
      <c r="G78" s="45" t="s">
        <v>62</v>
      </c>
      <c r="H78" s="45">
        <v>0</v>
      </c>
      <c r="I78" s="45">
        <v>31.71</v>
      </c>
      <c r="J78" s="45">
        <v>0.09</v>
      </c>
      <c r="K78" s="45">
        <v>31.83</v>
      </c>
      <c r="L78" s="51" t="s">
        <v>62</v>
      </c>
      <c r="M78" s="103" t="str">
        <f>IF(A78='Table 1.1 complete'!A78,"","sort code!")</f>
        <v/>
      </c>
    </row>
    <row r="79" spans="1:13" s="1" customFormat="1" x14ac:dyDescent="0.25">
      <c r="A79" s="172" t="s">
        <v>7</v>
      </c>
      <c r="B79" s="203">
        <v>40</v>
      </c>
      <c r="C79" s="176" t="s">
        <v>423</v>
      </c>
      <c r="D79" s="135">
        <v>18</v>
      </c>
      <c r="E79" s="45" t="s">
        <v>62</v>
      </c>
      <c r="F79" s="45">
        <v>0</v>
      </c>
      <c r="G79" s="45" t="s">
        <v>62</v>
      </c>
      <c r="H79" s="45" t="s">
        <v>62</v>
      </c>
      <c r="I79" s="45">
        <v>0.13</v>
      </c>
      <c r="J79" s="45" t="s">
        <v>62</v>
      </c>
      <c r="K79" s="45">
        <v>0.13</v>
      </c>
      <c r="L79" s="51" t="s">
        <v>62</v>
      </c>
      <c r="M79" s="103" t="str">
        <f>IF(A79='Table 1.1 complete'!A79,"","sort code!")</f>
        <v/>
      </c>
    </row>
    <row r="80" spans="1:13" s="1" customFormat="1" x14ac:dyDescent="0.25">
      <c r="A80" s="173" t="s">
        <v>35</v>
      </c>
      <c r="B80" s="204">
        <v>68</v>
      </c>
      <c r="C80" s="176" t="s">
        <v>423</v>
      </c>
      <c r="D80" s="135">
        <v>18</v>
      </c>
      <c r="E80" s="45" t="s">
        <v>62</v>
      </c>
      <c r="F80" s="45">
        <v>2.3199999999999998</v>
      </c>
      <c r="G80" s="45" t="s">
        <v>62</v>
      </c>
      <c r="H80" s="45" t="s">
        <v>62</v>
      </c>
      <c r="I80" s="45">
        <v>3.24</v>
      </c>
      <c r="J80" s="45">
        <v>0.17</v>
      </c>
      <c r="K80" s="45">
        <v>5.73</v>
      </c>
      <c r="L80" s="51" t="s">
        <v>62</v>
      </c>
      <c r="M80" s="103" t="str">
        <f>IF(A80='Table 1.1 complete'!A80,"","sort code!")</f>
        <v/>
      </c>
    </row>
    <row r="81" spans="1:13" s="1" customFormat="1" x14ac:dyDescent="0.25">
      <c r="A81" s="176" t="s">
        <v>140</v>
      </c>
      <c r="B81" s="207">
        <v>114</v>
      </c>
      <c r="C81" s="176" t="s">
        <v>423</v>
      </c>
      <c r="D81" s="135">
        <v>18</v>
      </c>
      <c r="E81" s="49" t="s">
        <v>62</v>
      </c>
      <c r="F81" s="49">
        <v>4</v>
      </c>
      <c r="G81" s="49" t="s">
        <v>62</v>
      </c>
      <c r="H81" s="49" t="s">
        <v>62</v>
      </c>
      <c r="I81" s="49">
        <v>7.82</v>
      </c>
      <c r="J81" s="49" t="s">
        <v>62</v>
      </c>
      <c r="K81" s="49">
        <v>11.82</v>
      </c>
      <c r="L81" s="51" t="s">
        <v>62</v>
      </c>
      <c r="M81" s="103" t="str">
        <f>IF(A81='Table 1.1 complete'!A81,"","sort code!")</f>
        <v/>
      </c>
    </row>
    <row r="82" spans="1:13" s="1" customFormat="1" x14ac:dyDescent="0.25">
      <c r="A82" s="861" t="s">
        <v>8</v>
      </c>
      <c r="B82" s="860">
        <v>41</v>
      </c>
      <c r="C82" s="176" t="s">
        <v>423</v>
      </c>
      <c r="D82" s="135">
        <v>18</v>
      </c>
      <c r="E82" s="91" t="s">
        <v>62</v>
      </c>
      <c r="F82" s="45" t="s">
        <v>62</v>
      </c>
      <c r="G82" s="45" t="s">
        <v>62</v>
      </c>
      <c r="H82" s="45" t="s">
        <v>62</v>
      </c>
      <c r="I82" s="45">
        <v>1.1200000000000001</v>
      </c>
      <c r="J82" s="45" t="s">
        <v>62</v>
      </c>
      <c r="K82" s="45">
        <v>1.1200000000000001</v>
      </c>
      <c r="L82" s="51" t="s">
        <v>62</v>
      </c>
      <c r="M82" s="103" t="str">
        <f>IF(A82='Table 1.1 complete'!A82,"","sort code!")</f>
        <v/>
      </c>
    </row>
    <row r="83" spans="1:13" x14ac:dyDescent="0.25">
      <c r="A83" s="174" t="s">
        <v>118</v>
      </c>
      <c r="B83" s="205">
        <v>92</v>
      </c>
      <c r="C83" s="176" t="s">
        <v>423</v>
      </c>
      <c r="D83" s="135">
        <v>18</v>
      </c>
      <c r="E83" s="45" t="s">
        <v>62</v>
      </c>
      <c r="F83" s="48" t="s">
        <v>62</v>
      </c>
      <c r="G83" s="48" t="s">
        <v>62</v>
      </c>
      <c r="H83" s="48" t="s">
        <v>62</v>
      </c>
      <c r="I83" s="48">
        <v>3.4</v>
      </c>
      <c r="J83" s="48" t="s">
        <v>62</v>
      </c>
      <c r="K83" s="48">
        <v>3.4</v>
      </c>
      <c r="L83" s="51" t="s">
        <v>62</v>
      </c>
      <c r="M83" s="103" t="str">
        <f>IF(A83='Table 1.1 complete'!A83,"","sort code!")</f>
        <v/>
      </c>
    </row>
    <row r="84" spans="1:13" x14ac:dyDescent="0.25">
      <c r="A84" s="174" t="s">
        <v>119</v>
      </c>
      <c r="B84" s="205">
        <v>93</v>
      </c>
      <c r="C84" s="176" t="s">
        <v>423</v>
      </c>
      <c r="D84" s="135">
        <v>18</v>
      </c>
      <c r="E84" s="45" t="s">
        <v>62</v>
      </c>
      <c r="F84" s="45">
        <v>0.05</v>
      </c>
      <c r="G84" s="45" t="s">
        <v>62</v>
      </c>
      <c r="H84" s="45" t="s">
        <v>62</v>
      </c>
      <c r="I84" s="45">
        <v>1.29</v>
      </c>
      <c r="J84" s="45">
        <v>0.01</v>
      </c>
      <c r="K84" s="45">
        <v>1.35</v>
      </c>
      <c r="L84" s="51" t="s">
        <v>62</v>
      </c>
      <c r="M84" s="103" t="str">
        <f>IF(A84='Table 1.1 complete'!A84,"","sort code!")</f>
        <v/>
      </c>
    </row>
    <row r="85" spans="1:13" s="1" customFormat="1" x14ac:dyDescent="0.25">
      <c r="A85" s="172" t="s">
        <v>9</v>
      </c>
      <c r="B85" s="203">
        <v>42</v>
      </c>
      <c r="C85" s="176" t="s">
        <v>423</v>
      </c>
      <c r="D85" s="135">
        <v>18</v>
      </c>
      <c r="E85" s="45" t="s">
        <v>62</v>
      </c>
      <c r="F85" s="45">
        <v>3.85</v>
      </c>
      <c r="G85" s="45" t="s">
        <v>62</v>
      </c>
      <c r="H85" s="45" t="s">
        <v>62</v>
      </c>
      <c r="I85" s="45">
        <v>1.91</v>
      </c>
      <c r="J85" s="45" t="s">
        <v>62</v>
      </c>
      <c r="K85" s="45">
        <v>5.75</v>
      </c>
      <c r="L85" s="51" t="s">
        <v>62</v>
      </c>
      <c r="M85" s="103" t="str">
        <f>IF(A85='Table 1.1 complete'!A85,"","sort code!")</f>
        <v/>
      </c>
    </row>
    <row r="86" spans="1:13" x14ac:dyDescent="0.25">
      <c r="A86" s="173" t="s">
        <v>37</v>
      </c>
      <c r="B86" s="204">
        <v>70</v>
      </c>
      <c r="C86" s="176" t="s">
        <v>423</v>
      </c>
      <c r="D86" s="135">
        <v>18</v>
      </c>
      <c r="E86" s="45" t="s">
        <v>62</v>
      </c>
      <c r="F86" s="45">
        <v>23.13</v>
      </c>
      <c r="G86" s="45" t="s">
        <v>62</v>
      </c>
      <c r="H86" s="45">
        <v>0.01</v>
      </c>
      <c r="I86" s="45">
        <v>32.29</v>
      </c>
      <c r="J86" s="45">
        <v>3.08</v>
      </c>
      <c r="K86" s="45">
        <v>58.51</v>
      </c>
      <c r="L86" s="51" t="s">
        <v>62</v>
      </c>
      <c r="M86" s="103" t="str">
        <f>IF(A86='Table 1.1 complete'!A86,"","sort code!")</f>
        <v/>
      </c>
    </row>
    <row r="87" spans="1:13" x14ac:dyDescent="0.25">
      <c r="A87" s="174" t="s">
        <v>131</v>
      </c>
      <c r="B87" s="205">
        <v>105</v>
      </c>
      <c r="C87" s="176" t="s">
        <v>423</v>
      </c>
      <c r="D87" s="135">
        <v>18</v>
      </c>
      <c r="E87" s="45">
        <v>40.54</v>
      </c>
      <c r="F87" s="45">
        <v>8.35</v>
      </c>
      <c r="G87" s="45" t="s">
        <v>62</v>
      </c>
      <c r="H87" s="45">
        <v>0.45</v>
      </c>
      <c r="I87" s="45">
        <v>190.09</v>
      </c>
      <c r="J87" s="45">
        <v>3.69</v>
      </c>
      <c r="K87" s="45">
        <v>243.12</v>
      </c>
      <c r="L87" s="51" t="s">
        <v>248</v>
      </c>
      <c r="M87" s="103" t="str">
        <f>IF(A87='Table 1.1 complete'!A87,"","sort code!")</f>
        <v/>
      </c>
    </row>
    <row r="88" spans="1:13" x14ac:dyDescent="0.25">
      <c r="A88" s="173" t="s">
        <v>38</v>
      </c>
      <c r="B88" s="204">
        <v>71</v>
      </c>
      <c r="C88" s="176" t="s">
        <v>423</v>
      </c>
      <c r="D88" s="135">
        <v>18</v>
      </c>
      <c r="E88" s="45" t="s">
        <v>62</v>
      </c>
      <c r="F88" s="45">
        <v>44.45</v>
      </c>
      <c r="G88" s="45" t="s">
        <v>62</v>
      </c>
      <c r="H88" s="45">
        <v>0.05</v>
      </c>
      <c r="I88" s="45">
        <v>10.24</v>
      </c>
      <c r="J88" s="45">
        <v>0.59</v>
      </c>
      <c r="K88" s="45">
        <v>55.31</v>
      </c>
      <c r="L88" s="51" t="s">
        <v>62</v>
      </c>
      <c r="M88" s="103" t="str">
        <f>IF(A88='Table 1.1 complete'!A88,"","sort code!")</f>
        <v/>
      </c>
    </row>
    <row r="89" spans="1:13" s="1" customFormat="1" x14ac:dyDescent="0.25">
      <c r="A89" s="172" t="s">
        <v>10</v>
      </c>
      <c r="B89" s="203">
        <v>43</v>
      </c>
      <c r="C89" s="176" t="s">
        <v>423</v>
      </c>
      <c r="D89" s="135">
        <v>18</v>
      </c>
      <c r="E89" s="45" t="s">
        <v>62</v>
      </c>
      <c r="F89" s="45">
        <v>0.34</v>
      </c>
      <c r="G89" s="45" t="s">
        <v>62</v>
      </c>
      <c r="H89" s="45" t="s">
        <v>62</v>
      </c>
      <c r="I89" s="45">
        <v>7.0000000000000007E-2</v>
      </c>
      <c r="J89" s="45" t="s">
        <v>62</v>
      </c>
      <c r="K89" s="45">
        <v>0.41</v>
      </c>
      <c r="L89" s="51" t="s">
        <v>62</v>
      </c>
      <c r="M89" s="103" t="str">
        <f>IF(A89='Table 1.1 complete'!A89,"","sort code!")</f>
        <v/>
      </c>
    </row>
    <row r="90" spans="1:13" x14ac:dyDescent="0.25">
      <c r="A90" s="173" t="s">
        <v>39</v>
      </c>
      <c r="B90" s="204">
        <v>72</v>
      </c>
      <c r="C90" s="176" t="s">
        <v>423</v>
      </c>
      <c r="D90" s="135">
        <v>18</v>
      </c>
      <c r="E90" s="45" t="s">
        <v>62</v>
      </c>
      <c r="F90" s="45">
        <v>6.77</v>
      </c>
      <c r="G90" s="45">
        <v>1.24</v>
      </c>
      <c r="H90" s="45">
        <v>0.24</v>
      </c>
      <c r="I90" s="45">
        <v>0.72</v>
      </c>
      <c r="J90" s="45">
        <v>0.08</v>
      </c>
      <c r="K90" s="45">
        <v>9.0500000000000007</v>
      </c>
      <c r="L90" s="51" t="s">
        <v>62</v>
      </c>
      <c r="M90" s="103" t="str">
        <f>IF(A90='Table 1.1 complete'!A90,"","sort code!")</f>
        <v/>
      </c>
    </row>
    <row r="91" spans="1:13" x14ac:dyDescent="0.25">
      <c r="A91" s="172" t="s">
        <v>12</v>
      </c>
      <c r="B91" s="203">
        <v>45</v>
      </c>
      <c r="C91" s="176" t="s">
        <v>423</v>
      </c>
      <c r="D91" s="135">
        <v>18</v>
      </c>
      <c r="E91" s="45" t="s">
        <v>62</v>
      </c>
      <c r="F91" s="45">
        <v>1.8</v>
      </c>
      <c r="G91" s="45" t="s">
        <v>62</v>
      </c>
      <c r="H91" s="45" t="s">
        <v>62</v>
      </c>
      <c r="I91" s="45">
        <v>3.72</v>
      </c>
      <c r="J91" s="45">
        <v>0.12</v>
      </c>
      <c r="K91" s="45">
        <v>5.63</v>
      </c>
      <c r="L91" s="51" t="s">
        <v>62</v>
      </c>
      <c r="M91" s="103" t="str">
        <f>IF(A91='Table 1.1 complete'!A91,"","sort code!")</f>
        <v/>
      </c>
    </row>
    <row r="92" spans="1:13" x14ac:dyDescent="0.25">
      <c r="A92" s="173" t="s">
        <v>40</v>
      </c>
      <c r="B92" s="204">
        <v>73</v>
      </c>
      <c r="C92" s="176" t="s">
        <v>423</v>
      </c>
      <c r="D92" s="135">
        <v>18</v>
      </c>
      <c r="E92" s="45" t="s">
        <v>62</v>
      </c>
      <c r="F92" s="45">
        <v>0.12</v>
      </c>
      <c r="G92" s="45" t="s">
        <v>62</v>
      </c>
      <c r="H92" s="45" t="s">
        <v>62</v>
      </c>
      <c r="I92" s="45">
        <v>17.170000000000002</v>
      </c>
      <c r="J92" s="45">
        <v>0.33</v>
      </c>
      <c r="K92" s="45">
        <v>17.62</v>
      </c>
      <c r="L92" s="51" t="s">
        <v>62</v>
      </c>
      <c r="M92" s="103" t="str">
        <f>IF(A92='Table 1.1 complete'!A92,"","sort code!")</f>
        <v/>
      </c>
    </row>
    <row r="93" spans="1:13" x14ac:dyDescent="0.25">
      <c r="A93" s="173" t="s">
        <v>41</v>
      </c>
      <c r="B93" s="204">
        <v>74</v>
      </c>
      <c r="C93" s="176" t="s">
        <v>423</v>
      </c>
      <c r="D93" s="135">
        <v>18</v>
      </c>
      <c r="E93" s="49" t="s">
        <v>62</v>
      </c>
      <c r="F93" s="49">
        <v>1.4</v>
      </c>
      <c r="G93" s="49" t="s">
        <v>62</v>
      </c>
      <c r="H93" s="49" t="s">
        <v>62</v>
      </c>
      <c r="I93" s="49">
        <v>13.4</v>
      </c>
      <c r="J93" s="49">
        <v>0.04</v>
      </c>
      <c r="K93" s="49">
        <v>14.84</v>
      </c>
      <c r="L93" s="51" t="s">
        <v>62</v>
      </c>
      <c r="M93" s="103" t="str">
        <f>IF(A93='Table 1.1 complete'!A93,"","sort code!")</f>
        <v/>
      </c>
    </row>
    <row r="94" spans="1:13" x14ac:dyDescent="0.25">
      <c r="A94" s="174" t="s">
        <v>122</v>
      </c>
      <c r="B94" s="205">
        <v>96</v>
      </c>
      <c r="C94" s="176" t="s">
        <v>423</v>
      </c>
      <c r="D94" s="135">
        <v>18</v>
      </c>
      <c r="E94" s="45" t="s">
        <v>62</v>
      </c>
      <c r="F94" s="45">
        <v>13.28</v>
      </c>
      <c r="G94" s="45" t="s">
        <v>62</v>
      </c>
      <c r="H94" s="45" t="s">
        <v>62</v>
      </c>
      <c r="I94" s="45">
        <v>8.24</v>
      </c>
      <c r="J94" s="45" t="s">
        <v>62</v>
      </c>
      <c r="K94" s="45">
        <v>21.52</v>
      </c>
      <c r="L94" s="79" t="s">
        <v>62</v>
      </c>
      <c r="M94" s="103" t="str">
        <f>IF(A94='Table 1.1 complete'!A94,"","sort code!")</f>
        <v/>
      </c>
    </row>
    <row r="95" spans="1:13" s="1" customFormat="1" x14ac:dyDescent="0.25">
      <c r="A95" s="172" t="s">
        <v>11</v>
      </c>
      <c r="B95" s="203">
        <v>44</v>
      </c>
      <c r="C95" s="176" t="s">
        <v>423</v>
      </c>
      <c r="D95" s="135">
        <v>18</v>
      </c>
      <c r="E95" s="45" t="s">
        <v>62</v>
      </c>
      <c r="F95" s="45">
        <v>8.2799999999999994</v>
      </c>
      <c r="G95" s="45" t="s">
        <v>62</v>
      </c>
      <c r="H95" s="45" t="s">
        <v>62</v>
      </c>
      <c r="I95" s="45">
        <v>0.03</v>
      </c>
      <c r="J95" s="45" t="s">
        <v>62</v>
      </c>
      <c r="K95" s="45">
        <v>8.3000000000000007</v>
      </c>
      <c r="L95" s="51" t="s">
        <v>62</v>
      </c>
      <c r="M95" s="103" t="str">
        <f>IF(A95='Table 1.1 complete'!A95,"","sort code!")</f>
        <v/>
      </c>
    </row>
    <row r="96" spans="1:13" x14ac:dyDescent="0.25">
      <c r="A96" s="173" t="s">
        <v>43</v>
      </c>
      <c r="B96" s="204">
        <v>76</v>
      </c>
      <c r="C96" s="176" t="s">
        <v>423</v>
      </c>
      <c r="D96" s="135">
        <v>18</v>
      </c>
      <c r="E96" s="49" t="s">
        <v>62</v>
      </c>
      <c r="F96" s="49">
        <v>1.74</v>
      </c>
      <c r="G96" s="49">
        <v>1.38</v>
      </c>
      <c r="H96" s="49" t="s">
        <v>62</v>
      </c>
      <c r="I96" s="49">
        <v>2.65</v>
      </c>
      <c r="J96" s="49">
        <v>0.03</v>
      </c>
      <c r="K96" s="49">
        <v>5.81</v>
      </c>
      <c r="L96" s="51" t="s">
        <v>62</v>
      </c>
      <c r="M96" s="103" t="str">
        <f>IF(A96='Table 1.1 complete'!A96,"","sort code!")</f>
        <v/>
      </c>
    </row>
    <row r="97" spans="1:13" x14ac:dyDescent="0.25">
      <c r="A97" s="172" t="s">
        <v>14</v>
      </c>
      <c r="B97" s="203">
        <v>47</v>
      </c>
      <c r="C97" s="176" t="s">
        <v>423</v>
      </c>
      <c r="D97" s="135">
        <v>18</v>
      </c>
      <c r="E97" s="45" t="s">
        <v>62</v>
      </c>
      <c r="F97" s="45" t="s">
        <v>62</v>
      </c>
      <c r="G97" s="45" t="s">
        <v>62</v>
      </c>
      <c r="H97" s="45">
        <v>0</v>
      </c>
      <c r="I97" s="45">
        <v>0.28999999999999998</v>
      </c>
      <c r="J97" s="45" t="s">
        <v>62</v>
      </c>
      <c r="K97" s="45">
        <v>0.28999999999999998</v>
      </c>
      <c r="L97" s="51" t="s">
        <v>62</v>
      </c>
      <c r="M97" s="103" t="str">
        <f>IF(A97='Table 1.1 complete'!A97,"","sort code!")</f>
        <v/>
      </c>
    </row>
    <row r="98" spans="1:13" x14ac:dyDescent="0.25">
      <c r="A98" s="172" t="s">
        <v>15</v>
      </c>
      <c r="B98" s="203">
        <v>48</v>
      </c>
      <c r="C98" s="176" t="s">
        <v>423</v>
      </c>
      <c r="D98" s="135">
        <v>18</v>
      </c>
      <c r="E98" s="45" t="s">
        <v>62</v>
      </c>
      <c r="F98" s="45">
        <v>3.37</v>
      </c>
      <c r="G98" s="45" t="s">
        <v>62</v>
      </c>
      <c r="H98" s="45" t="s">
        <v>62</v>
      </c>
      <c r="I98" s="45">
        <v>0.13</v>
      </c>
      <c r="J98" s="45" t="s">
        <v>62</v>
      </c>
      <c r="K98" s="45">
        <v>3.5</v>
      </c>
      <c r="L98" s="51" t="s">
        <v>62</v>
      </c>
      <c r="M98" s="103" t="str">
        <f>IF(A98='Table 1.1 complete'!A98,"","sort code!")</f>
        <v/>
      </c>
    </row>
    <row r="99" spans="1:13" x14ac:dyDescent="0.25">
      <c r="A99" s="176" t="s">
        <v>146</v>
      </c>
      <c r="B99" s="207">
        <v>118</v>
      </c>
      <c r="C99" s="176" t="s">
        <v>423</v>
      </c>
      <c r="D99" s="135">
        <v>18</v>
      </c>
      <c r="E99" s="45" t="s">
        <v>62</v>
      </c>
      <c r="F99" s="45">
        <v>1.01</v>
      </c>
      <c r="G99" s="45" t="s">
        <v>62</v>
      </c>
      <c r="H99" s="45" t="s">
        <v>62</v>
      </c>
      <c r="I99" s="45">
        <v>5.72</v>
      </c>
      <c r="J99" s="45" t="s">
        <v>62</v>
      </c>
      <c r="K99" s="45">
        <v>6.73</v>
      </c>
      <c r="L99" s="51" t="s">
        <v>62</v>
      </c>
      <c r="M99" s="103" t="str">
        <f>IF(A99='Table 1.1 complete'!A99,"","sort code!")</f>
        <v/>
      </c>
    </row>
    <row r="100" spans="1:13" x14ac:dyDescent="0.25">
      <c r="A100" s="172" t="s">
        <v>16</v>
      </c>
      <c r="B100" s="203">
        <v>49</v>
      </c>
      <c r="C100" s="176" t="s">
        <v>423</v>
      </c>
      <c r="D100" s="135">
        <v>18</v>
      </c>
      <c r="E100" s="45" t="s">
        <v>62</v>
      </c>
      <c r="F100" s="45">
        <v>0.8</v>
      </c>
      <c r="G100" s="45" t="s">
        <v>62</v>
      </c>
      <c r="H100" s="45" t="s">
        <v>62</v>
      </c>
      <c r="I100" s="45">
        <v>1.04</v>
      </c>
      <c r="J100" s="45">
        <v>0.01</v>
      </c>
      <c r="K100" s="45">
        <v>1.84</v>
      </c>
      <c r="L100" s="51" t="s">
        <v>62</v>
      </c>
      <c r="M100" s="103" t="str">
        <f>IF(A100='Table 1.1 complete'!A100,"","sort code!")</f>
        <v/>
      </c>
    </row>
    <row r="101" spans="1:13" x14ac:dyDescent="0.25">
      <c r="A101" s="174" t="s">
        <v>157</v>
      </c>
      <c r="B101" s="205">
        <v>129</v>
      </c>
      <c r="C101" s="176" t="s">
        <v>423</v>
      </c>
      <c r="D101" s="135">
        <v>18</v>
      </c>
      <c r="E101" s="45" t="s">
        <v>62</v>
      </c>
      <c r="F101" s="45">
        <v>6.82</v>
      </c>
      <c r="G101" s="45" t="s">
        <v>62</v>
      </c>
      <c r="H101" s="45" t="s">
        <v>62</v>
      </c>
      <c r="I101" s="45">
        <v>1.51</v>
      </c>
      <c r="J101" s="45" t="s">
        <v>62</v>
      </c>
      <c r="K101" s="45">
        <v>8.33</v>
      </c>
      <c r="L101" s="51" t="s">
        <v>62</v>
      </c>
      <c r="M101" s="103" t="str">
        <f>IF(A101='Table 1.1 complete'!A101,"","sort code!")</f>
        <v/>
      </c>
    </row>
    <row r="102" spans="1:13" x14ac:dyDescent="0.25">
      <c r="A102" s="172" t="s">
        <v>17</v>
      </c>
      <c r="B102" s="203">
        <v>50</v>
      </c>
      <c r="C102" s="176" t="s">
        <v>423</v>
      </c>
      <c r="D102" s="135">
        <v>18</v>
      </c>
      <c r="E102" s="45" t="s">
        <v>62</v>
      </c>
      <c r="F102" s="45">
        <v>3.73</v>
      </c>
      <c r="G102" s="45" t="s">
        <v>62</v>
      </c>
      <c r="H102" s="45" t="s">
        <v>62</v>
      </c>
      <c r="I102" s="45">
        <v>3.25</v>
      </c>
      <c r="J102" s="45" t="s">
        <v>62</v>
      </c>
      <c r="K102" s="45">
        <v>6.98</v>
      </c>
      <c r="L102" s="51" t="s">
        <v>62</v>
      </c>
      <c r="M102" s="103" t="str">
        <f>IF(A102='Table 1.1 complete'!A102,"","sort code!")</f>
        <v/>
      </c>
    </row>
    <row r="103" spans="1:13" x14ac:dyDescent="0.25">
      <c r="A103" s="173" t="s">
        <v>44</v>
      </c>
      <c r="B103" s="204">
        <v>77</v>
      </c>
      <c r="C103" s="176" t="s">
        <v>423</v>
      </c>
      <c r="D103" s="135">
        <v>18</v>
      </c>
      <c r="E103" s="49" t="s">
        <v>62</v>
      </c>
      <c r="F103" s="49">
        <v>3.63</v>
      </c>
      <c r="G103" s="49" t="s">
        <v>62</v>
      </c>
      <c r="H103" s="49" t="s">
        <v>62</v>
      </c>
      <c r="I103" s="49">
        <v>3.75</v>
      </c>
      <c r="J103" s="49">
        <v>1.37</v>
      </c>
      <c r="K103" s="49">
        <v>8.76</v>
      </c>
      <c r="L103" s="51" t="s">
        <v>62</v>
      </c>
      <c r="M103" s="103" t="str">
        <f>IF(A103='Table 1.1 complete'!A103,"","sort code!")</f>
        <v/>
      </c>
    </row>
    <row r="104" spans="1:13" x14ac:dyDescent="0.25">
      <c r="A104" s="173" t="s">
        <v>104</v>
      </c>
      <c r="B104" s="204">
        <v>78</v>
      </c>
      <c r="C104" s="176" t="s">
        <v>423</v>
      </c>
      <c r="D104" s="135">
        <v>18</v>
      </c>
      <c r="E104" s="45" t="s">
        <v>62</v>
      </c>
      <c r="F104" s="45">
        <v>0.15</v>
      </c>
      <c r="G104" s="45" t="s">
        <v>62</v>
      </c>
      <c r="H104" s="45" t="s">
        <v>62</v>
      </c>
      <c r="I104" s="45">
        <v>0.32</v>
      </c>
      <c r="J104" s="45" t="s">
        <v>62</v>
      </c>
      <c r="K104" s="45">
        <v>0.47</v>
      </c>
      <c r="L104" s="51" t="s">
        <v>62</v>
      </c>
      <c r="M104" s="103" t="str">
        <f>IF(A104='Table 1.1 complete'!A104,"","sort code!")</f>
        <v/>
      </c>
    </row>
    <row r="105" spans="1:13" s="1" customFormat="1" x14ac:dyDescent="0.25">
      <c r="A105" s="173" t="s">
        <v>105</v>
      </c>
      <c r="B105" s="204">
        <v>79</v>
      </c>
      <c r="C105" s="176" t="s">
        <v>423</v>
      </c>
      <c r="D105" s="135">
        <v>18</v>
      </c>
      <c r="E105" s="45" t="s">
        <v>62</v>
      </c>
      <c r="F105" s="45">
        <v>2.21</v>
      </c>
      <c r="G105" s="45" t="s">
        <v>62</v>
      </c>
      <c r="H105" s="45" t="s">
        <v>62</v>
      </c>
      <c r="I105" s="45">
        <v>3.93</v>
      </c>
      <c r="J105" s="45">
        <v>0.17</v>
      </c>
      <c r="K105" s="45">
        <v>6.32</v>
      </c>
      <c r="L105" s="51" t="s">
        <v>62</v>
      </c>
      <c r="M105" s="103" t="str">
        <f>IF(A105='Table 1.1 complete'!A105,"","sort code!")</f>
        <v/>
      </c>
    </row>
    <row r="106" spans="1:13" x14ac:dyDescent="0.25">
      <c r="A106" s="174" t="s">
        <v>172</v>
      </c>
      <c r="B106" s="205">
        <v>144</v>
      </c>
      <c r="C106" s="176" t="s">
        <v>423</v>
      </c>
      <c r="D106" s="135">
        <v>18</v>
      </c>
      <c r="E106" s="45" t="s">
        <v>62</v>
      </c>
      <c r="F106" s="45">
        <v>0.03</v>
      </c>
      <c r="G106" s="45" t="s">
        <v>62</v>
      </c>
      <c r="H106" s="45">
        <v>0.01</v>
      </c>
      <c r="I106" s="45">
        <v>54.78</v>
      </c>
      <c r="J106" s="45" t="s">
        <v>62</v>
      </c>
      <c r="K106" s="45">
        <v>54.82</v>
      </c>
      <c r="L106" s="51" t="s">
        <v>62</v>
      </c>
      <c r="M106" s="103" t="str">
        <f>IF(A106='Table 1.1 complete'!A106,"","sort code!")</f>
        <v/>
      </c>
    </row>
    <row r="107" spans="1:13" x14ac:dyDescent="0.25">
      <c r="A107" s="173" t="s">
        <v>106</v>
      </c>
      <c r="B107" s="204">
        <v>80</v>
      </c>
      <c r="C107" s="176" t="s">
        <v>423</v>
      </c>
      <c r="D107" s="135">
        <v>18</v>
      </c>
      <c r="E107" s="45" t="s">
        <v>62</v>
      </c>
      <c r="F107" s="45">
        <v>0.16</v>
      </c>
      <c r="G107" s="45" t="s">
        <v>62</v>
      </c>
      <c r="H107" s="45">
        <v>0.05</v>
      </c>
      <c r="I107" s="45">
        <v>7.46</v>
      </c>
      <c r="J107" s="45">
        <v>0.11</v>
      </c>
      <c r="K107" s="45">
        <v>7.78</v>
      </c>
      <c r="L107" s="51" t="s">
        <v>62</v>
      </c>
      <c r="M107" s="103" t="str">
        <f>IF(A107='Table 1.1 complete'!A107,"","sort code!")</f>
        <v/>
      </c>
    </row>
    <row r="108" spans="1:13" x14ac:dyDescent="0.25">
      <c r="A108" s="174" t="s">
        <v>158</v>
      </c>
      <c r="B108" s="205">
        <v>130</v>
      </c>
      <c r="C108" s="176" t="s">
        <v>423</v>
      </c>
      <c r="D108" s="135">
        <v>18</v>
      </c>
      <c r="E108" s="45" t="s">
        <v>62</v>
      </c>
      <c r="F108" s="45">
        <v>8.17</v>
      </c>
      <c r="G108" s="45" t="s">
        <v>62</v>
      </c>
      <c r="H108" s="45" t="s">
        <v>62</v>
      </c>
      <c r="I108" s="45">
        <v>68.430000000000007</v>
      </c>
      <c r="J108" s="45" t="s">
        <v>62</v>
      </c>
      <c r="K108" s="45">
        <v>76.599999999999994</v>
      </c>
      <c r="L108" s="51" t="s">
        <v>62</v>
      </c>
      <c r="M108" s="103" t="str">
        <f>IF(A108='Table 1.1 complete'!A108,"","sort code!")</f>
        <v/>
      </c>
    </row>
    <row r="109" spans="1:13" x14ac:dyDescent="0.25">
      <c r="A109" s="172" t="s">
        <v>18</v>
      </c>
      <c r="B109" s="203">
        <v>51</v>
      </c>
      <c r="C109" s="176" t="s">
        <v>423</v>
      </c>
      <c r="D109" s="135">
        <v>18</v>
      </c>
      <c r="E109" s="45" t="s">
        <v>62</v>
      </c>
      <c r="F109" s="45">
        <v>3.48</v>
      </c>
      <c r="G109" s="45">
        <v>1.02</v>
      </c>
      <c r="H109" s="45" t="s">
        <v>62</v>
      </c>
      <c r="I109" s="45">
        <v>1.95</v>
      </c>
      <c r="J109" s="45">
        <v>0.32</v>
      </c>
      <c r="K109" s="45">
        <v>6.77</v>
      </c>
      <c r="L109" s="51" t="s">
        <v>62</v>
      </c>
      <c r="M109" s="103" t="str">
        <f>IF(A109='Table 1.1 complete'!A109,"","sort code!")</f>
        <v/>
      </c>
    </row>
    <row r="110" spans="1:13" x14ac:dyDescent="0.25">
      <c r="A110" s="174" t="s">
        <v>159</v>
      </c>
      <c r="B110" s="205">
        <v>131</v>
      </c>
      <c r="C110" s="176" t="s">
        <v>423</v>
      </c>
      <c r="D110" s="135">
        <v>18</v>
      </c>
      <c r="E110" s="45" t="s">
        <v>62</v>
      </c>
      <c r="F110" s="45">
        <v>13.95</v>
      </c>
      <c r="G110" s="45" t="s">
        <v>62</v>
      </c>
      <c r="H110" s="45" t="s">
        <v>62</v>
      </c>
      <c r="I110" s="45">
        <v>2.29</v>
      </c>
      <c r="J110" s="45" t="s">
        <v>62</v>
      </c>
      <c r="K110" s="45">
        <v>16.239999999999998</v>
      </c>
      <c r="L110" s="51" t="s">
        <v>62</v>
      </c>
      <c r="M110" s="103" t="str">
        <f>IF(A110='Table 1.1 complete'!A110,"","sort code!")</f>
        <v/>
      </c>
    </row>
    <row r="111" spans="1:13" x14ac:dyDescent="0.25">
      <c r="A111" s="174" t="s">
        <v>123</v>
      </c>
      <c r="B111" s="205">
        <v>97</v>
      </c>
      <c r="C111" s="176" t="s">
        <v>423</v>
      </c>
      <c r="D111" s="135">
        <v>18</v>
      </c>
      <c r="E111" s="45" t="s">
        <v>62</v>
      </c>
      <c r="F111" s="45">
        <v>6.49</v>
      </c>
      <c r="G111" s="45" t="s">
        <v>62</v>
      </c>
      <c r="H111" s="45">
        <v>0</v>
      </c>
      <c r="I111" s="45">
        <v>94.83</v>
      </c>
      <c r="J111" s="45" t="s">
        <v>62</v>
      </c>
      <c r="K111" s="45">
        <v>101.33</v>
      </c>
      <c r="L111" s="51" t="s">
        <v>62</v>
      </c>
      <c r="M111" s="103" t="str">
        <f>IF(A111='Table 1.1 complete'!A111,"","sort code!")</f>
        <v/>
      </c>
    </row>
    <row r="112" spans="1:13" x14ac:dyDescent="0.25">
      <c r="A112" s="174" t="s">
        <v>124</v>
      </c>
      <c r="B112" s="205">
        <v>98</v>
      </c>
      <c r="C112" s="176" t="s">
        <v>423</v>
      </c>
      <c r="D112" s="135">
        <v>18</v>
      </c>
      <c r="E112" s="45" t="s">
        <v>62</v>
      </c>
      <c r="F112" s="45" t="s">
        <v>62</v>
      </c>
      <c r="G112" s="45" t="s">
        <v>62</v>
      </c>
      <c r="H112" s="45" t="s">
        <v>62</v>
      </c>
      <c r="I112" s="45">
        <v>3.83</v>
      </c>
      <c r="J112" s="45" t="s">
        <v>62</v>
      </c>
      <c r="K112" s="45">
        <v>3.83</v>
      </c>
      <c r="L112" s="51" t="s">
        <v>62</v>
      </c>
      <c r="M112" s="103" t="str">
        <f>IF(A112='Table 1.1 complete'!A112,"","sort code!")</f>
        <v/>
      </c>
    </row>
    <row r="113" spans="1:13" x14ac:dyDescent="0.25">
      <c r="A113" s="172" t="s">
        <v>21</v>
      </c>
      <c r="B113" s="203">
        <v>54</v>
      </c>
      <c r="C113" s="176" t="s">
        <v>423</v>
      </c>
      <c r="D113" s="135">
        <v>18</v>
      </c>
      <c r="E113" s="45" t="s">
        <v>62</v>
      </c>
      <c r="F113" s="45">
        <v>16.059999999999999</v>
      </c>
      <c r="G113" s="45" t="s">
        <v>62</v>
      </c>
      <c r="H113" s="45" t="s">
        <v>62</v>
      </c>
      <c r="I113" s="45">
        <v>0.01</v>
      </c>
      <c r="J113" s="45" t="s">
        <v>62</v>
      </c>
      <c r="K113" s="45">
        <v>16.079999999999998</v>
      </c>
      <c r="L113" s="51" t="s">
        <v>62</v>
      </c>
      <c r="M113" s="103" t="str">
        <f>IF(A113='Table 1.1 complete'!A113,"","sort code!")</f>
        <v/>
      </c>
    </row>
    <row r="114" spans="1:13" s="1" customFormat="1" x14ac:dyDescent="0.25">
      <c r="A114" s="174" t="s">
        <v>125</v>
      </c>
      <c r="B114" s="205">
        <v>99</v>
      </c>
      <c r="C114" s="176" t="s">
        <v>423</v>
      </c>
      <c r="D114" s="135">
        <v>18</v>
      </c>
      <c r="E114" s="45" t="s">
        <v>62</v>
      </c>
      <c r="F114" s="45">
        <v>3.51</v>
      </c>
      <c r="G114" s="45" t="s">
        <v>62</v>
      </c>
      <c r="H114" s="45" t="s">
        <v>62</v>
      </c>
      <c r="I114" s="45">
        <v>3</v>
      </c>
      <c r="J114" s="45" t="s">
        <v>62</v>
      </c>
      <c r="K114" s="45">
        <v>6.5</v>
      </c>
      <c r="L114" s="51" t="s">
        <v>62</v>
      </c>
      <c r="M114" s="103" t="str">
        <f>IF(A114='Table 1.1 complete'!A114,"","sort code!")</f>
        <v/>
      </c>
    </row>
    <row r="115" spans="1:13" x14ac:dyDescent="0.25">
      <c r="A115" s="173" t="s">
        <v>107</v>
      </c>
      <c r="B115" s="204">
        <v>81</v>
      </c>
      <c r="C115" s="176" t="s">
        <v>423</v>
      </c>
      <c r="D115" s="135">
        <v>18</v>
      </c>
      <c r="E115" s="45" t="s">
        <v>62</v>
      </c>
      <c r="F115" s="45" t="s">
        <v>62</v>
      </c>
      <c r="G115" s="45" t="s">
        <v>62</v>
      </c>
      <c r="H115" s="45" t="s">
        <v>62</v>
      </c>
      <c r="I115" s="45">
        <v>1.29</v>
      </c>
      <c r="J115" s="45" t="s">
        <v>62</v>
      </c>
      <c r="K115" s="45">
        <v>1.29</v>
      </c>
      <c r="L115" s="51" t="s">
        <v>62</v>
      </c>
      <c r="M115" s="103" t="str">
        <f>IF(A115='Table 1.1 complete'!A115,"","sort code!")</f>
        <v/>
      </c>
    </row>
    <row r="116" spans="1:13" s="1" customFormat="1" x14ac:dyDescent="0.25">
      <c r="A116" s="172" t="s">
        <v>22</v>
      </c>
      <c r="B116" s="203">
        <v>55</v>
      </c>
      <c r="C116" s="176" t="s">
        <v>423</v>
      </c>
      <c r="D116" s="135">
        <v>18</v>
      </c>
      <c r="E116" s="45" t="s">
        <v>62</v>
      </c>
      <c r="F116" s="45">
        <v>1.56</v>
      </c>
      <c r="G116" s="45" t="s">
        <v>62</v>
      </c>
      <c r="H116" s="45" t="s">
        <v>62</v>
      </c>
      <c r="I116" s="45">
        <v>0.13</v>
      </c>
      <c r="J116" s="45" t="s">
        <v>62</v>
      </c>
      <c r="K116" s="45">
        <v>1.69</v>
      </c>
      <c r="L116" s="51" t="s">
        <v>62</v>
      </c>
      <c r="M116" s="103" t="str">
        <f>IF(A116='Table 1.1 complete'!A116,"","sort code!")</f>
        <v/>
      </c>
    </row>
    <row r="117" spans="1:13" s="1" customFormat="1" x14ac:dyDescent="0.25">
      <c r="A117" s="174" t="s">
        <v>126</v>
      </c>
      <c r="B117" s="205">
        <v>100</v>
      </c>
      <c r="C117" s="176" t="s">
        <v>423</v>
      </c>
      <c r="D117" s="135">
        <v>18</v>
      </c>
      <c r="E117" s="45" t="s">
        <v>62</v>
      </c>
      <c r="F117" s="45">
        <v>2.8</v>
      </c>
      <c r="G117" s="45" t="s">
        <v>62</v>
      </c>
      <c r="H117" s="45" t="s">
        <v>62</v>
      </c>
      <c r="I117" s="45">
        <v>0.01</v>
      </c>
      <c r="J117" s="45" t="s">
        <v>62</v>
      </c>
      <c r="K117" s="45">
        <v>2.81</v>
      </c>
      <c r="L117" s="51" t="s">
        <v>62</v>
      </c>
      <c r="M117" s="103" t="str">
        <f>IF(A117='Table 1.1 complete'!A117,"","sort code!")</f>
        <v/>
      </c>
    </row>
    <row r="118" spans="1:13" x14ac:dyDescent="0.25">
      <c r="A118" s="173" t="s">
        <v>108</v>
      </c>
      <c r="B118" s="204">
        <v>82</v>
      </c>
      <c r="C118" s="176" t="s">
        <v>423</v>
      </c>
      <c r="D118" s="135">
        <v>18</v>
      </c>
      <c r="E118" s="45" t="s">
        <v>62</v>
      </c>
      <c r="F118" s="45">
        <v>0.31</v>
      </c>
      <c r="G118" s="45">
        <v>0.24</v>
      </c>
      <c r="H118" s="45" t="s">
        <v>62</v>
      </c>
      <c r="I118" s="45">
        <v>2.2799999999999998</v>
      </c>
      <c r="J118" s="45">
        <v>0.38</v>
      </c>
      <c r="K118" s="45">
        <v>3.21</v>
      </c>
      <c r="L118" s="51" t="s">
        <v>62</v>
      </c>
      <c r="M118" s="103" t="str">
        <f>IF(A118='Table 1.1 complete'!A118,"","sort code!")</f>
        <v/>
      </c>
    </row>
    <row r="119" spans="1:13" s="1" customFormat="1" x14ac:dyDescent="0.25">
      <c r="A119" s="173" t="s">
        <v>115</v>
      </c>
      <c r="B119" s="204">
        <v>89</v>
      </c>
      <c r="C119" s="176" t="s">
        <v>423</v>
      </c>
      <c r="D119" s="135">
        <v>18</v>
      </c>
      <c r="E119" s="45" t="s">
        <v>62</v>
      </c>
      <c r="F119" s="45">
        <v>1.04</v>
      </c>
      <c r="G119" s="45" t="s">
        <v>62</v>
      </c>
      <c r="H119" s="45" t="s">
        <v>62</v>
      </c>
      <c r="I119" s="45">
        <v>11.19</v>
      </c>
      <c r="J119" s="45">
        <v>0.1</v>
      </c>
      <c r="K119" s="45">
        <v>12.34</v>
      </c>
      <c r="L119" s="51" t="s">
        <v>62</v>
      </c>
      <c r="M119" s="103" t="str">
        <f>IF(A119='Table 1.1 complete'!A119,"","sort code!")</f>
        <v/>
      </c>
    </row>
    <row r="120" spans="1:13" s="1" customFormat="1" x14ac:dyDescent="0.25">
      <c r="A120" s="172" t="s">
        <v>32</v>
      </c>
      <c r="B120" s="203">
        <v>65</v>
      </c>
      <c r="C120" s="176" t="s">
        <v>423</v>
      </c>
      <c r="D120" s="135">
        <v>18</v>
      </c>
      <c r="E120" s="45" t="s">
        <v>62</v>
      </c>
      <c r="F120" s="45">
        <v>5.45</v>
      </c>
      <c r="G120" s="45" t="s">
        <v>62</v>
      </c>
      <c r="H120" s="45">
        <v>0.01</v>
      </c>
      <c r="I120" s="45">
        <v>8.36</v>
      </c>
      <c r="J120" s="45" t="s">
        <v>62</v>
      </c>
      <c r="K120" s="45">
        <v>13.82</v>
      </c>
      <c r="L120" s="51" t="s">
        <v>62</v>
      </c>
      <c r="M120" s="103" t="str">
        <f>IF(A120='Table 1.1 complete'!A120,"","sort code!")</f>
        <v/>
      </c>
    </row>
    <row r="121" spans="1:13" s="1" customFormat="1" x14ac:dyDescent="0.25">
      <c r="A121" s="174" t="s">
        <v>134</v>
      </c>
      <c r="B121" s="205">
        <v>108</v>
      </c>
      <c r="C121" s="176" t="s">
        <v>423</v>
      </c>
      <c r="D121" s="135">
        <v>18</v>
      </c>
      <c r="E121" s="45" t="s">
        <v>62</v>
      </c>
      <c r="F121" s="45">
        <v>9.8000000000000007</v>
      </c>
      <c r="G121" s="45" t="s">
        <v>62</v>
      </c>
      <c r="H121" s="45" t="s">
        <v>62</v>
      </c>
      <c r="I121" s="45">
        <v>8.48</v>
      </c>
      <c r="J121" s="45" t="s">
        <v>62</v>
      </c>
      <c r="K121" s="45">
        <v>18.28</v>
      </c>
      <c r="L121" s="51" t="s">
        <v>62</v>
      </c>
      <c r="M121" s="103" t="str">
        <f>IF(A121='Table 1.1 complete'!A121,"","sort code!")</f>
        <v/>
      </c>
    </row>
    <row r="122" spans="1:13" s="1" customFormat="1" x14ac:dyDescent="0.25">
      <c r="A122" s="175" t="s">
        <v>127</v>
      </c>
      <c r="B122" s="206">
        <v>101</v>
      </c>
      <c r="C122" s="176" t="s">
        <v>423</v>
      </c>
      <c r="D122" s="135">
        <v>18</v>
      </c>
      <c r="E122" s="91">
        <v>3.08</v>
      </c>
      <c r="F122" s="45">
        <v>28.71</v>
      </c>
      <c r="G122" s="45" t="s">
        <v>62</v>
      </c>
      <c r="H122" s="45" t="s">
        <v>62</v>
      </c>
      <c r="I122" s="45">
        <v>63.91</v>
      </c>
      <c r="J122" s="45" t="s">
        <v>62</v>
      </c>
      <c r="K122" s="45">
        <v>95.69</v>
      </c>
      <c r="L122" s="51" t="s">
        <v>62</v>
      </c>
      <c r="M122" s="103" t="str">
        <f>IF(A122='Table 1.1 complete'!A122,"","sort code!")</f>
        <v/>
      </c>
    </row>
    <row r="123" spans="1:13" x14ac:dyDescent="0.25">
      <c r="A123" s="173" t="s">
        <v>109</v>
      </c>
      <c r="B123" s="204">
        <v>83</v>
      </c>
      <c r="C123" s="176" t="s">
        <v>423</v>
      </c>
      <c r="D123" s="135">
        <v>18</v>
      </c>
      <c r="E123" s="45" t="s">
        <v>62</v>
      </c>
      <c r="F123" s="48">
        <v>3.67</v>
      </c>
      <c r="G123" s="48" t="s">
        <v>62</v>
      </c>
      <c r="H123" s="48" t="s">
        <v>62</v>
      </c>
      <c r="I123" s="48">
        <v>2.79</v>
      </c>
      <c r="J123" s="48">
        <v>0.02</v>
      </c>
      <c r="K123" s="48">
        <v>6.48</v>
      </c>
      <c r="L123" s="51" t="s">
        <v>62</v>
      </c>
      <c r="M123" s="103" t="str">
        <f>IF(A123='Table 1.1 complete'!A123,"","sort code!")</f>
        <v/>
      </c>
    </row>
    <row r="124" spans="1:13" x14ac:dyDescent="0.25">
      <c r="A124" s="173" t="s">
        <v>110</v>
      </c>
      <c r="B124" s="204">
        <v>84</v>
      </c>
      <c r="C124" s="176" t="s">
        <v>423</v>
      </c>
      <c r="D124" s="135">
        <v>18</v>
      </c>
      <c r="E124" s="45" t="s">
        <v>62</v>
      </c>
      <c r="F124" s="45">
        <v>53.73</v>
      </c>
      <c r="G124" s="45" t="s">
        <v>62</v>
      </c>
      <c r="H124" s="45" t="s">
        <v>62</v>
      </c>
      <c r="I124" s="45" t="s">
        <v>62</v>
      </c>
      <c r="J124" s="45" t="s">
        <v>62</v>
      </c>
      <c r="K124" s="45">
        <v>53.73</v>
      </c>
      <c r="L124" s="51" t="s">
        <v>62</v>
      </c>
      <c r="M124" s="103" t="str">
        <f>IF(A124='Table 1.1 complete'!A124,"","sort code!")</f>
        <v/>
      </c>
    </row>
    <row r="125" spans="1:13" s="1" customFormat="1" x14ac:dyDescent="0.25">
      <c r="A125" s="173" t="s">
        <v>111</v>
      </c>
      <c r="B125" s="204">
        <v>85</v>
      </c>
      <c r="C125" s="176" t="s">
        <v>423</v>
      </c>
      <c r="D125" s="135">
        <v>18</v>
      </c>
      <c r="E125" s="45" t="s">
        <v>62</v>
      </c>
      <c r="F125" s="45">
        <v>19.55</v>
      </c>
      <c r="G125" s="45" t="s">
        <v>62</v>
      </c>
      <c r="H125" s="45">
        <v>0</v>
      </c>
      <c r="I125" s="45">
        <v>9.93</v>
      </c>
      <c r="J125" s="45">
        <v>0.45</v>
      </c>
      <c r="K125" s="45">
        <v>29.93</v>
      </c>
      <c r="L125" s="51" t="s">
        <v>62</v>
      </c>
      <c r="M125" s="103" t="str">
        <f>IF(A125='Table 1.1 complete'!A125,"","sort code!")</f>
        <v/>
      </c>
    </row>
    <row r="126" spans="1:13" x14ac:dyDescent="0.25">
      <c r="A126" s="174" t="s">
        <v>128</v>
      </c>
      <c r="B126" s="205">
        <v>102</v>
      </c>
      <c r="C126" s="176" t="s">
        <v>423</v>
      </c>
      <c r="D126" s="135">
        <v>18</v>
      </c>
      <c r="E126" s="45" t="s">
        <v>62</v>
      </c>
      <c r="F126" s="45">
        <v>8.56</v>
      </c>
      <c r="G126" s="45">
        <v>10.220000000000001</v>
      </c>
      <c r="H126" s="45">
        <v>0.06</v>
      </c>
      <c r="I126" s="45">
        <v>40.770000000000003</v>
      </c>
      <c r="J126" s="45" t="s">
        <v>62</v>
      </c>
      <c r="K126" s="45">
        <v>59.61</v>
      </c>
      <c r="L126" s="51" t="s">
        <v>62</v>
      </c>
      <c r="M126" s="103" t="str">
        <f>IF(A126='Table 1.1 complete'!A126,"","sort code!")</f>
        <v/>
      </c>
    </row>
    <row r="127" spans="1:13" x14ac:dyDescent="0.25">
      <c r="A127" s="176" t="s">
        <v>162</v>
      </c>
      <c r="B127" s="207">
        <v>134</v>
      </c>
      <c r="C127" s="176" t="s">
        <v>423</v>
      </c>
      <c r="D127" s="135">
        <v>18</v>
      </c>
      <c r="E127" s="45" t="s">
        <v>62</v>
      </c>
      <c r="F127" s="45">
        <v>0.03</v>
      </c>
      <c r="G127" s="45" t="s">
        <v>62</v>
      </c>
      <c r="H127" s="45" t="s">
        <v>62</v>
      </c>
      <c r="I127" s="45">
        <v>3.81</v>
      </c>
      <c r="J127" s="45" t="s">
        <v>62</v>
      </c>
      <c r="K127" s="45">
        <v>3.85</v>
      </c>
      <c r="L127" s="51" t="s">
        <v>62</v>
      </c>
      <c r="M127" s="103" t="str">
        <f>IF(A127='Table 1.1 complete'!A127,"","sort code!")</f>
        <v/>
      </c>
    </row>
    <row r="128" spans="1:13" x14ac:dyDescent="0.25">
      <c r="A128" s="172" t="s">
        <v>24</v>
      </c>
      <c r="B128" s="203">
        <v>57</v>
      </c>
      <c r="C128" s="176" t="s">
        <v>423</v>
      </c>
      <c r="D128" s="135">
        <v>18</v>
      </c>
      <c r="E128" s="45" t="s">
        <v>62</v>
      </c>
      <c r="F128" s="45">
        <v>0.22</v>
      </c>
      <c r="G128" s="45" t="s">
        <v>62</v>
      </c>
      <c r="H128" s="45">
        <v>0.03</v>
      </c>
      <c r="I128" s="45">
        <v>1.72</v>
      </c>
      <c r="J128" s="45">
        <v>0.05</v>
      </c>
      <c r="K128" s="45">
        <v>2.02</v>
      </c>
      <c r="L128" s="51" t="s">
        <v>62</v>
      </c>
      <c r="M128" s="103" t="str">
        <f>IF(A128='Table 1.1 complete'!A128,"","sort code!")</f>
        <v/>
      </c>
    </row>
    <row r="129" spans="1:13" s="1" customFormat="1" x14ac:dyDescent="0.25">
      <c r="A129" s="176" t="s">
        <v>150</v>
      </c>
      <c r="B129" s="207">
        <v>122</v>
      </c>
      <c r="C129" s="176" t="s">
        <v>423</v>
      </c>
      <c r="D129" s="135">
        <v>18</v>
      </c>
      <c r="E129" s="45" t="s">
        <v>62</v>
      </c>
      <c r="F129" s="45">
        <v>10.039999999999999</v>
      </c>
      <c r="G129" s="45" t="s">
        <v>62</v>
      </c>
      <c r="H129" s="45" t="s">
        <v>62</v>
      </c>
      <c r="I129" s="45">
        <v>26.49</v>
      </c>
      <c r="J129" s="45" t="s">
        <v>62</v>
      </c>
      <c r="K129" s="45">
        <v>36.520000000000003</v>
      </c>
      <c r="L129" s="51" t="s">
        <v>62</v>
      </c>
      <c r="M129" s="103" t="str">
        <f>IF(A129='Table 1.1 complete'!A129,"","sort code!")</f>
        <v/>
      </c>
    </row>
    <row r="130" spans="1:13" x14ac:dyDescent="0.25">
      <c r="A130" s="174" t="s">
        <v>129</v>
      </c>
      <c r="B130" s="205">
        <v>103</v>
      </c>
      <c r="C130" s="176" t="s">
        <v>423</v>
      </c>
      <c r="D130" s="135">
        <v>18</v>
      </c>
      <c r="E130" s="45" t="s">
        <v>62</v>
      </c>
      <c r="F130" s="45" t="s">
        <v>62</v>
      </c>
      <c r="G130" s="45" t="s">
        <v>62</v>
      </c>
      <c r="H130" s="45" t="s">
        <v>62</v>
      </c>
      <c r="I130" s="45">
        <v>41.13</v>
      </c>
      <c r="J130" s="45" t="s">
        <v>62</v>
      </c>
      <c r="K130" s="45">
        <v>41.13</v>
      </c>
      <c r="L130" s="51" t="s">
        <v>62</v>
      </c>
      <c r="M130" s="103" t="str">
        <f>IF(A130='Table 1.1 complete'!A130,"","sort code!")</f>
        <v/>
      </c>
    </row>
    <row r="131" spans="1:13" x14ac:dyDescent="0.25">
      <c r="A131" s="174" t="s">
        <v>130</v>
      </c>
      <c r="B131" s="205">
        <v>104</v>
      </c>
      <c r="C131" s="176" t="s">
        <v>423</v>
      </c>
      <c r="D131" s="135">
        <v>18</v>
      </c>
      <c r="E131" s="45" t="s">
        <v>62</v>
      </c>
      <c r="F131" s="45">
        <v>3.95</v>
      </c>
      <c r="G131" s="45" t="s">
        <v>62</v>
      </c>
      <c r="H131" s="45">
        <v>0.02</v>
      </c>
      <c r="I131" s="45">
        <v>5.94</v>
      </c>
      <c r="J131" s="45">
        <v>0</v>
      </c>
      <c r="K131" s="45">
        <v>9.9</v>
      </c>
      <c r="L131" s="51" t="s">
        <v>62</v>
      </c>
      <c r="M131" s="103" t="str">
        <f>IF(A131='Table 1.1 complete'!A131,"","sort code!")</f>
        <v/>
      </c>
    </row>
    <row r="132" spans="1:13" x14ac:dyDescent="0.25">
      <c r="A132" s="172" t="s">
        <v>26</v>
      </c>
      <c r="B132" s="203">
        <v>59</v>
      </c>
      <c r="C132" s="176" t="s">
        <v>423</v>
      </c>
      <c r="D132" s="135">
        <v>18</v>
      </c>
      <c r="E132" s="45" t="s">
        <v>62</v>
      </c>
      <c r="F132" s="45">
        <v>1.45</v>
      </c>
      <c r="G132" s="45" t="s">
        <v>62</v>
      </c>
      <c r="H132" s="45" t="s">
        <v>62</v>
      </c>
      <c r="I132" s="45">
        <v>3.09</v>
      </c>
      <c r="J132" s="45" t="s">
        <v>62</v>
      </c>
      <c r="K132" s="45">
        <v>4.54</v>
      </c>
      <c r="L132" s="51" t="s">
        <v>62</v>
      </c>
      <c r="M132" s="103" t="str">
        <f>IF(A132='Table 1.1 complete'!A132,"","sort code!")</f>
        <v/>
      </c>
    </row>
    <row r="133" spans="1:13" x14ac:dyDescent="0.25">
      <c r="A133" s="174" t="s">
        <v>164</v>
      </c>
      <c r="B133" s="205">
        <v>136</v>
      </c>
      <c r="C133" s="176" t="s">
        <v>423</v>
      </c>
      <c r="D133" s="135">
        <v>18</v>
      </c>
      <c r="E133" s="45" t="s">
        <v>62</v>
      </c>
      <c r="F133" s="45">
        <v>17.11</v>
      </c>
      <c r="G133" s="45" t="s">
        <v>62</v>
      </c>
      <c r="H133" s="45" t="s">
        <v>62</v>
      </c>
      <c r="I133" s="45">
        <v>0.38</v>
      </c>
      <c r="J133" s="45" t="s">
        <v>62</v>
      </c>
      <c r="K133" s="45">
        <v>17.489999999999998</v>
      </c>
      <c r="L133" s="51" t="s">
        <v>62</v>
      </c>
      <c r="M133" s="103" t="str">
        <f>IF(A133='Table 1.1 complete'!A133,"","sort code!")</f>
        <v/>
      </c>
    </row>
    <row r="134" spans="1:13" x14ac:dyDescent="0.25">
      <c r="A134" s="174" t="s">
        <v>132</v>
      </c>
      <c r="B134" s="205">
        <v>106</v>
      </c>
      <c r="C134" s="176" t="s">
        <v>423</v>
      </c>
      <c r="D134" s="135">
        <v>18</v>
      </c>
      <c r="E134" s="45" t="s">
        <v>62</v>
      </c>
      <c r="F134" s="45">
        <v>8.11</v>
      </c>
      <c r="G134" s="45">
        <v>0</v>
      </c>
      <c r="H134" s="45" t="s">
        <v>62</v>
      </c>
      <c r="I134" s="45">
        <v>131.07</v>
      </c>
      <c r="J134" s="45">
        <v>4.1900000000000004</v>
      </c>
      <c r="K134" s="45">
        <v>143.38</v>
      </c>
      <c r="L134" s="51" t="s">
        <v>62</v>
      </c>
      <c r="M134" s="103" t="str">
        <f>IF(A134='Table 1.1 complete'!A134,"","sort code!")</f>
        <v/>
      </c>
    </row>
    <row r="135" spans="1:13" s="1" customFormat="1" x14ac:dyDescent="0.25">
      <c r="A135" s="172" t="s">
        <v>28</v>
      </c>
      <c r="B135" s="203">
        <v>61</v>
      </c>
      <c r="C135" s="176" t="s">
        <v>423</v>
      </c>
      <c r="D135" s="135">
        <v>18</v>
      </c>
      <c r="E135" s="45" t="s">
        <v>62</v>
      </c>
      <c r="F135" s="45">
        <v>0.09</v>
      </c>
      <c r="G135" s="45" t="s">
        <v>62</v>
      </c>
      <c r="H135" s="45" t="s">
        <v>62</v>
      </c>
      <c r="I135" s="45">
        <v>0.09</v>
      </c>
      <c r="J135" s="45">
        <v>0.01</v>
      </c>
      <c r="K135" s="45">
        <v>0.2</v>
      </c>
      <c r="L135" s="51" t="s">
        <v>62</v>
      </c>
      <c r="M135" s="103" t="str">
        <f>IF(A135='Table 1.1 complete'!A135,"","sort code!")</f>
        <v/>
      </c>
    </row>
    <row r="136" spans="1:13" x14ac:dyDescent="0.25">
      <c r="A136" s="173" t="s">
        <v>112</v>
      </c>
      <c r="B136" s="204">
        <v>86</v>
      </c>
      <c r="C136" s="176" t="s">
        <v>423</v>
      </c>
      <c r="D136" s="135">
        <v>18</v>
      </c>
      <c r="E136" s="45" t="s">
        <v>62</v>
      </c>
      <c r="F136" s="45" t="s">
        <v>62</v>
      </c>
      <c r="G136" s="45" t="s">
        <v>62</v>
      </c>
      <c r="H136" s="45" t="s">
        <v>62</v>
      </c>
      <c r="I136" s="45">
        <v>7.65</v>
      </c>
      <c r="J136" s="45">
        <v>0.01</v>
      </c>
      <c r="K136" s="45">
        <v>7.66</v>
      </c>
      <c r="L136" s="51" t="s">
        <v>62</v>
      </c>
      <c r="M136" s="103" t="str">
        <f>IF(A136='Table 1.1 complete'!A136,"","sort code!")</f>
        <v/>
      </c>
    </row>
    <row r="137" spans="1:13" x14ac:dyDescent="0.25">
      <c r="A137" s="176" t="s">
        <v>90</v>
      </c>
      <c r="B137" s="207">
        <v>31</v>
      </c>
      <c r="C137" s="176" t="s">
        <v>423</v>
      </c>
      <c r="D137" s="135">
        <v>18</v>
      </c>
      <c r="E137" s="45" t="s">
        <v>62</v>
      </c>
      <c r="F137" s="45">
        <v>35.85</v>
      </c>
      <c r="G137" s="45">
        <v>0.16</v>
      </c>
      <c r="H137" s="45">
        <v>0.36</v>
      </c>
      <c r="I137" s="45">
        <v>154.97999999999999</v>
      </c>
      <c r="J137" s="45">
        <v>0.21</v>
      </c>
      <c r="K137" s="45">
        <v>191.56</v>
      </c>
      <c r="L137" s="51" t="s">
        <v>62</v>
      </c>
      <c r="M137" s="103" t="str">
        <f>IF(A137='Table 1.1 complete'!A137,"","sort code!")</f>
        <v/>
      </c>
    </row>
    <row r="138" spans="1:13" x14ac:dyDescent="0.25">
      <c r="A138" s="174" t="s">
        <v>165</v>
      </c>
      <c r="B138" s="205">
        <v>137</v>
      </c>
      <c r="C138" s="176" t="s">
        <v>423</v>
      </c>
      <c r="D138" s="135">
        <v>18</v>
      </c>
      <c r="E138" s="45" t="s">
        <v>62</v>
      </c>
      <c r="F138" s="45">
        <v>0</v>
      </c>
      <c r="G138" s="45" t="s">
        <v>62</v>
      </c>
      <c r="H138" s="45" t="s">
        <v>62</v>
      </c>
      <c r="I138" s="45">
        <v>14.88</v>
      </c>
      <c r="J138" s="45" t="s">
        <v>62</v>
      </c>
      <c r="K138" s="45">
        <v>14.88</v>
      </c>
      <c r="L138" s="51" t="s">
        <v>62</v>
      </c>
      <c r="M138" s="103" t="str">
        <f>IF(A138='Table 1.1 complete'!A138,"","sort code!")</f>
        <v/>
      </c>
    </row>
    <row r="139" spans="1:13" x14ac:dyDescent="0.25">
      <c r="A139" s="176" t="s">
        <v>166</v>
      </c>
      <c r="B139" s="207">
        <v>138</v>
      </c>
      <c r="C139" s="176" t="s">
        <v>423</v>
      </c>
      <c r="D139" s="135">
        <v>18</v>
      </c>
      <c r="E139" s="45">
        <v>92.54</v>
      </c>
      <c r="F139" s="45">
        <v>10.26</v>
      </c>
      <c r="G139" s="45" t="s">
        <v>62</v>
      </c>
      <c r="H139" s="45">
        <v>0.05</v>
      </c>
      <c r="I139" s="45">
        <v>93.41</v>
      </c>
      <c r="J139" s="45" t="s">
        <v>62</v>
      </c>
      <c r="K139" s="45">
        <v>196.25</v>
      </c>
      <c r="L139" s="51" t="s">
        <v>62</v>
      </c>
      <c r="M139" s="103" t="str">
        <f>IF(A139='Table 1.1 complete'!A139,"","sort code!")</f>
        <v/>
      </c>
    </row>
    <row r="140" spans="1:13" x14ac:dyDescent="0.25">
      <c r="A140" s="172" t="s">
        <v>27</v>
      </c>
      <c r="B140" s="203">
        <v>60</v>
      </c>
      <c r="C140" s="176" t="s">
        <v>423</v>
      </c>
      <c r="D140" s="135">
        <v>18</v>
      </c>
      <c r="E140" s="45" t="s">
        <v>62</v>
      </c>
      <c r="F140" s="45">
        <v>2.5099999999999998</v>
      </c>
      <c r="G140" s="45" t="s">
        <v>62</v>
      </c>
      <c r="H140" s="45" t="s">
        <v>62</v>
      </c>
      <c r="I140" s="45">
        <v>1.66</v>
      </c>
      <c r="J140" s="45" t="s">
        <v>62</v>
      </c>
      <c r="K140" s="45">
        <v>4.18</v>
      </c>
      <c r="L140" s="51" t="s">
        <v>62</v>
      </c>
      <c r="M140" s="103" t="str">
        <f>IF(A140='Table 1.1 complete'!A140,"","sort code!")</f>
        <v/>
      </c>
    </row>
    <row r="141" spans="1:13" x14ac:dyDescent="0.25">
      <c r="A141" s="173" t="s">
        <v>113</v>
      </c>
      <c r="B141" s="204">
        <v>87</v>
      </c>
      <c r="C141" s="176" t="s">
        <v>423</v>
      </c>
      <c r="D141" s="135">
        <v>18</v>
      </c>
      <c r="E141" s="45" t="s">
        <v>62</v>
      </c>
      <c r="F141" s="45">
        <v>8.07</v>
      </c>
      <c r="G141" s="45" t="s">
        <v>62</v>
      </c>
      <c r="H141" s="45" t="s">
        <v>62</v>
      </c>
      <c r="I141" s="45">
        <v>1.22</v>
      </c>
      <c r="J141" s="45">
        <v>0.13</v>
      </c>
      <c r="K141" s="45">
        <v>9.43</v>
      </c>
      <c r="L141" s="51" t="s">
        <v>62</v>
      </c>
      <c r="M141" s="103" t="str">
        <f>IF(A141='Table 1.1 complete'!A141,"","sort code!")</f>
        <v/>
      </c>
    </row>
    <row r="142" spans="1:13" x14ac:dyDescent="0.25">
      <c r="A142" s="174" t="s">
        <v>167</v>
      </c>
      <c r="B142" s="205">
        <v>139</v>
      </c>
      <c r="C142" s="176" t="s">
        <v>423</v>
      </c>
      <c r="D142" s="135">
        <v>18</v>
      </c>
      <c r="E142" s="45" t="s">
        <v>62</v>
      </c>
      <c r="F142" s="45">
        <v>6.4</v>
      </c>
      <c r="G142" s="45" t="s">
        <v>62</v>
      </c>
      <c r="H142" s="45" t="s">
        <v>62</v>
      </c>
      <c r="I142" s="45">
        <v>42.55</v>
      </c>
      <c r="J142" s="45" t="s">
        <v>62</v>
      </c>
      <c r="K142" s="45">
        <v>48.95</v>
      </c>
      <c r="L142" s="51" t="s">
        <v>62</v>
      </c>
      <c r="M142" s="103" t="str">
        <f>IF(A142='Table 1.1 complete'!A142,"","sort code!")</f>
        <v/>
      </c>
    </row>
    <row r="143" spans="1:13" x14ac:dyDescent="0.25">
      <c r="A143" s="174" t="s">
        <v>133</v>
      </c>
      <c r="B143" s="205">
        <v>107</v>
      </c>
      <c r="C143" s="176" t="s">
        <v>423</v>
      </c>
      <c r="D143" s="135">
        <v>18</v>
      </c>
      <c r="E143" s="45" t="s">
        <v>62</v>
      </c>
      <c r="F143" s="45">
        <v>29.88</v>
      </c>
      <c r="G143" s="45" t="s">
        <v>62</v>
      </c>
      <c r="H143" s="45" t="s">
        <v>62</v>
      </c>
      <c r="I143" s="45">
        <v>39.6</v>
      </c>
      <c r="J143" s="45" t="s">
        <v>62</v>
      </c>
      <c r="K143" s="45">
        <v>69.489999999999995</v>
      </c>
      <c r="L143" s="51" t="s">
        <v>62</v>
      </c>
      <c r="M143" s="103" t="str">
        <f>IF(A143='Table 1.1 complete'!A143,"","sort code!")</f>
        <v/>
      </c>
    </row>
    <row r="144" spans="1:13" x14ac:dyDescent="0.25">
      <c r="A144" s="172" t="s">
        <v>30</v>
      </c>
      <c r="B144" s="203">
        <v>63</v>
      </c>
      <c r="C144" s="176" t="s">
        <v>423</v>
      </c>
      <c r="D144" s="135">
        <v>18</v>
      </c>
      <c r="E144" s="45" t="s">
        <v>62</v>
      </c>
      <c r="F144" s="45">
        <v>9.8000000000000007</v>
      </c>
      <c r="G144" s="45" t="s">
        <v>62</v>
      </c>
      <c r="H144" s="45" t="s">
        <v>62</v>
      </c>
      <c r="I144" s="45">
        <v>0.06</v>
      </c>
      <c r="J144" s="45" t="s">
        <v>62</v>
      </c>
      <c r="K144" s="45">
        <v>9.85</v>
      </c>
      <c r="L144" s="51" t="s">
        <v>62</v>
      </c>
      <c r="M144" s="103" t="str">
        <f>IF(A144='Table 1.1 complete'!A144,"","sort code!")</f>
        <v/>
      </c>
    </row>
    <row r="145" spans="1:13" s="1" customFormat="1" x14ac:dyDescent="0.25">
      <c r="A145" s="172" t="s">
        <v>31</v>
      </c>
      <c r="B145" s="203">
        <v>64</v>
      </c>
      <c r="C145" s="176" t="s">
        <v>423</v>
      </c>
      <c r="D145" s="135">
        <v>18</v>
      </c>
      <c r="E145" s="45" t="s">
        <v>62</v>
      </c>
      <c r="F145" s="45">
        <v>5.21</v>
      </c>
      <c r="G145" s="45" t="s">
        <v>62</v>
      </c>
      <c r="H145" s="45" t="s">
        <v>62</v>
      </c>
      <c r="I145" s="45">
        <v>3.97</v>
      </c>
      <c r="J145" s="45" t="s">
        <v>62</v>
      </c>
      <c r="K145" s="45">
        <v>9.18</v>
      </c>
      <c r="L145" s="51" t="s">
        <v>62</v>
      </c>
      <c r="M145" s="103" t="str">
        <f>IF(A145='Table 1.1 complete'!A145,"","sort code!")</f>
        <v/>
      </c>
    </row>
    <row r="146" spans="1:13" x14ac:dyDescent="0.25">
      <c r="A146" s="35" t="s">
        <v>33</v>
      </c>
      <c r="B146" s="72">
        <v>66</v>
      </c>
      <c r="C146" s="266" t="s">
        <v>277</v>
      </c>
      <c r="D146" s="73">
        <v>99</v>
      </c>
      <c r="E146" s="44">
        <v>11.32</v>
      </c>
      <c r="F146" s="44">
        <v>98.63</v>
      </c>
      <c r="G146" s="44">
        <v>1.02</v>
      </c>
      <c r="H146" s="44">
        <v>1.25</v>
      </c>
      <c r="I146" s="44">
        <v>505.09</v>
      </c>
      <c r="J146" s="44">
        <v>0.76</v>
      </c>
      <c r="K146" s="44">
        <v>618.07000000000005</v>
      </c>
      <c r="L146" s="51" t="s">
        <v>62</v>
      </c>
      <c r="M146" s="103" t="str">
        <f>IF(A146='Table 1.1 complete'!A146,"","sort code!")</f>
        <v/>
      </c>
    </row>
    <row r="147" spans="1:13" x14ac:dyDescent="0.25">
      <c r="A147" s="35" t="s">
        <v>135</v>
      </c>
      <c r="B147" s="74">
        <v>109</v>
      </c>
      <c r="C147" s="77" t="s">
        <v>278</v>
      </c>
      <c r="D147" s="73">
        <v>99</v>
      </c>
      <c r="E147" s="44">
        <v>60.39</v>
      </c>
      <c r="F147" s="44">
        <v>259.99</v>
      </c>
      <c r="G147" s="44">
        <v>17.239999999999998</v>
      </c>
      <c r="H147" s="44">
        <v>12.2</v>
      </c>
      <c r="I147" s="44">
        <v>1420.72</v>
      </c>
      <c r="J147" s="44">
        <v>9.84</v>
      </c>
      <c r="K147" s="44">
        <v>1780.36</v>
      </c>
      <c r="L147" s="75" t="s">
        <v>62</v>
      </c>
      <c r="M147" s="103" t="str">
        <f>IF(A147='Table 1.1 complete'!A147,"","sort code!")</f>
        <v/>
      </c>
    </row>
    <row r="148" spans="1:13" x14ac:dyDescent="0.25">
      <c r="A148" s="35" t="s">
        <v>138</v>
      </c>
      <c r="B148" s="74">
        <v>112</v>
      </c>
      <c r="C148" s="77" t="s">
        <v>279</v>
      </c>
      <c r="D148" s="73">
        <v>99</v>
      </c>
      <c r="E148" s="44">
        <v>62.13</v>
      </c>
      <c r="F148" s="44">
        <v>485.26</v>
      </c>
      <c r="G148" s="44" t="s">
        <v>62</v>
      </c>
      <c r="H148" s="44">
        <v>8.91</v>
      </c>
      <c r="I148" s="44">
        <v>2759.57</v>
      </c>
      <c r="J148" s="44">
        <v>2.31</v>
      </c>
      <c r="K148" s="44">
        <v>3318.19</v>
      </c>
      <c r="L148" s="75" t="s">
        <v>62</v>
      </c>
      <c r="M148" s="103" t="str">
        <f>IF(A148='Table 1.1 complete'!A148,"","sort code!")</f>
        <v/>
      </c>
    </row>
    <row r="149" spans="1:13" x14ac:dyDescent="0.25">
      <c r="A149" s="35" t="s">
        <v>168</v>
      </c>
      <c r="B149" s="74">
        <v>140</v>
      </c>
      <c r="C149" s="77" t="s">
        <v>280</v>
      </c>
      <c r="D149" s="73">
        <v>99</v>
      </c>
      <c r="E149" s="44">
        <v>264.97000000000003</v>
      </c>
      <c r="F149" s="44">
        <v>249.69</v>
      </c>
      <c r="G149" s="44">
        <v>0.49</v>
      </c>
      <c r="H149" s="44">
        <v>0.54</v>
      </c>
      <c r="I149" s="44">
        <v>972.93</v>
      </c>
      <c r="J149" s="44">
        <v>2.21</v>
      </c>
      <c r="K149" s="44">
        <v>1490.82</v>
      </c>
      <c r="L149" s="75" t="s">
        <v>62</v>
      </c>
      <c r="M149" s="103" t="str">
        <f>IF(A149='Table 1.1 complete'!A149,"","sort code!")</f>
        <v/>
      </c>
    </row>
    <row r="150" spans="1:13" x14ac:dyDescent="0.25">
      <c r="A150" s="35" t="s">
        <v>116</v>
      </c>
      <c r="B150" s="74">
        <v>90</v>
      </c>
      <c r="C150" s="77" t="s">
        <v>281</v>
      </c>
      <c r="D150" s="73">
        <v>99</v>
      </c>
      <c r="E150" s="44">
        <v>19.57</v>
      </c>
      <c r="F150" s="44">
        <v>669.28</v>
      </c>
      <c r="G150" s="44">
        <v>2.86</v>
      </c>
      <c r="H150" s="44">
        <v>2.41</v>
      </c>
      <c r="I150" s="44">
        <v>286.81</v>
      </c>
      <c r="J150" s="44">
        <v>25.95</v>
      </c>
      <c r="K150" s="44">
        <v>1006.88</v>
      </c>
      <c r="L150" s="75" t="s">
        <v>62</v>
      </c>
      <c r="M150" s="103" t="str">
        <f>IF(A150='Table 1.1 complete'!A150,"","sort code!")</f>
        <v/>
      </c>
    </row>
    <row r="151" spans="1:13" x14ac:dyDescent="0.25">
      <c r="A151" s="31" t="s">
        <v>182</v>
      </c>
      <c r="B151" s="74">
        <v>154</v>
      </c>
      <c r="C151" s="266" t="s">
        <v>282</v>
      </c>
      <c r="D151" s="73">
        <v>99</v>
      </c>
      <c r="E151" s="46" t="s">
        <v>62</v>
      </c>
      <c r="F151" s="46">
        <v>22.69</v>
      </c>
      <c r="G151" s="46" t="s">
        <v>62</v>
      </c>
      <c r="H151" s="46">
        <v>0.16</v>
      </c>
      <c r="I151" s="46">
        <v>691.75</v>
      </c>
      <c r="J151" s="46">
        <v>0.01</v>
      </c>
      <c r="K151" s="46">
        <v>714.6</v>
      </c>
      <c r="L151" s="75" t="s">
        <v>62</v>
      </c>
      <c r="M151" s="103" t="str">
        <f>IF(A151='Table 1.1 complete'!A151,"","sort code!")</f>
        <v/>
      </c>
    </row>
    <row r="152" spans="1:13" x14ac:dyDescent="0.25">
      <c r="A152" s="35" t="s">
        <v>152</v>
      </c>
      <c r="B152" s="74">
        <v>124</v>
      </c>
      <c r="C152" s="77" t="s">
        <v>283</v>
      </c>
      <c r="D152" s="73">
        <v>99</v>
      </c>
      <c r="E152" s="44">
        <v>28.05</v>
      </c>
      <c r="F152" s="44">
        <v>44.7</v>
      </c>
      <c r="G152" s="44" t="s">
        <v>62</v>
      </c>
      <c r="H152" s="44">
        <v>0.09</v>
      </c>
      <c r="I152" s="44">
        <v>124.51</v>
      </c>
      <c r="J152" s="44">
        <v>0.17</v>
      </c>
      <c r="K152" s="44">
        <v>197.52</v>
      </c>
      <c r="L152" s="75" t="s">
        <v>62</v>
      </c>
      <c r="M152" s="103" t="str">
        <f>IF(A152='Table 1.1 complete'!A152,"","sort code!")</f>
        <v/>
      </c>
    </row>
    <row r="153" spans="1:13" x14ac:dyDescent="0.25">
      <c r="A153" s="31" t="s">
        <v>183</v>
      </c>
      <c r="B153" s="74">
        <v>155</v>
      </c>
      <c r="C153" s="77" t="s">
        <v>284</v>
      </c>
      <c r="D153" s="73">
        <v>99</v>
      </c>
      <c r="E153" s="46">
        <v>446.42</v>
      </c>
      <c r="F153" s="46">
        <v>1830.23</v>
      </c>
      <c r="G153" s="46">
        <v>21.61</v>
      </c>
      <c r="H153" s="46">
        <v>25.54</v>
      </c>
      <c r="I153" s="46">
        <v>6761.39</v>
      </c>
      <c r="J153" s="46">
        <v>41.24</v>
      </c>
      <c r="K153" s="46">
        <v>9126.43</v>
      </c>
      <c r="L153" s="75" t="s">
        <v>62</v>
      </c>
      <c r="M153" s="103" t="str">
        <f>IF(A153='Table 1.1 complete'!A153,"","sort code!")</f>
        <v/>
      </c>
    </row>
    <row r="154" spans="1:13" s="1" customFormat="1" x14ac:dyDescent="0.25">
      <c r="A154" s="35" t="s">
        <v>92</v>
      </c>
      <c r="B154" s="74">
        <v>2</v>
      </c>
      <c r="C154" s="77" t="s">
        <v>285</v>
      </c>
      <c r="D154" s="73">
        <v>99</v>
      </c>
      <c r="E154" s="44">
        <v>446.42</v>
      </c>
      <c r="F154" s="44">
        <v>1830.23</v>
      </c>
      <c r="G154" s="44">
        <v>21.61</v>
      </c>
      <c r="H154" s="44">
        <v>25.54</v>
      </c>
      <c r="I154" s="44">
        <v>6761.39</v>
      </c>
      <c r="J154" s="44">
        <v>41.24</v>
      </c>
      <c r="K154" s="44">
        <v>9126.43</v>
      </c>
      <c r="L154" s="75" t="s">
        <v>62</v>
      </c>
      <c r="M154" s="103" t="str">
        <f>IF(A154='Table 1.1 complete'!A154,"","sort code!")</f>
        <v/>
      </c>
    </row>
    <row r="155" spans="1:13" x14ac:dyDescent="0.25">
      <c r="A155" s="35" t="s">
        <v>99</v>
      </c>
      <c r="B155" s="74">
        <v>35</v>
      </c>
      <c r="C155" s="77" t="s">
        <v>286</v>
      </c>
      <c r="D155" s="73">
        <v>99</v>
      </c>
      <c r="E155" s="44">
        <v>925.32</v>
      </c>
      <c r="F155" s="44">
        <v>533.11</v>
      </c>
      <c r="G155" s="44">
        <v>9.51</v>
      </c>
      <c r="H155" s="44">
        <v>111.93</v>
      </c>
      <c r="I155" s="44">
        <v>1924.54</v>
      </c>
      <c r="J155" s="44">
        <v>108.09</v>
      </c>
      <c r="K155" s="44">
        <v>3612.5</v>
      </c>
      <c r="L155" s="75" t="s">
        <v>62</v>
      </c>
      <c r="M155" s="103" t="str">
        <f>IF(A155='Table 1.1 complete'!A155,"","sort code!")</f>
        <v/>
      </c>
    </row>
    <row r="156" spans="1:13" s="1" customFormat="1" x14ac:dyDescent="0.25">
      <c r="A156" s="31" t="s">
        <v>101</v>
      </c>
      <c r="B156" s="74">
        <v>37</v>
      </c>
      <c r="C156" s="266" t="s">
        <v>287</v>
      </c>
      <c r="D156" s="73">
        <v>99</v>
      </c>
      <c r="E156" s="46">
        <v>940.55</v>
      </c>
      <c r="F156" s="46">
        <v>671.34</v>
      </c>
      <c r="G156" s="46">
        <v>24.2</v>
      </c>
      <c r="H156" s="46">
        <v>39.79</v>
      </c>
      <c r="I156" s="46">
        <v>3487.51</v>
      </c>
      <c r="J156" s="46">
        <v>82.76</v>
      </c>
      <c r="K156" s="46">
        <v>5246.15</v>
      </c>
      <c r="L156" s="75" t="s">
        <v>62</v>
      </c>
      <c r="M156" s="103" t="str">
        <f>IF(A156='Table 1.1 complete'!A156,"","sort code!")</f>
        <v/>
      </c>
    </row>
    <row r="157" spans="1:13" s="1" customFormat="1" x14ac:dyDescent="0.25">
      <c r="A157" s="35" t="s">
        <v>100</v>
      </c>
      <c r="B157" s="74">
        <v>36</v>
      </c>
      <c r="C157" s="77" t="s">
        <v>288</v>
      </c>
      <c r="D157" s="73">
        <v>99</v>
      </c>
      <c r="E157" s="44">
        <v>406.77</v>
      </c>
      <c r="F157" s="44">
        <v>127.52</v>
      </c>
      <c r="G157" s="44">
        <v>6.5</v>
      </c>
      <c r="H157" s="44">
        <v>6.76</v>
      </c>
      <c r="I157" s="44">
        <v>1285.9000000000001</v>
      </c>
      <c r="J157" s="44">
        <v>26.4</v>
      </c>
      <c r="K157" s="44">
        <v>1859.84</v>
      </c>
      <c r="L157" s="75" t="s">
        <v>62</v>
      </c>
      <c r="M157" s="103" t="str">
        <f>IF(A157='Table 1.1 complete'!A157,"","sort code!")</f>
        <v/>
      </c>
    </row>
    <row r="158" spans="1:13" x14ac:dyDescent="0.25">
      <c r="A158" s="35" t="s">
        <v>98</v>
      </c>
      <c r="B158" s="74">
        <v>34</v>
      </c>
      <c r="C158" s="77" t="s">
        <v>289</v>
      </c>
      <c r="D158" s="73">
        <v>99</v>
      </c>
      <c r="E158" s="44">
        <v>2272.64</v>
      </c>
      <c r="F158" s="44">
        <v>1331.96</v>
      </c>
      <c r="G158" s="44">
        <v>40.21</v>
      </c>
      <c r="H158" s="44">
        <v>158.47999999999999</v>
      </c>
      <c r="I158" s="44">
        <v>6697.95</v>
      </c>
      <c r="J158" s="44">
        <v>217.26</v>
      </c>
      <c r="K158" s="44">
        <v>10718.49</v>
      </c>
      <c r="L158" s="75" t="s">
        <v>62</v>
      </c>
      <c r="M158" s="103" t="str">
        <f>IF(A158='Table 1.1 complete'!A158,"","sort code!")</f>
        <v/>
      </c>
    </row>
    <row r="159" spans="1:13" s="1" customFormat="1" x14ac:dyDescent="0.25">
      <c r="A159" s="35" t="s">
        <v>91</v>
      </c>
      <c r="B159" s="74">
        <v>1</v>
      </c>
      <c r="C159" s="77" t="s">
        <v>290</v>
      </c>
      <c r="D159" s="73">
        <v>99</v>
      </c>
      <c r="E159" s="44">
        <v>2272.64</v>
      </c>
      <c r="F159" s="44">
        <v>1331.96</v>
      </c>
      <c r="G159" s="44">
        <v>40.21</v>
      </c>
      <c r="H159" s="44">
        <v>158.47999999999999</v>
      </c>
      <c r="I159" s="44">
        <v>6697.95</v>
      </c>
      <c r="J159" s="44">
        <v>217.26</v>
      </c>
      <c r="K159" s="44">
        <v>10718.49</v>
      </c>
      <c r="L159" s="75" t="s">
        <v>62</v>
      </c>
      <c r="M159" s="103" t="str">
        <f>IF(A159='Table 1.1 complete'!A159,"","sort code!")</f>
        <v/>
      </c>
    </row>
    <row r="160" spans="1:13" s="1" customFormat="1" x14ac:dyDescent="0.25">
      <c r="A160" s="35" t="s">
        <v>65</v>
      </c>
      <c r="B160" s="80">
        <v>3</v>
      </c>
      <c r="C160" s="185" t="s">
        <v>291</v>
      </c>
      <c r="D160" s="92">
        <v>99</v>
      </c>
      <c r="E160" s="44">
        <v>2719.06</v>
      </c>
      <c r="F160" s="44">
        <v>3162.19</v>
      </c>
      <c r="G160" s="44">
        <v>61.82</v>
      </c>
      <c r="H160" s="44">
        <v>184.02</v>
      </c>
      <c r="I160" s="44">
        <v>13459.33</v>
      </c>
      <c r="J160" s="44">
        <v>258.5</v>
      </c>
      <c r="K160" s="44">
        <v>19844.919999999998</v>
      </c>
      <c r="L160" s="81" t="s">
        <v>62</v>
      </c>
      <c r="M160" s="105" t="str">
        <f>IF(A160='Table 1.1 complete'!A160,"","sort code!")</f>
        <v/>
      </c>
    </row>
    <row r="161" spans="1:13" s="1" customFormat="1" x14ac:dyDescent="0.25">
      <c r="A161" s="87"/>
      <c r="B161" s="85"/>
      <c r="C161" s="85"/>
      <c r="D161" s="85"/>
      <c r="E161" s="88"/>
      <c r="F161" s="88"/>
      <c r="G161" s="88"/>
      <c r="H161" s="88"/>
      <c r="I161" s="88"/>
      <c r="J161" s="88"/>
      <c r="K161" s="88"/>
      <c r="L161" s="85"/>
      <c r="M161" s="85"/>
    </row>
    <row r="162" spans="1:13" x14ac:dyDescent="0.25">
      <c r="A162" s="33" t="s">
        <v>45</v>
      </c>
      <c r="B162" s="6"/>
      <c r="C162" s="6"/>
      <c r="D162" s="6"/>
      <c r="E162" s="6" t="s">
        <v>63</v>
      </c>
      <c r="F162" s="15"/>
      <c r="G162" s="15"/>
      <c r="H162" s="6"/>
      <c r="I162" s="6"/>
      <c r="J162" s="15"/>
      <c r="K162" s="16"/>
      <c r="L162" s="85"/>
      <c r="M162" s="85"/>
    </row>
    <row r="163" spans="1:13" x14ac:dyDescent="0.25">
      <c r="A163" s="34"/>
      <c r="B163" s="8"/>
      <c r="C163" s="8"/>
      <c r="D163" s="8"/>
      <c r="E163" s="8"/>
      <c r="F163" s="18"/>
      <c r="G163" s="18"/>
      <c r="H163" s="8"/>
      <c r="I163" s="8"/>
      <c r="J163" s="18"/>
      <c r="K163" s="19"/>
      <c r="L163" s="86"/>
      <c r="M163" s="86"/>
    </row>
    <row r="164" spans="1:13" x14ac:dyDescent="0.25">
      <c r="A164" s="17" t="s">
        <v>192</v>
      </c>
      <c r="B164" s="18"/>
      <c r="C164" s="18"/>
      <c r="D164" s="18"/>
      <c r="E164" s="18"/>
      <c r="F164" s="18"/>
      <c r="G164" s="18"/>
      <c r="H164" s="18"/>
      <c r="I164" s="18"/>
      <c r="J164" s="18"/>
      <c r="K164" s="19"/>
      <c r="L164" s="86"/>
      <c r="M164" s="86"/>
    </row>
    <row r="165" spans="1:13" x14ac:dyDescent="0.25">
      <c r="A165" s="17" t="s">
        <v>193</v>
      </c>
      <c r="B165" s="18"/>
      <c r="C165" s="18"/>
      <c r="D165" s="18"/>
      <c r="E165" s="18"/>
      <c r="F165" s="18"/>
      <c r="G165" s="18"/>
      <c r="H165" s="18"/>
      <c r="I165" s="18"/>
      <c r="J165" s="18"/>
      <c r="K165" s="19"/>
      <c r="L165" s="86"/>
      <c r="M165" s="86"/>
    </row>
    <row r="166" spans="1:13" x14ac:dyDescent="0.25">
      <c r="A166" s="17" t="s">
        <v>194</v>
      </c>
      <c r="B166" s="18"/>
      <c r="C166" s="18"/>
      <c r="D166" s="18"/>
      <c r="E166" s="18"/>
      <c r="F166" s="18"/>
      <c r="G166" s="18"/>
      <c r="H166" s="18"/>
      <c r="I166" s="18"/>
      <c r="J166" s="18"/>
      <c r="K166" s="19"/>
      <c r="L166" s="86"/>
      <c r="M166" s="86"/>
    </row>
    <row r="167" spans="1:13" x14ac:dyDescent="0.25">
      <c r="A167" s="17" t="s">
        <v>195</v>
      </c>
      <c r="B167" s="18"/>
      <c r="C167" s="18"/>
      <c r="D167" s="18"/>
      <c r="E167" s="18"/>
      <c r="F167" s="18"/>
      <c r="G167" s="18"/>
      <c r="H167" s="18"/>
      <c r="I167" s="18"/>
      <c r="J167" s="18"/>
      <c r="K167" s="19"/>
      <c r="L167" s="86"/>
      <c r="M167" s="86"/>
    </row>
    <row r="168" spans="1:13" x14ac:dyDescent="0.25">
      <c r="A168" s="17"/>
      <c r="B168" s="18"/>
      <c r="C168" s="18"/>
      <c r="D168" s="18"/>
      <c r="E168" s="18"/>
      <c r="F168" s="18"/>
      <c r="G168" s="18"/>
      <c r="H168" s="18"/>
      <c r="I168" s="18"/>
      <c r="J168" s="18"/>
      <c r="K168" s="19"/>
      <c r="L168" s="86"/>
      <c r="M168" s="86"/>
    </row>
    <row r="169" spans="1:13" x14ac:dyDescent="0.25">
      <c r="A169" s="38" t="s">
        <v>51</v>
      </c>
      <c r="B169" s="20"/>
      <c r="C169" s="20"/>
      <c r="D169" s="20"/>
      <c r="E169" s="20"/>
      <c r="F169" s="20"/>
      <c r="G169" s="20"/>
      <c r="H169" s="20"/>
      <c r="I169" s="20"/>
      <c r="J169" s="20"/>
      <c r="K169" s="21"/>
      <c r="L169" s="86"/>
      <c r="M169" s="86"/>
    </row>
    <row r="170" spans="1:13" x14ac:dyDescent="0.25">
      <c r="A170" t="s">
        <v>52</v>
      </c>
    </row>
  </sheetData>
  <autoFilter ref="A5:L5">
    <sortState ref="A6:L160">
      <sortCondition ref="D5"/>
    </sortState>
  </autoFilter>
  <mergeCells count="9">
    <mergeCell ref="I4:J4"/>
    <mergeCell ref="O2:AB2"/>
    <mergeCell ref="O3:O5"/>
    <mergeCell ref="P3:R5"/>
    <mergeCell ref="S3:AB3"/>
    <mergeCell ref="S4:X4"/>
    <mergeCell ref="Y4:AB5"/>
    <mergeCell ref="S5:V5"/>
    <mergeCell ref="W5:X5"/>
  </mergeCells>
  <hyperlinks>
    <hyperlink ref="J1" r:id="rId1"/>
  </hyperlinks>
  <pageMargins left="0.7" right="0.7" top="0.78740157499999996" bottom="0.78740157499999996" header="0.3" footer="0.3"/>
  <pageSetup paperSize="9" orientation="portrait"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65"/>
  <sheetViews>
    <sheetView topLeftCell="A19" zoomScale="80" zoomScaleNormal="80" workbookViewId="0">
      <selection activeCell="A32" sqref="A32"/>
    </sheetView>
  </sheetViews>
  <sheetFormatPr baseColWidth="10" defaultRowHeight="15" x14ac:dyDescent="0.25"/>
  <cols>
    <col min="1" max="1" width="20.42578125" style="55" customWidth="1"/>
    <col min="2" max="2" width="6.7109375" style="57" bestFit="1" customWidth="1"/>
    <col min="3" max="3" width="8.42578125" style="55" bestFit="1" customWidth="1"/>
    <col min="4" max="4" width="17.85546875" bestFit="1" customWidth="1"/>
    <col min="5" max="11" width="14" customWidth="1"/>
    <col min="12" max="14" width="17.42578125" customWidth="1"/>
    <col min="15" max="15" width="11.85546875" customWidth="1"/>
    <col min="17" max="17" width="3.140625" customWidth="1"/>
    <col min="18" max="18" width="9.5703125" bestFit="1" customWidth="1"/>
    <col min="19" max="19" width="6.5703125" bestFit="1" customWidth="1"/>
    <col min="20" max="20" width="11.7109375" bestFit="1" customWidth="1"/>
    <col min="21" max="21" width="14.85546875" bestFit="1" customWidth="1"/>
    <col min="22" max="22" width="9.85546875" bestFit="1" customWidth="1"/>
    <col min="23" max="23" width="11.28515625" bestFit="1" customWidth="1"/>
    <col min="24" max="24" width="5.140625" bestFit="1" customWidth="1"/>
    <col min="25" max="25" width="6.5703125" bestFit="1" customWidth="1"/>
    <col min="26" max="26" width="3.7109375" bestFit="1" customWidth="1"/>
    <col min="27" max="27" width="5.140625" bestFit="1" customWidth="1"/>
    <col min="28" max="28" width="6.42578125" bestFit="1" customWidth="1"/>
    <col min="29" max="29" width="13.42578125" bestFit="1" customWidth="1"/>
    <col min="30" max="31" width="15" bestFit="1" customWidth="1"/>
  </cols>
  <sheetData>
    <row r="1" spans="1:31" ht="15.75" x14ac:dyDescent="0.25">
      <c r="A1" s="249" t="s">
        <v>341</v>
      </c>
      <c r="B1" s="252"/>
      <c r="C1" s="256"/>
      <c r="D1" s="27"/>
      <c r="E1" s="5"/>
      <c r="F1" s="5"/>
      <c r="G1" s="39" t="s">
        <v>221</v>
      </c>
      <c r="H1" s="39" t="s">
        <v>220</v>
      </c>
      <c r="I1" s="6"/>
      <c r="J1" s="50" t="s">
        <v>375</v>
      </c>
      <c r="K1" s="6"/>
      <c r="L1" s="6"/>
      <c r="M1" s="6"/>
      <c r="N1" s="7"/>
      <c r="R1" t="s">
        <v>266</v>
      </c>
    </row>
    <row r="2" spans="1:31" s="3" customFormat="1" ht="16.5" customHeight="1" x14ac:dyDescent="0.25">
      <c r="A2" s="250" t="s">
        <v>213</v>
      </c>
      <c r="B2" s="252"/>
      <c r="C2" s="256"/>
      <c r="D2" s="27"/>
      <c r="E2" s="26"/>
      <c r="F2" s="26"/>
      <c r="G2" s="26"/>
      <c r="H2" s="27"/>
      <c r="I2" s="27"/>
      <c r="J2" s="27"/>
      <c r="K2" s="27"/>
      <c r="L2" s="27"/>
      <c r="M2" s="27"/>
      <c r="N2" s="28"/>
      <c r="R2" s="830" t="s">
        <v>259</v>
      </c>
      <c r="S2" s="831"/>
      <c r="T2" s="831"/>
      <c r="U2" s="831"/>
      <c r="V2" s="831"/>
      <c r="W2" s="831"/>
      <c r="X2" s="831"/>
      <c r="Y2" s="831"/>
      <c r="Z2" s="831"/>
      <c r="AA2" s="831"/>
      <c r="AB2" s="831"/>
      <c r="AC2" s="831"/>
      <c r="AD2" s="831"/>
      <c r="AE2" s="832"/>
    </row>
    <row r="3" spans="1:31" ht="15.75" x14ac:dyDescent="0.25">
      <c r="A3" s="249" t="s">
        <v>2</v>
      </c>
      <c r="B3" s="252"/>
      <c r="C3" s="256"/>
      <c r="D3" s="27"/>
      <c r="E3" s="845" t="s">
        <v>251</v>
      </c>
      <c r="F3" s="846"/>
      <c r="G3" s="846"/>
      <c r="H3" s="846"/>
      <c r="I3" s="846"/>
      <c r="J3" s="847"/>
      <c r="K3" s="836" t="s">
        <v>252</v>
      </c>
      <c r="L3" s="837"/>
      <c r="M3" s="837"/>
      <c r="N3" s="838"/>
      <c r="R3" s="833" t="s">
        <v>257</v>
      </c>
      <c r="S3" s="836" t="s">
        <v>256</v>
      </c>
      <c r="T3" s="837"/>
      <c r="U3" s="838"/>
      <c r="V3" s="845" t="s">
        <v>258</v>
      </c>
      <c r="W3" s="846"/>
      <c r="X3" s="846"/>
      <c r="Y3" s="846"/>
      <c r="Z3" s="846"/>
      <c r="AA3" s="846"/>
      <c r="AB3" s="846"/>
      <c r="AC3" s="846"/>
      <c r="AD3" s="846"/>
      <c r="AE3" s="847"/>
    </row>
    <row r="4" spans="1:31" ht="15.75" x14ac:dyDescent="0.25">
      <c r="A4" s="249"/>
      <c r="B4" s="252"/>
      <c r="C4" s="256"/>
      <c r="D4" s="27"/>
      <c r="E4" s="853" t="s">
        <v>253</v>
      </c>
      <c r="F4" s="854"/>
      <c r="G4" s="854"/>
      <c r="H4" s="854"/>
      <c r="I4" s="60"/>
      <c r="J4" s="60"/>
      <c r="K4" s="59"/>
      <c r="L4" s="59"/>
      <c r="M4" s="59"/>
      <c r="N4" s="59"/>
      <c r="R4" s="834"/>
      <c r="S4" s="839"/>
      <c r="T4" s="840"/>
      <c r="U4" s="841"/>
      <c r="V4" s="836" t="s">
        <v>251</v>
      </c>
      <c r="W4" s="837"/>
      <c r="X4" s="837"/>
      <c r="Y4" s="837"/>
      <c r="Z4" s="837"/>
      <c r="AA4" s="838"/>
      <c r="AB4" s="836" t="s">
        <v>252</v>
      </c>
      <c r="AC4" s="837"/>
      <c r="AD4" s="837"/>
      <c r="AE4" s="838"/>
    </row>
    <row r="5" spans="1:31" s="1" customFormat="1" x14ac:dyDescent="0.25">
      <c r="A5" s="155" t="s">
        <v>264</v>
      </c>
      <c r="B5" s="71" t="s">
        <v>222</v>
      </c>
      <c r="C5" s="71" t="s">
        <v>262</v>
      </c>
      <c r="D5" s="71" t="s">
        <v>275</v>
      </c>
      <c r="E5" s="63" t="s">
        <v>201</v>
      </c>
      <c r="F5" s="58" t="s">
        <v>202</v>
      </c>
      <c r="G5" s="58" t="s">
        <v>203</v>
      </c>
      <c r="H5" s="62" t="s">
        <v>204</v>
      </c>
      <c r="I5" s="58" t="s">
        <v>205</v>
      </c>
      <c r="J5" s="58" t="s">
        <v>206</v>
      </c>
      <c r="K5" s="58" t="s">
        <v>207</v>
      </c>
      <c r="L5" s="58" t="s">
        <v>208</v>
      </c>
      <c r="M5" s="58" t="s">
        <v>209</v>
      </c>
      <c r="N5" s="58" t="s">
        <v>210</v>
      </c>
      <c r="O5" s="71" t="s">
        <v>263</v>
      </c>
      <c r="P5" s="76" t="s">
        <v>265</v>
      </c>
      <c r="R5" s="835"/>
      <c r="S5" s="842"/>
      <c r="T5" s="843"/>
      <c r="U5" s="844"/>
      <c r="V5" s="848" t="s">
        <v>253</v>
      </c>
      <c r="W5" s="849"/>
      <c r="X5" s="849"/>
      <c r="Y5" s="850"/>
      <c r="Z5" s="842"/>
      <c r="AA5" s="844"/>
      <c r="AB5" s="842"/>
      <c r="AC5" s="843"/>
      <c r="AD5" s="843"/>
      <c r="AE5" s="844"/>
    </row>
    <row r="6" spans="1:31" x14ac:dyDescent="0.25">
      <c r="A6" s="160" t="s">
        <v>73</v>
      </c>
      <c r="B6" s="190">
        <v>12</v>
      </c>
      <c r="C6" s="160" t="s">
        <v>238</v>
      </c>
      <c r="D6" s="120">
        <v>1</v>
      </c>
      <c r="E6" s="48">
        <v>132.27000000000001</v>
      </c>
      <c r="F6" s="48">
        <v>167.51</v>
      </c>
      <c r="G6" s="48" t="s">
        <v>62</v>
      </c>
      <c r="H6" s="48">
        <v>10.78</v>
      </c>
      <c r="I6" s="48">
        <v>11.08</v>
      </c>
      <c r="J6" s="48">
        <v>72.91</v>
      </c>
      <c r="K6" s="48">
        <v>10.38</v>
      </c>
      <c r="L6" s="48">
        <v>0.68</v>
      </c>
      <c r="M6" s="48">
        <v>8.26</v>
      </c>
      <c r="N6" s="48">
        <v>11.44</v>
      </c>
      <c r="O6" s="83" t="s">
        <v>62</v>
      </c>
      <c r="P6" s="98" t="str">
        <f>IF(A6='Table 1.1 complete'!A6,"","sort code!")</f>
        <v/>
      </c>
      <c r="R6" s="52" t="s">
        <v>186</v>
      </c>
      <c r="S6" s="52" t="s">
        <v>187</v>
      </c>
      <c r="T6" s="52" t="s">
        <v>188</v>
      </c>
      <c r="U6" s="70" t="s">
        <v>189</v>
      </c>
      <c r="V6" s="52" t="s">
        <v>201</v>
      </c>
      <c r="W6" s="52" t="s">
        <v>202</v>
      </c>
      <c r="X6" s="52" t="s">
        <v>203</v>
      </c>
      <c r="Y6" s="70" t="s">
        <v>204</v>
      </c>
      <c r="Z6" s="52" t="s">
        <v>205</v>
      </c>
      <c r="AA6" s="52" t="s">
        <v>206</v>
      </c>
      <c r="AB6" s="52" t="s">
        <v>207</v>
      </c>
      <c r="AC6" s="52" t="s">
        <v>208</v>
      </c>
      <c r="AD6" s="52" t="s">
        <v>209</v>
      </c>
      <c r="AE6" s="52" t="s">
        <v>210</v>
      </c>
    </row>
    <row r="7" spans="1:31" x14ac:dyDescent="0.25">
      <c r="A7" s="165" t="s">
        <v>72</v>
      </c>
      <c r="B7" s="195">
        <v>11</v>
      </c>
      <c r="C7" s="165" t="s">
        <v>249</v>
      </c>
      <c r="D7" s="125">
        <v>2</v>
      </c>
      <c r="E7" s="45">
        <v>24.45</v>
      </c>
      <c r="F7" s="45" t="s">
        <v>62</v>
      </c>
      <c r="G7" s="45" t="s">
        <v>62</v>
      </c>
      <c r="H7" s="45">
        <v>3.75</v>
      </c>
      <c r="I7" s="45">
        <v>6.16</v>
      </c>
      <c r="J7" s="45">
        <v>21.99</v>
      </c>
      <c r="K7" s="45">
        <v>1.37</v>
      </c>
      <c r="L7" s="45" t="s">
        <v>62</v>
      </c>
      <c r="M7" s="45">
        <v>3.51</v>
      </c>
      <c r="N7" s="45">
        <v>0.64</v>
      </c>
      <c r="O7" s="51" t="s">
        <v>62</v>
      </c>
      <c r="P7" s="101" t="str">
        <f>IF(A7='Table 1.1 complete'!A7,"","sort code!")</f>
        <v/>
      </c>
    </row>
    <row r="8" spans="1:31" s="1" customFormat="1" x14ac:dyDescent="0.25">
      <c r="A8" s="156" t="s">
        <v>67</v>
      </c>
      <c r="B8" s="186">
        <v>5</v>
      </c>
      <c r="C8" s="156" t="s">
        <v>229</v>
      </c>
      <c r="D8" s="116">
        <v>3</v>
      </c>
      <c r="E8" s="45">
        <v>6.26</v>
      </c>
      <c r="F8" s="45" t="s">
        <v>62</v>
      </c>
      <c r="G8" s="45" t="s">
        <v>62</v>
      </c>
      <c r="H8" s="45">
        <v>1.33</v>
      </c>
      <c r="I8" s="45">
        <v>1.28</v>
      </c>
      <c r="J8" s="45">
        <v>9.8699999999999992</v>
      </c>
      <c r="K8" s="45">
        <v>3.18</v>
      </c>
      <c r="L8" s="45">
        <v>0.31</v>
      </c>
      <c r="M8" s="45">
        <v>0.5</v>
      </c>
      <c r="N8" s="45">
        <v>0.16</v>
      </c>
      <c r="O8" s="51" t="s">
        <v>62</v>
      </c>
      <c r="P8" s="101" t="str">
        <f>IF(A8='Table 1.1 complete'!A8,"","sort code!")</f>
        <v/>
      </c>
    </row>
    <row r="9" spans="1:31" x14ac:dyDescent="0.25">
      <c r="A9" s="179" t="s">
        <v>89</v>
      </c>
      <c r="B9" s="210">
        <v>30</v>
      </c>
      <c r="C9" s="179" t="s">
        <v>246</v>
      </c>
      <c r="D9" s="138">
        <v>4</v>
      </c>
      <c r="E9" s="45" t="s">
        <v>62</v>
      </c>
      <c r="F9" s="45" t="s">
        <v>62</v>
      </c>
      <c r="G9" s="45" t="s">
        <v>62</v>
      </c>
      <c r="H9" s="45" t="s">
        <v>62</v>
      </c>
      <c r="I9" s="45">
        <v>0.19</v>
      </c>
      <c r="J9" s="45">
        <v>0.75</v>
      </c>
      <c r="K9" s="45">
        <v>0.13</v>
      </c>
      <c r="L9" s="45">
        <v>0.23</v>
      </c>
      <c r="M9" s="45">
        <v>1.78</v>
      </c>
      <c r="N9" s="45">
        <v>0.17</v>
      </c>
      <c r="O9" s="51" t="s">
        <v>62</v>
      </c>
      <c r="P9" s="101" t="str">
        <f>IF(A9='Table 1.1 complete'!A9,"","sort code!")</f>
        <v/>
      </c>
    </row>
    <row r="10" spans="1:31" x14ac:dyDescent="0.25">
      <c r="A10" s="157" t="s">
        <v>68</v>
      </c>
      <c r="B10" s="187">
        <v>6</v>
      </c>
      <c r="C10" s="163" t="s">
        <v>236</v>
      </c>
      <c r="D10" s="123">
        <v>5</v>
      </c>
      <c r="E10" s="45">
        <v>6.47</v>
      </c>
      <c r="F10" s="45" t="s">
        <v>62</v>
      </c>
      <c r="G10" s="45" t="s">
        <v>62</v>
      </c>
      <c r="H10" s="45">
        <v>1.85</v>
      </c>
      <c r="I10" s="45">
        <v>0.81</v>
      </c>
      <c r="J10" s="45">
        <v>25.39</v>
      </c>
      <c r="K10" s="45">
        <v>1.82</v>
      </c>
      <c r="L10" s="45">
        <v>0.53</v>
      </c>
      <c r="M10" s="45">
        <v>0.81</v>
      </c>
      <c r="N10" s="45">
        <v>0.49</v>
      </c>
      <c r="O10" s="51" t="s">
        <v>62</v>
      </c>
      <c r="P10" s="101" t="str">
        <f>IF(A10='Table 1.1 complete'!A10,"","sort code!")</f>
        <v/>
      </c>
    </row>
    <row r="11" spans="1:31" x14ac:dyDescent="0.25">
      <c r="A11" s="163" t="s">
        <v>70</v>
      </c>
      <c r="B11" s="193">
        <v>9</v>
      </c>
      <c r="C11" s="163" t="s">
        <v>236</v>
      </c>
      <c r="D11" s="123">
        <v>5</v>
      </c>
      <c r="E11" s="45">
        <v>19.899999999999999</v>
      </c>
      <c r="F11" s="45" t="s">
        <v>62</v>
      </c>
      <c r="G11" s="45" t="s">
        <v>62</v>
      </c>
      <c r="H11" s="45" t="s">
        <v>62</v>
      </c>
      <c r="I11" s="45">
        <v>1.28</v>
      </c>
      <c r="J11" s="45">
        <v>6.91</v>
      </c>
      <c r="K11" s="45">
        <v>1.83</v>
      </c>
      <c r="L11" s="45" t="s">
        <v>62</v>
      </c>
      <c r="M11" s="45">
        <v>1.76</v>
      </c>
      <c r="N11" s="45">
        <v>0.27</v>
      </c>
      <c r="O11" s="51" t="s">
        <v>62</v>
      </c>
      <c r="P11" s="101" t="str">
        <f>IF(A11='Table 1.1 complete'!A11,"","sort code!")</f>
        <v/>
      </c>
    </row>
    <row r="12" spans="1:31" s="1" customFormat="1" x14ac:dyDescent="0.25">
      <c r="A12" s="163" t="s">
        <v>156</v>
      </c>
      <c r="B12" s="193">
        <v>128</v>
      </c>
      <c r="C12" s="163" t="s">
        <v>236</v>
      </c>
      <c r="D12" s="123">
        <v>5</v>
      </c>
      <c r="E12" s="45" t="s">
        <v>62</v>
      </c>
      <c r="F12" s="45">
        <v>11.4</v>
      </c>
      <c r="G12" s="45">
        <v>0.02</v>
      </c>
      <c r="H12" s="45" t="s">
        <v>62</v>
      </c>
      <c r="I12" s="45">
        <v>0.03</v>
      </c>
      <c r="J12" s="45">
        <v>0.59</v>
      </c>
      <c r="K12" s="45">
        <v>0.02</v>
      </c>
      <c r="L12" s="45" t="s">
        <v>62</v>
      </c>
      <c r="M12" s="45" t="s">
        <v>62</v>
      </c>
      <c r="N12" s="45">
        <v>0.01</v>
      </c>
      <c r="O12" s="51" t="s">
        <v>62</v>
      </c>
      <c r="P12" s="101" t="str">
        <f>IF(A12='Table 1.1 complete'!A12,"","sort code!")</f>
        <v/>
      </c>
    </row>
    <row r="13" spans="1:31" x14ac:dyDescent="0.25">
      <c r="A13" s="163" t="s">
        <v>71</v>
      </c>
      <c r="B13" s="193">
        <v>10</v>
      </c>
      <c r="C13" s="163" t="s">
        <v>236</v>
      </c>
      <c r="D13" s="123">
        <v>5</v>
      </c>
      <c r="E13" s="45">
        <v>13.96</v>
      </c>
      <c r="F13" s="45">
        <v>0.01</v>
      </c>
      <c r="G13" s="45">
        <v>7.4</v>
      </c>
      <c r="H13" s="45">
        <v>0.59</v>
      </c>
      <c r="I13" s="45">
        <v>0.47</v>
      </c>
      <c r="J13" s="45">
        <v>10.54</v>
      </c>
      <c r="K13" s="45">
        <v>9.66</v>
      </c>
      <c r="L13" s="45">
        <v>0.04</v>
      </c>
      <c r="M13" s="45">
        <v>0.37</v>
      </c>
      <c r="N13" s="45">
        <v>0.03</v>
      </c>
      <c r="O13" s="51" t="s">
        <v>62</v>
      </c>
      <c r="P13" s="101" t="str">
        <f>IF(A13='Table 1.1 complete'!A13,"","sort code!")</f>
        <v/>
      </c>
    </row>
    <row r="14" spans="1:31" x14ac:dyDescent="0.25">
      <c r="A14" s="261" t="s">
        <v>306</v>
      </c>
      <c r="B14" s="262">
        <v>119</v>
      </c>
      <c r="C14" s="163" t="s">
        <v>236</v>
      </c>
      <c r="D14" s="123">
        <v>5</v>
      </c>
      <c r="E14" s="235" t="s">
        <v>62</v>
      </c>
      <c r="F14" s="235" t="s">
        <v>62</v>
      </c>
      <c r="G14" s="235" t="s">
        <v>62</v>
      </c>
      <c r="H14" s="235" t="s">
        <v>62</v>
      </c>
      <c r="I14" s="235">
        <v>0.16</v>
      </c>
      <c r="J14" s="235" t="s">
        <v>62</v>
      </c>
      <c r="K14" s="235" t="s">
        <v>62</v>
      </c>
      <c r="L14" s="235" t="s">
        <v>62</v>
      </c>
      <c r="M14" s="235" t="s">
        <v>62</v>
      </c>
      <c r="N14" s="235" t="s">
        <v>62</v>
      </c>
      <c r="O14" s="236" t="s">
        <v>305</v>
      </c>
      <c r="P14" s="101" t="str">
        <f>IF(A14='Table 1.1 complete'!A14,"","sort code!")</f>
        <v/>
      </c>
    </row>
    <row r="15" spans="1:31" x14ac:dyDescent="0.25">
      <c r="A15" s="180" t="s">
        <v>77</v>
      </c>
      <c r="B15" s="211">
        <v>16</v>
      </c>
      <c r="C15" s="163" t="s">
        <v>236</v>
      </c>
      <c r="D15" s="123">
        <v>5</v>
      </c>
      <c r="E15" s="45">
        <v>5.5</v>
      </c>
      <c r="F15" s="45" t="s">
        <v>62</v>
      </c>
      <c r="G15" s="45">
        <v>2.17</v>
      </c>
      <c r="H15" s="45" t="s">
        <v>62</v>
      </c>
      <c r="I15" s="45">
        <v>1.98</v>
      </c>
      <c r="J15" s="45">
        <v>15.47</v>
      </c>
      <c r="K15" s="45">
        <v>0.01</v>
      </c>
      <c r="L15" s="45" t="s">
        <v>62</v>
      </c>
      <c r="M15" s="45" t="s">
        <v>62</v>
      </c>
      <c r="N15" s="45">
        <v>0.12</v>
      </c>
      <c r="O15" s="51" t="s">
        <v>62</v>
      </c>
      <c r="P15" s="101" t="str">
        <f>IF(A15='Table 1.1 complete'!A15,"","sort code!")</f>
        <v/>
      </c>
    </row>
    <row r="16" spans="1:31" x14ac:dyDescent="0.25">
      <c r="A16" s="163" t="s">
        <v>160</v>
      </c>
      <c r="B16" s="193">
        <v>132</v>
      </c>
      <c r="C16" s="163" t="s">
        <v>236</v>
      </c>
      <c r="D16" s="123">
        <v>5</v>
      </c>
      <c r="E16" s="45">
        <v>0</v>
      </c>
      <c r="F16" s="45" t="s">
        <v>62</v>
      </c>
      <c r="G16" s="45" t="s">
        <v>62</v>
      </c>
      <c r="H16" s="45" t="s">
        <v>62</v>
      </c>
      <c r="I16" s="45">
        <v>0.02</v>
      </c>
      <c r="J16" s="45">
        <v>1.93</v>
      </c>
      <c r="K16" s="45">
        <v>0.01</v>
      </c>
      <c r="L16" s="45" t="s">
        <v>62</v>
      </c>
      <c r="M16" s="45" t="s">
        <v>62</v>
      </c>
      <c r="N16" s="45">
        <v>0.04</v>
      </c>
      <c r="O16" s="51" t="s">
        <v>62</v>
      </c>
      <c r="P16" s="101" t="str">
        <f>IF(A16='Table 1.1 complete'!A16,"","sort code!")</f>
        <v/>
      </c>
    </row>
    <row r="17" spans="1:18" x14ac:dyDescent="0.25">
      <c r="A17" s="163" t="s">
        <v>161</v>
      </c>
      <c r="B17" s="193">
        <v>133</v>
      </c>
      <c r="C17" s="163" t="s">
        <v>236</v>
      </c>
      <c r="D17" s="123">
        <v>5</v>
      </c>
      <c r="E17" s="45" t="s">
        <v>62</v>
      </c>
      <c r="F17" s="45" t="s">
        <v>62</v>
      </c>
      <c r="G17" s="45">
        <v>0.01</v>
      </c>
      <c r="H17" s="45" t="s">
        <v>62</v>
      </c>
      <c r="I17" s="45">
        <v>0.41</v>
      </c>
      <c r="J17" s="45">
        <v>2.41</v>
      </c>
      <c r="K17" s="45">
        <v>0.05</v>
      </c>
      <c r="L17" s="45" t="s">
        <v>62</v>
      </c>
      <c r="M17" s="45" t="s">
        <v>62</v>
      </c>
      <c r="N17" s="45">
        <v>0.01</v>
      </c>
      <c r="O17" s="51" t="s">
        <v>62</v>
      </c>
      <c r="P17" s="101" t="str">
        <f>IF(A17='Table 1.1 complete'!A17,"","sort code!")</f>
        <v/>
      </c>
    </row>
    <row r="18" spans="1:18" s="1" customFormat="1" x14ac:dyDescent="0.25">
      <c r="A18" s="157" t="s">
        <v>81</v>
      </c>
      <c r="B18" s="187">
        <v>20</v>
      </c>
      <c r="C18" s="163" t="s">
        <v>236</v>
      </c>
      <c r="D18" s="123">
        <v>5</v>
      </c>
      <c r="E18" s="45" t="s">
        <v>62</v>
      </c>
      <c r="F18" s="45" t="s">
        <v>62</v>
      </c>
      <c r="G18" s="45" t="s">
        <v>62</v>
      </c>
      <c r="H18" s="45" t="s">
        <v>62</v>
      </c>
      <c r="I18" s="45" t="s">
        <v>62</v>
      </c>
      <c r="J18" s="45">
        <v>2.9</v>
      </c>
      <c r="K18" s="45" t="s">
        <v>62</v>
      </c>
      <c r="L18" s="45" t="s">
        <v>62</v>
      </c>
      <c r="M18" s="45">
        <v>7.0000000000000007E-2</v>
      </c>
      <c r="N18" s="45">
        <v>0.04</v>
      </c>
      <c r="O18" s="51" t="s">
        <v>62</v>
      </c>
      <c r="P18" s="101" t="str">
        <f>IF(A18='Table 1.1 complete'!A18,"","sort code!")</f>
        <v/>
      </c>
    </row>
    <row r="19" spans="1:18" x14ac:dyDescent="0.25">
      <c r="A19" s="157" t="s">
        <v>83</v>
      </c>
      <c r="B19" s="187">
        <v>22</v>
      </c>
      <c r="C19" s="163" t="s">
        <v>236</v>
      </c>
      <c r="D19" s="123">
        <v>5</v>
      </c>
      <c r="E19" s="45">
        <v>24.92</v>
      </c>
      <c r="F19" s="45" t="s">
        <v>62</v>
      </c>
      <c r="G19" s="45" t="s">
        <v>62</v>
      </c>
      <c r="H19" s="45">
        <v>3.55</v>
      </c>
      <c r="I19" s="45">
        <v>2.2200000000000002</v>
      </c>
      <c r="J19" s="45">
        <v>59.04</v>
      </c>
      <c r="K19" s="45">
        <v>1.97</v>
      </c>
      <c r="L19" s="45" t="s">
        <v>62</v>
      </c>
      <c r="M19" s="45">
        <v>2.96</v>
      </c>
      <c r="N19" s="45">
        <v>0.64</v>
      </c>
      <c r="O19" s="51" t="s">
        <v>62</v>
      </c>
      <c r="P19" s="101" t="str">
        <f>IF(A19='Table 1.1 complete'!A19,"","sort code!")</f>
        <v/>
      </c>
    </row>
    <row r="20" spans="1:18" x14ac:dyDescent="0.25">
      <c r="A20" s="163" t="s">
        <v>88</v>
      </c>
      <c r="B20" s="193">
        <v>29</v>
      </c>
      <c r="C20" s="163" t="s">
        <v>236</v>
      </c>
      <c r="D20" s="123">
        <v>5</v>
      </c>
      <c r="E20" s="45">
        <v>0.65</v>
      </c>
      <c r="F20" s="45" t="s">
        <v>62</v>
      </c>
      <c r="G20" s="45">
        <v>0.36</v>
      </c>
      <c r="H20" s="45">
        <v>0.7</v>
      </c>
      <c r="I20" s="45">
        <v>1.08</v>
      </c>
      <c r="J20" s="45">
        <v>0.82</v>
      </c>
      <c r="K20" s="45">
        <v>8.5</v>
      </c>
      <c r="L20" s="45">
        <v>0.08</v>
      </c>
      <c r="M20" s="45">
        <v>1.85</v>
      </c>
      <c r="N20" s="45">
        <v>0.23</v>
      </c>
      <c r="O20" s="51" t="s">
        <v>62</v>
      </c>
      <c r="P20" s="101" t="str">
        <f>IF(A20='Table 1.1 complete'!A20,"","sort code!")</f>
        <v/>
      </c>
    </row>
    <row r="21" spans="1:18" x14ac:dyDescent="0.25">
      <c r="A21" s="180" t="s">
        <v>96</v>
      </c>
      <c r="B21" s="211">
        <v>32</v>
      </c>
      <c r="C21" s="163" t="s">
        <v>236</v>
      </c>
      <c r="D21" s="123">
        <v>5</v>
      </c>
      <c r="E21" s="45">
        <v>136.69</v>
      </c>
      <c r="F21" s="45" t="s">
        <v>62</v>
      </c>
      <c r="G21" s="45" t="s">
        <v>62</v>
      </c>
      <c r="H21" s="45">
        <v>1.64</v>
      </c>
      <c r="I21" s="45">
        <v>4.6900000000000004</v>
      </c>
      <c r="J21" s="45">
        <v>164.47</v>
      </c>
      <c r="K21" s="45">
        <v>2.92</v>
      </c>
      <c r="L21" s="45">
        <v>1.4</v>
      </c>
      <c r="M21" s="45">
        <v>1.88</v>
      </c>
      <c r="N21" s="45">
        <v>5.19</v>
      </c>
      <c r="O21" s="51" t="s">
        <v>62</v>
      </c>
      <c r="P21" s="101" t="str">
        <f>IF(A21='Table 1.1 complete'!A21,"","sort code!")</f>
        <v/>
      </c>
    </row>
    <row r="22" spans="1:18" x14ac:dyDescent="0.25">
      <c r="A22" s="164" t="s">
        <v>142</v>
      </c>
      <c r="B22" s="194">
        <v>116</v>
      </c>
      <c r="C22" s="164" t="s">
        <v>235</v>
      </c>
      <c r="D22" s="124">
        <v>6</v>
      </c>
      <c r="E22" s="49">
        <v>2.4</v>
      </c>
      <c r="F22" s="49">
        <v>0.02</v>
      </c>
      <c r="G22" s="49" t="s">
        <v>62</v>
      </c>
      <c r="H22" s="49" t="s">
        <v>62</v>
      </c>
      <c r="I22" s="49">
        <v>2.3199999999999998</v>
      </c>
      <c r="J22" s="49">
        <v>3.06</v>
      </c>
      <c r="K22" s="49">
        <v>0</v>
      </c>
      <c r="L22" s="49" t="s">
        <v>62</v>
      </c>
      <c r="M22" s="49" t="s">
        <v>62</v>
      </c>
      <c r="N22" s="49">
        <v>0.01</v>
      </c>
      <c r="O22" s="51" t="s">
        <v>62</v>
      </c>
      <c r="P22" s="101" t="str">
        <f>IF(A22='Table 1.1 complete'!A22,"","sort code!")</f>
        <v/>
      </c>
    </row>
    <row r="23" spans="1:18" x14ac:dyDescent="0.25">
      <c r="A23" s="164" t="s">
        <v>143</v>
      </c>
      <c r="B23" s="194">
        <v>117</v>
      </c>
      <c r="C23" s="164" t="s">
        <v>235</v>
      </c>
      <c r="D23" s="124">
        <v>6</v>
      </c>
      <c r="E23" s="49" t="s">
        <v>62</v>
      </c>
      <c r="F23" s="49" t="s">
        <v>62</v>
      </c>
      <c r="G23" s="49" t="s">
        <v>62</v>
      </c>
      <c r="H23" s="49" t="s">
        <v>62</v>
      </c>
      <c r="I23" s="49">
        <v>4.87</v>
      </c>
      <c r="J23" s="49" t="s">
        <v>62</v>
      </c>
      <c r="K23" s="49" t="s">
        <v>62</v>
      </c>
      <c r="L23" s="49" t="s">
        <v>62</v>
      </c>
      <c r="M23" s="49" t="s">
        <v>62</v>
      </c>
      <c r="N23" s="49" t="s">
        <v>62</v>
      </c>
      <c r="O23" s="51" t="s">
        <v>62</v>
      </c>
      <c r="P23" s="101" t="str">
        <f>IF(A23='Table 1.1 complete'!A23,"","sort code!")</f>
        <v/>
      </c>
    </row>
    <row r="24" spans="1:18" x14ac:dyDescent="0.25">
      <c r="A24" s="164" t="s">
        <v>74</v>
      </c>
      <c r="B24" s="194">
        <v>13</v>
      </c>
      <c r="C24" s="164" t="s">
        <v>235</v>
      </c>
      <c r="D24" s="124">
        <v>6</v>
      </c>
      <c r="E24" s="45" t="s">
        <v>62</v>
      </c>
      <c r="F24" s="45">
        <v>34.68</v>
      </c>
      <c r="G24" s="45" t="s">
        <v>62</v>
      </c>
      <c r="H24" s="45" t="s">
        <v>62</v>
      </c>
      <c r="I24" s="45">
        <v>9.64</v>
      </c>
      <c r="J24" s="45">
        <v>13.77</v>
      </c>
      <c r="K24" s="45" t="s">
        <v>62</v>
      </c>
      <c r="L24" s="45">
        <v>0.03</v>
      </c>
      <c r="M24" s="45" t="s">
        <v>62</v>
      </c>
      <c r="N24" s="45">
        <v>0.18</v>
      </c>
      <c r="O24" s="51" t="s">
        <v>62</v>
      </c>
      <c r="P24" s="101" t="str">
        <f>IF(A24='Table 1.1 complete'!A24,"","sort code!")</f>
        <v/>
      </c>
    </row>
    <row r="25" spans="1:18" x14ac:dyDescent="0.25">
      <c r="A25" s="164" t="s">
        <v>78</v>
      </c>
      <c r="B25" s="194">
        <v>17</v>
      </c>
      <c r="C25" s="164" t="s">
        <v>235</v>
      </c>
      <c r="D25" s="124">
        <v>6</v>
      </c>
      <c r="E25" s="45">
        <v>44.11</v>
      </c>
      <c r="F25" s="45" t="s">
        <v>62</v>
      </c>
      <c r="G25" s="45" t="s">
        <v>62</v>
      </c>
      <c r="H25" s="45">
        <v>5.62</v>
      </c>
      <c r="I25" s="45">
        <v>35.409999999999997</v>
      </c>
      <c r="J25" s="45">
        <v>172.65</v>
      </c>
      <c r="K25" s="45">
        <v>2.2999999999999998</v>
      </c>
      <c r="L25" s="45">
        <v>0.18</v>
      </c>
      <c r="M25" s="45">
        <v>3.02</v>
      </c>
      <c r="N25" s="45">
        <v>1.45</v>
      </c>
      <c r="O25" s="51" t="s">
        <v>62</v>
      </c>
      <c r="P25" s="101" t="str">
        <f>IF(A25='Table 1.1 complete'!A25,"","sort code!")</f>
        <v/>
      </c>
    </row>
    <row r="26" spans="1:18" x14ac:dyDescent="0.25">
      <c r="A26" s="164" t="s">
        <v>148</v>
      </c>
      <c r="B26" s="194">
        <v>120</v>
      </c>
      <c r="C26" s="164" t="s">
        <v>235</v>
      </c>
      <c r="D26" s="124">
        <v>6</v>
      </c>
      <c r="E26" s="45" t="s">
        <v>62</v>
      </c>
      <c r="F26" s="45" t="s">
        <v>62</v>
      </c>
      <c r="G26" s="45" t="s">
        <v>62</v>
      </c>
      <c r="H26" s="45" t="s">
        <v>62</v>
      </c>
      <c r="I26" s="45">
        <v>2.2999999999999998</v>
      </c>
      <c r="J26" s="45" t="s">
        <v>62</v>
      </c>
      <c r="K26" s="45" t="s">
        <v>62</v>
      </c>
      <c r="L26" s="45" t="s">
        <v>62</v>
      </c>
      <c r="M26" s="45" t="s">
        <v>62</v>
      </c>
      <c r="N26" s="45" t="s">
        <v>62</v>
      </c>
      <c r="O26" s="51" t="s">
        <v>62</v>
      </c>
      <c r="P26" s="101" t="str">
        <f>IF(A26='Table 1.1 complete'!A26,"","sort code!")</f>
        <v/>
      </c>
    </row>
    <row r="27" spans="1:18" x14ac:dyDescent="0.25">
      <c r="A27" s="164" t="s">
        <v>86</v>
      </c>
      <c r="B27" s="194">
        <v>26</v>
      </c>
      <c r="C27" s="164" t="s">
        <v>235</v>
      </c>
      <c r="D27" s="124">
        <v>6</v>
      </c>
      <c r="E27" s="45">
        <v>12.4</v>
      </c>
      <c r="F27" s="45" t="s">
        <v>62</v>
      </c>
      <c r="G27" s="45" t="s">
        <v>62</v>
      </c>
      <c r="H27" s="45" t="s">
        <v>62</v>
      </c>
      <c r="I27" s="45">
        <v>4.87</v>
      </c>
      <c r="J27" s="45">
        <v>13.12</v>
      </c>
      <c r="K27" s="45">
        <v>1.53</v>
      </c>
      <c r="L27" s="45">
        <v>0.01</v>
      </c>
      <c r="M27" s="45">
        <v>0.55000000000000004</v>
      </c>
      <c r="N27" s="45">
        <v>0.06</v>
      </c>
      <c r="O27" s="51" t="s">
        <v>62</v>
      </c>
      <c r="P27" s="101" t="str">
        <f>IF(A27='Table 1.1 complete'!A27,"","sort code!")</f>
        <v/>
      </c>
    </row>
    <row r="28" spans="1:18" s="1" customFormat="1" x14ac:dyDescent="0.25">
      <c r="A28" s="164" t="s">
        <v>151</v>
      </c>
      <c r="B28" s="194">
        <v>123</v>
      </c>
      <c r="C28" s="164" t="s">
        <v>235</v>
      </c>
      <c r="D28" s="124">
        <v>6</v>
      </c>
      <c r="E28" s="45">
        <v>0.54</v>
      </c>
      <c r="F28" s="45">
        <v>4.9400000000000004</v>
      </c>
      <c r="G28" s="45" t="s">
        <v>62</v>
      </c>
      <c r="H28" s="45" t="s">
        <v>62</v>
      </c>
      <c r="I28" s="45">
        <v>0.03</v>
      </c>
      <c r="J28" s="45">
        <v>0.45</v>
      </c>
      <c r="K28" s="45">
        <v>0.06</v>
      </c>
      <c r="L28" s="45">
        <v>0.01</v>
      </c>
      <c r="M28" s="45" t="s">
        <v>62</v>
      </c>
      <c r="N28" s="45">
        <v>0.05</v>
      </c>
      <c r="O28" s="51" t="s">
        <v>62</v>
      </c>
      <c r="P28" s="101" t="str">
        <f>IF(A28='Table 1.1 complete'!A28,"","sort code!")</f>
        <v/>
      </c>
    </row>
    <row r="29" spans="1:18" x14ac:dyDescent="0.25">
      <c r="A29" s="164" t="s">
        <v>87</v>
      </c>
      <c r="B29" s="194">
        <v>28</v>
      </c>
      <c r="C29" s="164" t="s">
        <v>235</v>
      </c>
      <c r="D29" s="124">
        <v>6</v>
      </c>
      <c r="E29" s="45">
        <v>64.73</v>
      </c>
      <c r="F29" s="45">
        <v>8.3699999999999992</v>
      </c>
      <c r="G29" s="45" t="s">
        <v>62</v>
      </c>
      <c r="H29" s="45">
        <v>1.29</v>
      </c>
      <c r="I29" s="45">
        <v>18.510000000000002</v>
      </c>
      <c r="J29" s="45">
        <v>92.51</v>
      </c>
      <c r="K29" s="45">
        <v>1.55</v>
      </c>
      <c r="L29" s="45" t="s">
        <v>62</v>
      </c>
      <c r="M29" s="45">
        <v>1.47</v>
      </c>
      <c r="N29" s="45">
        <v>0.61</v>
      </c>
      <c r="O29" s="51" t="s">
        <v>62</v>
      </c>
      <c r="P29" s="101" t="str">
        <f>IF(A29='Table 1.1 complete'!A29,"","sort code!")</f>
        <v/>
      </c>
    </row>
    <row r="30" spans="1:18" x14ac:dyDescent="0.25">
      <c r="A30" s="162" t="s">
        <v>141</v>
      </c>
      <c r="B30" s="192">
        <v>115</v>
      </c>
      <c r="C30" s="162" t="s">
        <v>233</v>
      </c>
      <c r="D30" s="122">
        <v>7</v>
      </c>
      <c r="E30" s="45">
        <v>5.92</v>
      </c>
      <c r="F30" s="45">
        <v>16.45</v>
      </c>
      <c r="G30" s="45" t="s">
        <v>62</v>
      </c>
      <c r="H30" s="45">
        <v>0.1</v>
      </c>
      <c r="I30" s="45">
        <v>0.56999999999999995</v>
      </c>
      <c r="J30" s="45">
        <v>2.34</v>
      </c>
      <c r="K30" s="45" t="s">
        <v>62</v>
      </c>
      <c r="L30" s="45">
        <v>0.01</v>
      </c>
      <c r="M30" s="45" t="s">
        <v>62</v>
      </c>
      <c r="N30" s="45" t="s">
        <v>62</v>
      </c>
      <c r="O30" s="51" t="s">
        <v>62</v>
      </c>
      <c r="P30" s="101" t="str">
        <f>IF(A30='Table 1.1 complete'!A30,"","sort code!")</f>
        <v/>
      </c>
    </row>
    <row r="31" spans="1:18" x14ac:dyDescent="0.25">
      <c r="A31" s="162" t="s">
        <v>93</v>
      </c>
      <c r="B31" s="192">
        <v>8</v>
      </c>
      <c r="C31" s="162" t="s">
        <v>233</v>
      </c>
      <c r="D31" s="122">
        <v>7</v>
      </c>
      <c r="E31" s="45" t="s">
        <v>62</v>
      </c>
      <c r="F31" s="45">
        <v>53.79</v>
      </c>
      <c r="G31" s="45" t="s">
        <v>62</v>
      </c>
      <c r="H31" s="45">
        <v>1.0900000000000001</v>
      </c>
      <c r="I31" s="45">
        <v>0.12</v>
      </c>
      <c r="J31" s="45">
        <v>3.18</v>
      </c>
      <c r="K31" s="45">
        <v>0.97</v>
      </c>
      <c r="L31" s="45" t="s">
        <v>62</v>
      </c>
      <c r="M31" s="45">
        <v>0.02</v>
      </c>
      <c r="N31" s="45">
        <v>0.22</v>
      </c>
      <c r="O31" s="51" t="s">
        <v>62</v>
      </c>
      <c r="P31" s="237" t="str">
        <f>IF(A31='Table 1.1 complete'!A31,"","sort code!")</f>
        <v/>
      </c>
      <c r="Q31" s="238"/>
      <c r="R31" s="238"/>
    </row>
    <row r="32" spans="1:18" x14ac:dyDescent="0.25">
      <c r="A32" s="162" t="s">
        <v>75</v>
      </c>
      <c r="B32" s="192">
        <v>14</v>
      </c>
      <c r="C32" s="162" t="s">
        <v>233</v>
      </c>
      <c r="D32" s="122">
        <v>7</v>
      </c>
      <c r="E32" s="45">
        <v>0.34</v>
      </c>
      <c r="F32" s="45">
        <v>7.04</v>
      </c>
      <c r="G32" s="45" t="s">
        <v>62</v>
      </c>
      <c r="H32" s="45">
        <v>0.11</v>
      </c>
      <c r="I32" s="45">
        <v>0.54</v>
      </c>
      <c r="J32" s="45">
        <v>15.23</v>
      </c>
      <c r="K32" s="45">
        <v>1.37</v>
      </c>
      <c r="L32" s="45">
        <v>0.01</v>
      </c>
      <c r="M32" s="45">
        <v>0.28000000000000003</v>
      </c>
      <c r="N32" s="45">
        <v>0.05</v>
      </c>
      <c r="O32" s="51" t="s">
        <v>62</v>
      </c>
      <c r="P32" s="101" t="str">
        <f>IF(A32='Table 1.1 complete'!A32,"","sort code!")</f>
        <v/>
      </c>
    </row>
    <row r="33" spans="1:16" x14ac:dyDescent="0.25">
      <c r="A33" s="162" t="s">
        <v>85</v>
      </c>
      <c r="B33" s="192">
        <v>25</v>
      </c>
      <c r="C33" s="162" t="s">
        <v>233</v>
      </c>
      <c r="D33" s="122">
        <v>7</v>
      </c>
      <c r="E33" s="45">
        <v>90.81</v>
      </c>
      <c r="F33" s="45">
        <v>54.76</v>
      </c>
      <c r="G33" s="45" t="s">
        <v>62</v>
      </c>
      <c r="H33" s="45">
        <v>2.06</v>
      </c>
      <c r="I33" s="45">
        <v>2.2999999999999998</v>
      </c>
      <c r="J33" s="45">
        <v>3.06</v>
      </c>
      <c r="K33" s="45">
        <v>2.36</v>
      </c>
      <c r="L33" s="45">
        <v>0.34</v>
      </c>
      <c r="M33" s="45" t="s">
        <v>62</v>
      </c>
      <c r="N33" s="45">
        <v>0.2</v>
      </c>
      <c r="O33" s="51" t="s">
        <v>62</v>
      </c>
      <c r="P33" s="101" t="str">
        <f>IF(A33='Table 1.1 complete'!A33,"","sort code!")</f>
        <v/>
      </c>
    </row>
    <row r="34" spans="1:16" x14ac:dyDescent="0.25">
      <c r="A34" s="162" t="s">
        <v>149</v>
      </c>
      <c r="B34" s="192">
        <v>121</v>
      </c>
      <c r="C34" s="162" t="s">
        <v>233</v>
      </c>
      <c r="D34" s="122">
        <v>7</v>
      </c>
      <c r="E34" s="45">
        <v>1.89</v>
      </c>
      <c r="F34" s="45">
        <v>23.21</v>
      </c>
      <c r="G34" s="45" t="s">
        <v>62</v>
      </c>
      <c r="H34" s="45">
        <v>0.21</v>
      </c>
      <c r="I34" s="45">
        <v>1.1000000000000001</v>
      </c>
      <c r="J34" s="45">
        <v>11.56</v>
      </c>
      <c r="K34" s="45">
        <v>0.03</v>
      </c>
      <c r="L34" s="45" t="s">
        <v>62</v>
      </c>
      <c r="M34" s="45" t="s">
        <v>62</v>
      </c>
      <c r="N34" s="45">
        <v>0</v>
      </c>
      <c r="O34" s="51" t="s">
        <v>62</v>
      </c>
      <c r="P34" s="101" t="str">
        <f>IF(A34='Table 1.1 complete'!A34,"","sort code!")</f>
        <v/>
      </c>
    </row>
    <row r="35" spans="1:16" x14ac:dyDescent="0.25">
      <c r="A35" s="162" t="s">
        <v>95</v>
      </c>
      <c r="B35" s="192">
        <v>27</v>
      </c>
      <c r="C35" s="162" t="s">
        <v>233</v>
      </c>
      <c r="D35" s="122">
        <v>7</v>
      </c>
      <c r="E35" s="45">
        <v>2.89</v>
      </c>
      <c r="F35" s="45">
        <v>1.91</v>
      </c>
      <c r="G35" s="45" t="s">
        <v>62</v>
      </c>
      <c r="H35" s="45">
        <v>0.42</v>
      </c>
      <c r="I35" s="45">
        <v>0.71</v>
      </c>
      <c r="J35" s="45">
        <v>1.62</v>
      </c>
      <c r="K35" s="45">
        <v>0.44</v>
      </c>
      <c r="L35" s="45">
        <v>0</v>
      </c>
      <c r="M35" s="45">
        <v>0.05</v>
      </c>
      <c r="N35" s="45">
        <v>0.01</v>
      </c>
      <c r="O35" s="51" t="s">
        <v>62</v>
      </c>
      <c r="P35" s="101" t="str">
        <f>IF(A35='Table 1.1 complete'!A35,"","sort code!")</f>
        <v/>
      </c>
    </row>
    <row r="36" spans="1:16" x14ac:dyDescent="0.25">
      <c r="A36" s="170" t="s">
        <v>66</v>
      </c>
      <c r="B36" s="201">
        <v>4</v>
      </c>
      <c r="C36" s="170" t="s">
        <v>228</v>
      </c>
      <c r="D36" s="130">
        <v>8</v>
      </c>
      <c r="E36" s="45">
        <v>134.62</v>
      </c>
      <c r="F36" s="45">
        <v>57.5</v>
      </c>
      <c r="G36" s="45" t="s">
        <v>62</v>
      </c>
      <c r="H36" s="45">
        <v>2.12</v>
      </c>
      <c r="I36" s="45">
        <v>2.1800000000000002</v>
      </c>
      <c r="J36" s="45">
        <v>39.17</v>
      </c>
      <c r="K36" s="45">
        <v>1.1000000000000001</v>
      </c>
      <c r="L36" s="45" t="s">
        <v>62</v>
      </c>
      <c r="M36" s="45" t="s">
        <v>62</v>
      </c>
      <c r="N36" s="45">
        <v>0.93</v>
      </c>
      <c r="O36" s="51" t="s">
        <v>62</v>
      </c>
      <c r="P36" s="101" t="str">
        <f>IF(A36='Table 1.1 complete'!A36,"","sort code!")</f>
        <v/>
      </c>
    </row>
    <row r="37" spans="1:16" s="1" customFormat="1" x14ac:dyDescent="0.25">
      <c r="A37" s="168" t="s">
        <v>69</v>
      </c>
      <c r="B37" s="199">
        <v>7</v>
      </c>
      <c r="C37" s="168" t="s">
        <v>234</v>
      </c>
      <c r="D37" s="128">
        <v>8</v>
      </c>
      <c r="E37" s="45">
        <v>45.89</v>
      </c>
      <c r="F37" s="45">
        <v>69.75</v>
      </c>
      <c r="G37" s="45" t="s">
        <v>62</v>
      </c>
      <c r="H37" s="45">
        <v>0.11</v>
      </c>
      <c r="I37" s="45">
        <v>9.85</v>
      </c>
      <c r="J37" s="45">
        <v>40.700000000000003</v>
      </c>
      <c r="K37" s="45">
        <v>7.53</v>
      </c>
      <c r="L37" s="45" t="s">
        <v>62</v>
      </c>
      <c r="M37" s="45">
        <v>0.16</v>
      </c>
      <c r="N37" s="45">
        <v>0.77</v>
      </c>
      <c r="O37" s="51" t="s">
        <v>62</v>
      </c>
      <c r="P37" s="101" t="str">
        <f>IF(A37='Table 1.1 complete'!A37,"","sort code!")</f>
        <v/>
      </c>
    </row>
    <row r="38" spans="1:16" x14ac:dyDescent="0.25">
      <c r="A38" s="161" t="s">
        <v>76</v>
      </c>
      <c r="B38" s="191">
        <v>15</v>
      </c>
      <c r="C38" s="161" t="s">
        <v>240</v>
      </c>
      <c r="D38" s="121">
        <v>8</v>
      </c>
      <c r="E38" s="45" t="s">
        <v>62</v>
      </c>
      <c r="F38" s="45" t="s">
        <v>62</v>
      </c>
      <c r="G38" s="45" t="s">
        <v>62</v>
      </c>
      <c r="H38" s="45" t="s">
        <v>62</v>
      </c>
      <c r="I38" s="45">
        <v>0</v>
      </c>
      <c r="J38" s="45" t="s">
        <v>62</v>
      </c>
      <c r="K38" s="45" t="s">
        <v>62</v>
      </c>
      <c r="L38" s="45" t="s">
        <v>62</v>
      </c>
      <c r="M38" s="45">
        <v>0</v>
      </c>
      <c r="N38" s="45" t="s">
        <v>62</v>
      </c>
      <c r="O38" s="51" t="s">
        <v>62</v>
      </c>
      <c r="P38" s="101" t="str">
        <f>IF(A38='Table 1.1 complete'!A38,"","sort code!")</f>
        <v/>
      </c>
    </row>
    <row r="39" spans="1:16" s="1" customFormat="1" x14ac:dyDescent="0.25">
      <c r="A39" s="99" t="s">
        <v>79</v>
      </c>
      <c r="B39" s="197">
        <v>18</v>
      </c>
      <c r="C39" s="99" t="s">
        <v>243</v>
      </c>
      <c r="D39" s="100">
        <v>8</v>
      </c>
      <c r="E39" s="45">
        <v>272.27</v>
      </c>
      <c r="F39" s="45" t="s">
        <v>62</v>
      </c>
      <c r="G39" s="45" t="s">
        <v>62</v>
      </c>
      <c r="H39" s="45">
        <v>38.53</v>
      </c>
      <c r="I39" s="45">
        <v>156.28</v>
      </c>
      <c r="J39" s="45">
        <v>289.88</v>
      </c>
      <c r="K39" s="45">
        <v>15.76</v>
      </c>
      <c r="L39" s="45">
        <v>0.43</v>
      </c>
      <c r="M39" s="45">
        <v>6.84</v>
      </c>
      <c r="N39" s="45" t="s">
        <v>62</v>
      </c>
      <c r="O39" s="51" t="s">
        <v>62</v>
      </c>
      <c r="P39" s="101" t="str">
        <f>IF(A39='Table 1.1 complete'!A39,"","sort code!")</f>
        <v/>
      </c>
    </row>
    <row r="40" spans="1:16" s="1" customFormat="1" x14ac:dyDescent="0.25">
      <c r="A40" s="99" t="s">
        <v>80</v>
      </c>
      <c r="B40" s="197">
        <v>19</v>
      </c>
      <c r="C40" s="99" t="s">
        <v>243</v>
      </c>
      <c r="D40" s="100">
        <v>8</v>
      </c>
      <c r="E40" s="45">
        <v>157.75</v>
      </c>
      <c r="F40" s="45" t="s">
        <v>62</v>
      </c>
      <c r="G40" s="45" t="s">
        <v>62</v>
      </c>
      <c r="H40" s="45">
        <v>12.96</v>
      </c>
      <c r="I40" s="45">
        <v>25.18</v>
      </c>
      <c r="J40" s="45">
        <v>82.36</v>
      </c>
      <c r="K40" s="45">
        <v>0.03</v>
      </c>
      <c r="L40" s="45">
        <v>0.01</v>
      </c>
      <c r="M40" s="45">
        <v>0.2</v>
      </c>
      <c r="N40" s="45">
        <v>0.34</v>
      </c>
      <c r="O40" s="51" t="s">
        <v>62</v>
      </c>
      <c r="P40" s="101" t="str">
        <f>IF(A40='Table 1.1 complete'!A40,"","sort code!")</f>
        <v/>
      </c>
    </row>
    <row r="41" spans="1:16" x14ac:dyDescent="0.25">
      <c r="A41" s="168" t="s">
        <v>82</v>
      </c>
      <c r="B41" s="199">
        <v>21</v>
      </c>
      <c r="C41" s="168" t="s">
        <v>234</v>
      </c>
      <c r="D41" s="128">
        <v>8</v>
      </c>
      <c r="E41" s="45">
        <v>31.33</v>
      </c>
      <c r="F41" s="45" t="s">
        <v>62</v>
      </c>
      <c r="G41" s="45" t="s">
        <v>62</v>
      </c>
      <c r="H41" s="45">
        <v>0.23</v>
      </c>
      <c r="I41" s="45">
        <v>52.26</v>
      </c>
      <c r="J41" s="45">
        <v>125.61</v>
      </c>
      <c r="K41" s="45">
        <v>2.62</v>
      </c>
      <c r="L41" s="45" t="s">
        <v>62</v>
      </c>
      <c r="M41" s="45" t="s">
        <v>62</v>
      </c>
      <c r="N41" s="45">
        <v>0.03</v>
      </c>
      <c r="O41" s="51" t="s">
        <v>62</v>
      </c>
      <c r="P41" s="101" t="str">
        <f>IF(A41='Table 1.1 complete'!A41,"","sort code!")</f>
        <v/>
      </c>
    </row>
    <row r="42" spans="1:16" s="1" customFormat="1" x14ac:dyDescent="0.25">
      <c r="A42" s="855" t="s">
        <v>94</v>
      </c>
      <c r="B42" s="856">
        <v>23</v>
      </c>
      <c r="C42" s="855" t="s">
        <v>228</v>
      </c>
      <c r="D42" s="859">
        <v>8</v>
      </c>
      <c r="E42" s="45">
        <v>2.58</v>
      </c>
      <c r="F42" s="45" t="s">
        <v>62</v>
      </c>
      <c r="G42" s="45" t="s">
        <v>62</v>
      </c>
      <c r="H42" s="45">
        <v>0.55000000000000004</v>
      </c>
      <c r="I42" s="45">
        <v>0</v>
      </c>
      <c r="J42" s="45">
        <v>11.98</v>
      </c>
      <c r="K42" s="45">
        <v>0.56999999999999995</v>
      </c>
      <c r="L42" s="45" t="s">
        <v>62</v>
      </c>
      <c r="M42" s="45" t="s">
        <v>62</v>
      </c>
      <c r="N42" s="45">
        <v>0.21</v>
      </c>
      <c r="O42" s="51" t="s">
        <v>62</v>
      </c>
      <c r="P42" s="101" t="str">
        <f>IF(A42='Table 1.1 complete'!A42,"","sort code!")</f>
        <v/>
      </c>
    </row>
    <row r="43" spans="1:16" x14ac:dyDescent="0.25">
      <c r="A43" s="161" t="s">
        <v>84</v>
      </c>
      <c r="B43" s="191">
        <v>24</v>
      </c>
      <c r="C43" s="161" t="s">
        <v>240</v>
      </c>
      <c r="D43" s="121">
        <v>8</v>
      </c>
      <c r="E43" s="48">
        <v>0.05</v>
      </c>
      <c r="F43" s="48" t="s">
        <v>62</v>
      </c>
      <c r="G43" s="48" t="s">
        <v>62</v>
      </c>
      <c r="H43" s="48">
        <v>0.09</v>
      </c>
      <c r="I43" s="48">
        <v>0.03</v>
      </c>
      <c r="J43" s="48">
        <v>0.73</v>
      </c>
      <c r="K43" s="48">
        <v>0.32</v>
      </c>
      <c r="L43" s="48">
        <v>0.01</v>
      </c>
      <c r="M43" s="48">
        <v>0.12</v>
      </c>
      <c r="N43" s="48" t="s">
        <v>62</v>
      </c>
      <c r="O43" s="51" t="s">
        <v>62</v>
      </c>
      <c r="P43" s="101" t="str">
        <f>IF(A43='Table 1.1 complete'!A43,"","sort code!")</f>
        <v/>
      </c>
    </row>
    <row r="44" spans="1:16" x14ac:dyDescent="0.25">
      <c r="A44" s="181" t="s">
        <v>97</v>
      </c>
      <c r="B44" s="212">
        <v>33</v>
      </c>
      <c r="C44" s="181" t="s">
        <v>247</v>
      </c>
      <c r="D44" s="140">
        <v>9</v>
      </c>
      <c r="E44" s="45">
        <v>2024.23</v>
      </c>
      <c r="F44" s="45">
        <v>90.23</v>
      </c>
      <c r="G44" s="45" t="s">
        <v>62</v>
      </c>
      <c r="H44" s="45">
        <v>3.99</v>
      </c>
      <c r="I44" s="45">
        <v>78.14</v>
      </c>
      <c r="J44" s="45">
        <v>915.2</v>
      </c>
      <c r="K44" s="45">
        <v>41.99</v>
      </c>
      <c r="L44" s="45">
        <v>5.01</v>
      </c>
      <c r="M44" s="45">
        <v>17.100000000000001</v>
      </c>
      <c r="N44" s="45">
        <v>7.55</v>
      </c>
      <c r="O44" s="51" t="s">
        <v>62</v>
      </c>
      <c r="P44" s="101" t="str">
        <f>IF(A44='Table 1.1 complete'!A44,"","sort code!")</f>
        <v/>
      </c>
    </row>
    <row r="45" spans="1:16" s="1" customFormat="1" x14ac:dyDescent="0.25">
      <c r="A45" s="158" t="s">
        <v>36</v>
      </c>
      <c r="B45" s="188">
        <v>69</v>
      </c>
      <c r="C45" s="158" t="s">
        <v>232</v>
      </c>
      <c r="D45" s="118">
        <v>10</v>
      </c>
      <c r="E45" s="45">
        <v>0.1</v>
      </c>
      <c r="F45" s="45">
        <v>5.96</v>
      </c>
      <c r="G45" s="45" t="s">
        <v>62</v>
      </c>
      <c r="H45" s="45">
        <v>4.0599999999999996</v>
      </c>
      <c r="I45" s="45">
        <v>13.77</v>
      </c>
      <c r="J45" s="45">
        <v>15.5</v>
      </c>
      <c r="K45" s="45">
        <v>17.399999999999999</v>
      </c>
      <c r="L45" s="45" t="s">
        <v>62</v>
      </c>
      <c r="M45" s="45" t="s">
        <v>62</v>
      </c>
      <c r="N45" s="45" t="s">
        <v>62</v>
      </c>
      <c r="O45" s="51" t="s">
        <v>62</v>
      </c>
      <c r="P45" s="101" t="str">
        <f>IF(A45='Table 1.1 complete'!A45,"","sort code!")</f>
        <v/>
      </c>
    </row>
    <row r="46" spans="1:16" x14ac:dyDescent="0.25">
      <c r="A46" s="178" t="s">
        <v>163</v>
      </c>
      <c r="B46" s="209">
        <v>135</v>
      </c>
      <c r="C46" s="178" t="s">
        <v>244</v>
      </c>
      <c r="D46" s="137">
        <v>11</v>
      </c>
      <c r="E46" s="45">
        <v>100.1</v>
      </c>
      <c r="F46" s="45">
        <v>61.52</v>
      </c>
      <c r="G46" s="45">
        <v>0.75</v>
      </c>
      <c r="H46" s="45">
        <v>7.51</v>
      </c>
      <c r="I46" s="45">
        <v>17.23</v>
      </c>
      <c r="J46" s="45">
        <v>486.71</v>
      </c>
      <c r="K46" s="45">
        <v>0.01</v>
      </c>
      <c r="L46" s="45">
        <v>1.98</v>
      </c>
      <c r="M46" s="45" t="s">
        <v>62</v>
      </c>
      <c r="N46" s="45" t="s">
        <v>62</v>
      </c>
      <c r="O46" s="51" t="s">
        <v>62</v>
      </c>
      <c r="P46" s="101" t="str">
        <f>IF(A46='Table 1.1 complete'!A46,"","sort code!")</f>
        <v/>
      </c>
    </row>
    <row r="47" spans="1:16" x14ac:dyDescent="0.25">
      <c r="A47" s="166" t="s">
        <v>120</v>
      </c>
      <c r="B47" s="196">
        <v>94</v>
      </c>
      <c r="C47" s="166" t="s">
        <v>241</v>
      </c>
      <c r="D47" s="126">
        <v>12</v>
      </c>
      <c r="E47" s="45">
        <v>516.57000000000005</v>
      </c>
      <c r="F47" s="45">
        <v>18.87</v>
      </c>
      <c r="G47" s="45" t="s">
        <v>62</v>
      </c>
      <c r="H47" s="45">
        <v>1.48</v>
      </c>
      <c r="I47" s="45">
        <v>35.520000000000003</v>
      </c>
      <c r="J47" s="45">
        <v>65.760000000000005</v>
      </c>
      <c r="K47" s="45">
        <v>1.95</v>
      </c>
      <c r="L47" s="45" t="s">
        <v>62</v>
      </c>
      <c r="M47" s="45" t="s">
        <v>62</v>
      </c>
      <c r="N47" s="45" t="s">
        <v>62</v>
      </c>
      <c r="O47" s="51" t="s">
        <v>62</v>
      </c>
      <c r="P47" s="101" t="str">
        <f>IF(A47='Table 1.1 complete'!A47,"","sort code!")</f>
        <v/>
      </c>
    </row>
    <row r="48" spans="1:16" x14ac:dyDescent="0.25">
      <c r="A48" s="159" t="s">
        <v>137</v>
      </c>
      <c r="B48" s="189">
        <v>111</v>
      </c>
      <c r="C48" s="159" t="s">
        <v>239</v>
      </c>
      <c r="D48" s="119">
        <v>13</v>
      </c>
      <c r="E48" s="45">
        <v>28.54</v>
      </c>
      <c r="F48" s="45" t="s">
        <v>62</v>
      </c>
      <c r="G48" s="45" t="s">
        <v>62</v>
      </c>
      <c r="H48" s="45" t="s">
        <v>62</v>
      </c>
      <c r="I48" s="45">
        <v>0.1</v>
      </c>
      <c r="J48" s="45">
        <v>10.32</v>
      </c>
      <c r="K48" s="45" t="s">
        <v>62</v>
      </c>
      <c r="L48" s="45" t="s">
        <v>62</v>
      </c>
      <c r="M48" s="45" t="s">
        <v>62</v>
      </c>
      <c r="N48" s="45" t="s">
        <v>62</v>
      </c>
      <c r="O48" s="51" t="s">
        <v>62</v>
      </c>
      <c r="P48" s="101" t="str">
        <f>IF(A48='Table 1.1 complete'!A48,"","sort code!")</f>
        <v/>
      </c>
    </row>
    <row r="49" spans="1:16" s="1" customFormat="1" x14ac:dyDescent="0.25">
      <c r="A49" s="159" t="s">
        <v>136</v>
      </c>
      <c r="B49" s="189">
        <v>110</v>
      </c>
      <c r="C49" s="159" t="s">
        <v>239</v>
      </c>
      <c r="D49" s="119">
        <v>13</v>
      </c>
      <c r="E49" s="45">
        <v>2634.31</v>
      </c>
      <c r="F49" s="45" t="s">
        <v>62</v>
      </c>
      <c r="G49" s="45" t="s">
        <v>62</v>
      </c>
      <c r="H49" s="45">
        <v>22.12</v>
      </c>
      <c r="I49" s="45">
        <v>33.65</v>
      </c>
      <c r="J49" s="45">
        <v>30.54</v>
      </c>
      <c r="K49" s="45">
        <v>2.31</v>
      </c>
      <c r="L49" s="45" t="s">
        <v>62</v>
      </c>
      <c r="M49" s="45" t="s">
        <v>62</v>
      </c>
      <c r="N49" s="45" t="s">
        <v>62</v>
      </c>
      <c r="O49" s="51" t="s">
        <v>62</v>
      </c>
      <c r="P49" s="101" t="str">
        <f>IF(A49='Table 1.1 complete'!A49,"","sort code!")</f>
        <v/>
      </c>
    </row>
    <row r="50" spans="1:16" x14ac:dyDescent="0.25">
      <c r="A50" s="177" t="s">
        <v>25</v>
      </c>
      <c r="B50" s="208">
        <v>58</v>
      </c>
      <c r="C50" s="177" t="s">
        <v>245</v>
      </c>
      <c r="D50" s="136">
        <v>14</v>
      </c>
      <c r="E50" s="45">
        <v>246.79</v>
      </c>
      <c r="F50" s="45" t="s">
        <v>62</v>
      </c>
      <c r="G50" s="45" t="s">
        <v>62</v>
      </c>
      <c r="H50" s="45" t="s">
        <v>62</v>
      </c>
      <c r="I50" s="45">
        <v>1.1499999999999999</v>
      </c>
      <c r="J50" s="45" t="s">
        <v>62</v>
      </c>
      <c r="K50" s="45">
        <v>0.26</v>
      </c>
      <c r="L50" s="45" t="s">
        <v>62</v>
      </c>
      <c r="M50" s="45" t="s">
        <v>62</v>
      </c>
      <c r="N50" s="45" t="s">
        <v>62</v>
      </c>
      <c r="O50" s="51" t="s">
        <v>62</v>
      </c>
      <c r="P50" s="101" t="str">
        <f>IF(A50='Table 1.1 complete'!A50,"","sort code!")</f>
        <v/>
      </c>
    </row>
    <row r="51" spans="1:16" x14ac:dyDescent="0.25">
      <c r="A51" s="169" t="s">
        <v>4</v>
      </c>
      <c r="B51" s="200">
        <v>38</v>
      </c>
      <c r="C51" s="169" t="s">
        <v>422</v>
      </c>
      <c r="D51" s="129">
        <v>15</v>
      </c>
      <c r="E51" s="45" t="s">
        <v>62</v>
      </c>
      <c r="F51" s="45" t="s">
        <v>62</v>
      </c>
      <c r="G51" s="45" t="s">
        <v>62</v>
      </c>
      <c r="H51" s="45" t="s">
        <v>62</v>
      </c>
      <c r="I51" s="45">
        <v>0.79</v>
      </c>
      <c r="J51" s="45">
        <v>36.18</v>
      </c>
      <c r="K51" s="45" t="s">
        <v>62</v>
      </c>
      <c r="L51" s="45" t="s">
        <v>62</v>
      </c>
      <c r="M51" s="45" t="s">
        <v>62</v>
      </c>
      <c r="N51" s="45" t="s">
        <v>62</v>
      </c>
      <c r="O51" s="51" t="s">
        <v>62</v>
      </c>
      <c r="P51" s="101" t="str">
        <f>IF(A51='Table 1.1 complete'!A51,"","sort code!")</f>
        <v/>
      </c>
    </row>
    <row r="52" spans="1:16" x14ac:dyDescent="0.25">
      <c r="A52" s="167" t="s">
        <v>169</v>
      </c>
      <c r="B52" s="198">
        <v>141</v>
      </c>
      <c r="C52" s="169" t="s">
        <v>422</v>
      </c>
      <c r="D52" s="129">
        <v>15</v>
      </c>
      <c r="E52" s="45" t="s">
        <v>62</v>
      </c>
      <c r="F52" s="45" t="s">
        <v>62</v>
      </c>
      <c r="G52" s="45" t="s">
        <v>62</v>
      </c>
      <c r="H52" s="45" t="s">
        <v>62</v>
      </c>
      <c r="I52" s="45">
        <v>0.34</v>
      </c>
      <c r="J52" s="45">
        <v>10.57</v>
      </c>
      <c r="K52" s="45" t="s">
        <v>62</v>
      </c>
      <c r="L52" s="45" t="s">
        <v>62</v>
      </c>
      <c r="M52" s="45" t="s">
        <v>62</v>
      </c>
      <c r="N52" s="45" t="s">
        <v>62</v>
      </c>
      <c r="O52" s="51" t="s">
        <v>62</v>
      </c>
      <c r="P52" s="101" t="str">
        <f>IF(A52='Table 1.1 complete'!A52,"","sort code!")</f>
        <v/>
      </c>
    </row>
    <row r="53" spans="1:16" x14ac:dyDescent="0.25">
      <c r="A53" s="169" t="s">
        <v>13</v>
      </c>
      <c r="B53" s="200">
        <v>46</v>
      </c>
      <c r="C53" s="169" t="s">
        <v>422</v>
      </c>
      <c r="D53" s="129">
        <v>15</v>
      </c>
      <c r="E53" s="45" t="s">
        <v>62</v>
      </c>
      <c r="F53" s="45" t="s">
        <v>62</v>
      </c>
      <c r="G53" s="45" t="s">
        <v>62</v>
      </c>
      <c r="H53" s="45" t="s">
        <v>62</v>
      </c>
      <c r="I53" s="45">
        <v>23.24</v>
      </c>
      <c r="J53" s="45">
        <v>85.55</v>
      </c>
      <c r="K53" s="45" t="s">
        <v>62</v>
      </c>
      <c r="L53" s="45" t="s">
        <v>62</v>
      </c>
      <c r="M53" s="45" t="s">
        <v>62</v>
      </c>
      <c r="N53" s="45" t="s">
        <v>62</v>
      </c>
      <c r="O53" s="51" t="s">
        <v>62</v>
      </c>
      <c r="P53" s="101" t="str">
        <f>IF(A53='Table 1.1 complete'!A53,"","sort code!")</f>
        <v/>
      </c>
    </row>
    <row r="54" spans="1:16" x14ac:dyDescent="0.25">
      <c r="A54" s="167" t="s">
        <v>170</v>
      </c>
      <c r="B54" s="198">
        <v>142</v>
      </c>
      <c r="C54" s="169" t="s">
        <v>422</v>
      </c>
      <c r="D54" s="129">
        <v>15</v>
      </c>
      <c r="E54" s="45" t="s">
        <v>62</v>
      </c>
      <c r="F54" s="45" t="s">
        <v>62</v>
      </c>
      <c r="G54" s="45" t="s">
        <v>62</v>
      </c>
      <c r="H54" s="45" t="s">
        <v>62</v>
      </c>
      <c r="I54" s="45">
        <v>25.57</v>
      </c>
      <c r="J54" s="45">
        <v>160.28</v>
      </c>
      <c r="K54" s="45" t="s">
        <v>62</v>
      </c>
      <c r="L54" s="45" t="s">
        <v>62</v>
      </c>
      <c r="M54" s="45" t="s">
        <v>62</v>
      </c>
      <c r="N54" s="45" t="s">
        <v>62</v>
      </c>
      <c r="O54" s="51" t="s">
        <v>62</v>
      </c>
      <c r="P54" s="101" t="str">
        <f>IF(A54='Table 1.1 complete'!A54,"","sort code!")</f>
        <v/>
      </c>
    </row>
    <row r="55" spans="1:16" s="1" customFormat="1" x14ac:dyDescent="0.25">
      <c r="A55" s="167" t="s">
        <v>171</v>
      </c>
      <c r="B55" s="198">
        <v>143</v>
      </c>
      <c r="C55" s="169" t="s">
        <v>422</v>
      </c>
      <c r="D55" s="129">
        <v>15</v>
      </c>
      <c r="E55" s="45" t="s">
        <v>62</v>
      </c>
      <c r="F55" s="45" t="s">
        <v>62</v>
      </c>
      <c r="G55" s="45" t="s">
        <v>62</v>
      </c>
      <c r="H55" s="45" t="s">
        <v>62</v>
      </c>
      <c r="I55" s="45">
        <v>32.68</v>
      </c>
      <c r="J55" s="45" t="s">
        <v>62</v>
      </c>
      <c r="K55" s="45" t="s">
        <v>62</v>
      </c>
      <c r="L55" s="45" t="s">
        <v>62</v>
      </c>
      <c r="M55" s="45" t="s">
        <v>62</v>
      </c>
      <c r="N55" s="45" t="s">
        <v>62</v>
      </c>
      <c r="O55" s="51" t="s">
        <v>62</v>
      </c>
      <c r="P55" s="101" t="str">
        <f>IF(A55='Table 1.1 complete'!A55,"","sort code!")</f>
        <v/>
      </c>
    </row>
    <row r="56" spans="1:16" x14ac:dyDescent="0.25">
      <c r="A56" s="167" t="s">
        <v>173</v>
      </c>
      <c r="B56" s="198">
        <v>145</v>
      </c>
      <c r="C56" s="169" t="s">
        <v>422</v>
      </c>
      <c r="D56" s="129">
        <v>15</v>
      </c>
      <c r="E56" s="45" t="s">
        <v>62</v>
      </c>
      <c r="F56" s="45" t="s">
        <v>62</v>
      </c>
      <c r="G56" s="45" t="s">
        <v>62</v>
      </c>
      <c r="H56" s="45" t="s">
        <v>62</v>
      </c>
      <c r="I56" s="45">
        <v>2.99</v>
      </c>
      <c r="J56" s="45">
        <v>9.94</v>
      </c>
      <c r="K56" s="45" t="s">
        <v>62</v>
      </c>
      <c r="L56" s="45" t="s">
        <v>62</v>
      </c>
      <c r="M56" s="45" t="s">
        <v>62</v>
      </c>
      <c r="N56" s="45">
        <v>0.01</v>
      </c>
      <c r="O56" s="51" t="s">
        <v>62</v>
      </c>
      <c r="P56" s="101" t="str">
        <f>IF(A56='Table 1.1 complete'!A56,"","sort code!")</f>
        <v/>
      </c>
    </row>
    <row r="57" spans="1:16" x14ac:dyDescent="0.25">
      <c r="A57" s="167" t="s">
        <v>174</v>
      </c>
      <c r="B57" s="198">
        <v>146</v>
      </c>
      <c r="C57" s="169" t="s">
        <v>422</v>
      </c>
      <c r="D57" s="129">
        <v>15</v>
      </c>
      <c r="E57" s="45" t="s">
        <v>62</v>
      </c>
      <c r="F57" s="45" t="s">
        <v>62</v>
      </c>
      <c r="G57" s="45" t="s">
        <v>62</v>
      </c>
      <c r="H57" s="45" t="s">
        <v>62</v>
      </c>
      <c r="I57" s="45">
        <v>35.26</v>
      </c>
      <c r="J57" s="45">
        <v>13.49</v>
      </c>
      <c r="K57" s="45" t="s">
        <v>62</v>
      </c>
      <c r="L57" s="45" t="s">
        <v>62</v>
      </c>
      <c r="M57" s="45" t="s">
        <v>62</v>
      </c>
      <c r="N57" s="45" t="s">
        <v>62</v>
      </c>
      <c r="O57" s="51" t="s">
        <v>62</v>
      </c>
      <c r="P57" s="101" t="str">
        <f>IF(A57='Table 1.1 complete'!A57,"","sort code!")</f>
        <v/>
      </c>
    </row>
    <row r="58" spans="1:16" x14ac:dyDescent="0.25">
      <c r="A58" s="167" t="s">
        <v>175</v>
      </c>
      <c r="B58" s="198">
        <v>147</v>
      </c>
      <c r="C58" s="169" t="s">
        <v>422</v>
      </c>
      <c r="D58" s="129">
        <v>15</v>
      </c>
      <c r="E58" s="45" t="s">
        <v>62</v>
      </c>
      <c r="F58" s="45" t="s">
        <v>62</v>
      </c>
      <c r="G58" s="45" t="s">
        <v>62</v>
      </c>
      <c r="H58" s="45" t="s">
        <v>62</v>
      </c>
      <c r="I58" s="45">
        <v>8.99</v>
      </c>
      <c r="J58" s="45" t="s">
        <v>62</v>
      </c>
      <c r="K58" s="45" t="s">
        <v>62</v>
      </c>
      <c r="L58" s="45" t="s">
        <v>62</v>
      </c>
      <c r="M58" s="45" t="s">
        <v>62</v>
      </c>
      <c r="N58" s="45" t="s">
        <v>62</v>
      </c>
      <c r="O58" s="51" t="s">
        <v>62</v>
      </c>
      <c r="P58" s="101" t="str">
        <f>IF(A58='Table 1.1 complete'!A58,"","sort code!")</f>
        <v/>
      </c>
    </row>
    <row r="59" spans="1:16" x14ac:dyDescent="0.25">
      <c r="A59" s="169" t="s">
        <v>19</v>
      </c>
      <c r="B59" s="200">
        <v>52</v>
      </c>
      <c r="C59" s="169" t="s">
        <v>422</v>
      </c>
      <c r="D59" s="129">
        <v>15</v>
      </c>
      <c r="E59" s="45" t="s">
        <v>62</v>
      </c>
      <c r="F59" s="45" t="s">
        <v>62</v>
      </c>
      <c r="G59" s="45" t="s">
        <v>62</v>
      </c>
      <c r="H59" s="45" t="s">
        <v>62</v>
      </c>
      <c r="I59" s="45">
        <v>14.15</v>
      </c>
      <c r="J59" s="45">
        <v>11.54</v>
      </c>
      <c r="K59" s="45" t="s">
        <v>62</v>
      </c>
      <c r="L59" s="45" t="s">
        <v>62</v>
      </c>
      <c r="M59" s="45" t="s">
        <v>62</v>
      </c>
      <c r="N59" s="45" t="s">
        <v>62</v>
      </c>
      <c r="O59" s="51" t="s">
        <v>62</v>
      </c>
      <c r="P59" s="101" t="str">
        <f>IF(A59='Table 1.1 complete'!A59,"","sort code!")</f>
        <v/>
      </c>
    </row>
    <row r="60" spans="1:16" x14ac:dyDescent="0.25">
      <c r="A60" s="169" t="s">
        <v>20</v>
      </c>
      <c r="B60" s="200">
        <v>53</v>
      </c>
      <c r="C60" s="169" t="s">
        <v>422</v>
      </c>
      <c r="D60" s="129">
        <v>15</v>
      </c>
      <c r="E60" s="45">
        <v>13.04</v>
      </c>
      <c r="F60" s="45" t="s">
        <v>62</v>
      </c>
      <c r="G60" s="45" t="s">
        <v>62</v>
      </c>
      <c r="H60" s="45" t="s">
        <v>62</v>
      </c>
      <c r="I60" s="45">
        <v>5.0999999999999996</v>
      </c>
      <c r="J60" s="45">
        <v>3.11</v>
      </c>
      <c r="K60" s="45" t="s">
        <v>62</v>
      </c>
      <c r="L60" s="45" t="s">
        <v>62</v>
      </c>
      <c r="M60" s="45" t="s">
        <v>62</v>
      </c>
      <c r="N60" s="45" t="s">
        <v>62</v>
      </c>
      <c r="O60" s="51" t="s">
        <v>62</v>
      </c>
      <c r="P60" s="101" t="str">
        <f>IF(A60='Table 1.1 complete'!A60,"","sort code!")</f>
        <v/>
      </c>
    </row>
    <row r="61" spans="1:16" x14ac:dyDescent="0.25">
      <c r="A61" s="167" t="s">
        <v>176</v>
      </c>
      <c r="B61" s="198">
        <v>148</v>
      </c>
      <c r="C61" s="169" t="s">
        <v>422</v>
      </c>
      <c r="D61" s="129">
        <v>15</v>
      </c>
      <c r="E61" s="45" t="s">
        <v>62</v>
      </c>
      <c r="F61" s="45" t="s">
        <v>62</v>
      </c>
      <c r="G61" s="45" t="s">
        <v>62</v>
      </c>
      <c r="H61" s="45" t="s">
        <v>62</v>
      </c>
      <c r="I61" s="45">
        <v>2.6</v>
      </c>
      <c r="J61" s="45">
        <v>11.84</v>
      </c>
      <c r="K61" s="45" t="s">
        <v>62</v>
      </c>
      <c r="L61" s="45" t="s">
        <v>62</v>
      </c>
      <c r="M61" s="45" t="s">
        <v>62</v>
      </c>
      <c r="N61" s="45" t="s">
        <v>62</v>
      </c>
      <c r="O61" s="51" t="s">
        <v>62</v>
      </c>
      <c r="P61" s="101" t="str">
        <f>IF(A61='Table 1.1 complete'!A61,"","sort code!")</f>
        <v/>
      </c>
    </row>
    <row r="62" spans="1:16" x14ac:dyDescent="0.25">
      <c r="A62" s="167" t="s">
        <v>177</v>
      </c>
      <c r="B62" s="198">
        <v>149</v>
      </c>
      <c r="C62" s="169" t="s">
        <v>422</v>
      </c>
      <c r="D62" s="129">
        <v>15</v>
      </c>
      <c r="E62" s="45" t="s">
        <v>62</v>
      </c>
      <c r="F62" s="45" t="s">
        <v>62</v>
      </c>
      <c r="G62" s="45" t="s">
        <v>62</v>
      </c>
      <c r="H62" s="45" t="s">
        <v>62</v>
      </c>
      <c r="I62" s="45" t="s">
        <v>62</v>
      </c>
      <c r="J62" s="45">
        <v>16.079999999999998</v>
      </c>
      <c r="K62" s="45" t="s">
        <v>62</v>
      </c>
      <c r="L62" s="45" t="s">
        <v>62</v>
      </c>
      <c r="M62" s="45" t="s">
        <v>62</v>
      </c>
      <c r="N62" s="45" t="s">
        <v>62</v>
      </c>
      <c r="O62" s="51" t="s">
        <v>62</v>
      </c>
      <c r="P62" s="101" t="str">
        <f>IF(A62='Table 1.1 complete'!A62,"","sort code!")</f>
        <v/>
      </c>
    </row>
    <row r="63" spans="1:16" x14ac:dyDescent="0.25">
      <c r="A63" s="167" t="s">
        <v>178</v>
      </c>
      <c r="B63" s="198">
        <v>150</v>
      </c>
      <c r="C63" s="169" t="s">
        <v>422</v>
      </c>
      <c r="D63" s="129">
        <v>15</v>
      </c>
      <c r="E63" s="45" t="s">
        <v>62</v>
      </c>
      <c r="F63" s="45" t="s">
        <v>62</v>
      </c>
      <c r="G63" s="45" t="s">
        <v>62</v>
      </c>
      <c r="H63" s="45" t="s">
        <v>62</v>
      </c>
      <c r="I63" s="45">
        <v>104.32</v>
      </c>
      <c r="J63" s="45">
        <v>84.75</v>
      </c>
      <c r="K63" s="45" t="s">
        <v>62</v>
      </c>
      <c r="L63" s="45" t="s">
        <v>62</v>
      </c>
      <c r="M63" s="45" t="s">
        <v>62</v>
      </c>
      <c r="N63" s="45" t="s">
        <v>62</v>
      </c>
      <c r="O63" s="51" t="s">
        <v>62</v>
      </c>
      <c r="P63" s="101" t="str">
        <f>IF(A63='Table 1.1 complete'!A63,"","sort code!")</f>
        <v/>
      </c>
    </row>
    <row r="64" spans="1:16" x14ac:dyDescent="0.25">
      <c r="A64" s="167" t="s">
        <v>179</v>
      </c>
      <c r="B64" s="198">
        <v>151</v>
      </c>
      <c r="C64" s="169" t="s">
        <v>422</v>
      </c>
      <c r="D64" s="129">
        <v>15</v>
      </c>
      <c r="E64" s="45" t="s">
        <v>62</v>
      </c>
      <c r="F64" s="45" t="s">
        <v>62</v>
      </c>
      <c r="G64" s="45" t="s">
        <v>62</v>
      </c>
      <c r="H64" s="45" t="s">
        <v>62</v>
      </c>
      <c r="I64" s="45">
        <v>23.05</v>
      </c>
      <c r="J64" s="45">
        <v>12.07</v>
      </c>
      <c r="K64" s="45" t="s">
        <v>62</v>
      </c>
      <c r="L64" s="45" t="s">
        <v>62</v>
      </c>
      <c r="M64" s="45" t="s">
        <v>62</v>
      </c>
      <c r="N64" s="45" t="s">
        <v>62</v>
      </c>
      <c r="O64" s="51" t="s">
        <v>62</v>
      </c>
      <c r="P64" s="101" t="str">
        <f>IF(A64='Table 1.1 complete'!A64,"","sort code!")</f>
        <v/>
      </c>
    </row>
    <row r="65" spans="1:16" s="1" customFormat="1" x14ac:dyDescent="0.25">
      <c r="A65" s="169" t="s">
        <v>29</v>
      </c>
      <c r="B65" s="200">
        <v>62</v>
      </c>
      <c r="C65" s="169" t="s">
        <v>422</v>
      </c>
      <c r="D65" s="129">
        <v>15</v>
      </c>
      <c r="E65" s="45" t="s">
        <v>62</v>
      </c>
      <c r="F65" s="45" t="s">
        <v>62</v>
      </c>
      <c r="G65" s="45" t="s">
        <v>62</v>
      </c>
      <c r="H65" s="45" t="s">
        <v>62</v>
      </c>
      <c r="I65" s="45">
        <v>2.38</v>
      </c>
      <c r="J65" s="45">
        <v>12.19</v>
      </c>
      <c r="K65" s="45" t="s">
        <v>62</v>
      </c>
      <c r="L65" s="45" t="s">
        <v>62</v>
      </c>
      <c r="M65" s="45" t="s">
        <v>62</v>
      </c>
      <c r="N65" s="45" t="s">
        <v>62</v>
      </c>
      <c r="O65" s="51" t="s">
        <v>62</v>
      </c>
      <c r="P65" s="101" t="str">
        <f>IF(A65='Table 1.1 complete'!A65,"","sort code!")</f>
        <v/>
      </c>
    </row>
    <row r="66" spans="1:16" x14ac:dyDescent="0.25">
      <c r="A66" s="167" t="s">
        <v>180</v>
      </c>
      <c r="B66" s="198">
        <v>152</v>
      </c>
      <c r="C66" s="169" t="s">
        <v>422</v>
      </c>
      <c r="D66" s="129">
        <v>15</v>
      </c>
      <c r="E66" s="45" t="s">
        <v>62</v>
      </c>
      <c r="F66" s="45" t="s">
        <v>62</v>
      </c>
      <c r="G66" s="45" t="s">
        <v>62</v>
      </c>
      <c r="H66" s="45" t="s">
        <v>62</v>
      </c>
      <c r="I66" s="45">
        <v>1.42</v>
      </c>
      <c r="J66" s="45">
        <v>74.69</v>
      </c>
      <c r="K66" s="45" t="s">
        <v>62</v>
      </c>
      <c r="L66" s="45" t="s">
        <v>62</v>
      </c>
      <c r="M66" s="45" t="s">
        <v>62</v>
      </c>
      <c r="N66" s="45" t="s">
        <v>62</v>
      </c>
      <c r="O66" s="51" t="s">
        <v>62</v>
      </c>
      <c r="P66" s="101" t="str">
        <f>IF(A66='Table 1.1 complete'!A66,"","sort code!")</f>
        <v/>
      </c>
    </row>
    <row r="67" spans="1:16" x14ac:dyDescent="0.25">
      <c r="A67" s="167" t="s">
        <v>181</v>
      </c>
      <c r="B67" s="198">
        <v>153</v>
      </c>
      <c r="C67" s="169" t="s">
        <v>422</v>
      </c>
      <c r="D67" s="129">
        <v>15</v>
      </c>
      <c r="E67" s="45" t="s">
        <v>62</v>
      </c>
      <c r="F67" s="45" t="s">
        <v>62</v>
      </c>
      <c r="G67" s="45" t="s">
        <v>62</v>
      </c>
      <c r="H67" s="45" t="s">
        <v>62</v>
      </c>
      <c r="I67" s="45">
        <v>6.03</v>
      </c>
      <c r="J67" s="45" t="s">
        <v>62</v>
      </c>
      <c r="K67" s="45" t="s">
        <v>62</v>
      </c>
      <c r="L67" s="45" t="s">
        <v>62</v>
      </c>
      <c r="M67" s="45" t="s">
        <v>62</v>
      </c>
      <c r="N67" s="45" t="s">
        <v>62</v>
      </c>
      <c r="O67" s="51" t="s">
        <v>62</v>
      </c>
      <c r="P67" s="101" t="str">
        <f>IF(A67='Table 1.1 complete'!A67,"","sort code!")</f>
        <v/>
      </c>
    </row>
    <row r="68" spans="1:16" x14ac:dyDescent="0.25">
      <c r="A68" s="171" t="s">
        <v>42</v>
      </c>
      <c r="B68" s="202">
        <v>75</v>
      </c>
      <c r="C68" s="171" t="s">
        <v>237</v>
      </c>
      <c r="D68" s="131">
        <v>16</v>
      </c>
      <c r="E68" s="45" t="s">
        <v>62</v>
      </c>
      <c r="F68" s="45" t="s">
        <v>62</v>
      </c>
      <c r="G68" s="45" t="s">
        <v>62</v>
      </c>
      <c r="H68" s="45" t="s">
        <v>62</v>
      </c>
      <c r="I68" s="45">
        <v>7.12</v>
      </c>
      <c r="J68" s="45">
        <v>1.18</v>
      </c>
      <c r="K68" s="45" t="s">
        <v>62</v>
      </c>
      <c r="L68" s="45" t="s">
        <v>62</v>
      </c>
      <c r="M68" s="45" t="s">
        <v>62</v>
      </c>
      <c r="N68" s="45" t="s">
        <v>62</v>
      </c>
      <c r="O68" s="51" t="s">
        <v>62</v>
      </c>
      <c r="P68" s="101" t="str">
        <f>IF(A68='Table 1.1 complete'!A68,"","sort code!")</f>
        <v/>
      </c>
    </row>
    <row r="69" spans="1:16" x14ac:dyDescent="0.25">
      <c r="A69" s="170" t="s">
        <v>121</v>
      </c>
      <c r="B69" s="201">
        <v>95</v>
      </c>
      <c r="C69" s="170" t="s">
        <v>421</v>
      </c>
      <c r="D69" s="130">
        <v>16</v>
      </c>
      <c r="E69" s="45" t="s">
        <v>62</v>
      </c>
      <c r="F69" s="45">
        <v>63.83</v>
      </c>
      <c r="G69" s="45" t="s">
        <v>62</v>
      </c>
      <c r="H69" s="45" t="s">
        <v>62</v>
      </c>
      <c r="I69" s="45">
        <v>37.700000000000003</v>
      </c>
      <c r="J69" s="45">
        <v>22.4</v>
      </c>
      <c r="K69" s="45" t="s">
        <v>62</v>
      </c>
      <c r="L69" s="45" t="s">
        <v>62</v>
      </c>
      <c r="M69" s="45" t="s">
        <v>62</v>
      </c>
      <c r="N69" s="45" t="s">
        <v>62</v>
      </c>
      <c r="O69" s="51" t="s">
        <v>62</v>
      </c>
      <c r="P69" s="101" t="str">
        <f>IF(A69='Table 1.1 complete'!A69,"","sort code!")</f>
        <v/>
      </c>
    </row>
    <row r="70" spans="1:16" x14ac:dyDescent="0.25">
      <c r="A70" s="171" t="s">
        <v>23</v>
      </c>
      <c r="B70" s="202">
        <v>56</v>
      </c>
      <c r="C70" s="171" t="s">
        <v>237</v>
      </c>
      <c r="D70" s="131">
        <v>16</v>
      </c>
      <c r="E70" s="45" t="s">
        <v>62</v>
      </c>
      <c r="F70" s="45" t="s">
        <v>62</v>
      </c>
      <c r="G70" s="45" t="s">
        <v>62</v>
      </c>
      <c r="H70" s="45" t="s">
        <v>62</v>
      </c>
      <c r="I70" s="45">
        <v>1.1399999999999999</v>
      </c>
      <c r="J70" s="45">
        <v>15.44</v>
      </c>
      <c r="K70" s="45" t="s">
        <v>62</v>
      </c>
      <c r="L70" s="45" t="s">
        <v>62</v>
      </c>
      <c r="M70" s="45" t="s">
        <v>62</v>
      </c>
      <c r="N70" s="45" t="s">
        <v>62</v>
      </c>
      <c r="O70" s="51" t="s">
        <v>62</v>
      </c>
      <c r="P70" s="101" t="str">
        <f>IF(A70='Table 1.1 complete'!A70,"","sort code!")</f>
        <v/>
      </c>
    </row>
    <row r="71" spans="1:16" x14ac:dyDescent="0.25">
      <c r="A71" s="171" t="s">
        <v>114</v>
      </c>
      <c r="B71" s="202">
        <v>88</v>
      </c>
      <c r="C71" s="171" t="s">
        <v>237</v>
      </c>
      <c r="D71" s="131">
        <v>16</v>
      </c>
      <c r="E71" s="45" t="s">
        <v>62</v>
      </c>
      <c r="F71" s="45" t="s">
        <v>62</v>
      </c>
      <c r="G71" s="45" t="s">
        <v>62</v>
      </c>
      <c r="H71" s="45" t="s">
        <v>62</v>
      </c>
      <c r="I71" s="45">
        <v>13.11</v>
      </c>
      <c r="J71" s="45">
        <v>18.690000000000001</v>
      </c>
      <c r="K71" s="45" t="s">
        <v>62</v>
      </c>
      <c r="L71" s="45" t="s">
        <v>62</v>
      </c>
      <c r="M71" s="45" t="s">
        <v>62</v>
      </c>
      <c r="N71" s="45" t="s">
        <v>62</v>
      </c>
      <c r="O71" s="51" t="s">
        <v>62</v>
      </c>
      <c r="P71" s="101" t="str">
        <f>IF(A71='Table 1.1 complete'!A71,"","sort code!")</f>
        <v/>
      </c>
    </row>
    <row r="72" spans="1:16" x14ac:dyDescent="0.25">
      <c r="A72" s="176" t="s">
        <v>139</v>
      </c>
      <c r="B72" s="207">
        <v>113</v>
      </c>
      <c r="C72" s="176" t="s">
        <v>423</v>
      </c>
      <c r="D72" s="135">
        <v>17</v>
      </c>
      <c r="E72" s="45" t="s">
        <v>62</v>
      </c>
      <c r="F72" s="45" t="s">
        <v>62</v>
      </c>
      <c r="G72" s="45" t="s">
        <v>62</v>
      </c>
      <c r="H72" s="45" t="s">
        <v>62</v>
      </c>
      <c r="I72" s="45">
        <v>7.0000000000000007E-2</v>
      </c>
      <c r="J72" s="45" t="s">
        <v>62</v>
      </c>
      <c r="K72" s="45" t="s">
        <v>62</v>
      </c>
      <c r="L72" s="45" t="s">
        <v>62</v>
      </c>
      <c r="M72" s="45" t="s">
        <v>62</v>
      </c>
      <c r="N72" s="45" t="s">
        <v>62</v>
      </c>
      <c r="O72" s="51" t="s">
        <v>62</v>
      </c>
      <c r="P72" s="101" t="str">
        <f>IF(A72='Table 1.1 complete'!A72,"","sort code!")</f>
        <v/>
      </c>
    </row>
    <row r="73" spans="1:16" x14ac:dyDescent="0.25">
      <c r="A73" s="172" t="s">
        <v>6</v>
      </c>
      <c r="B73" s="203">
        <v>39</v>
      </c>
      <c r="C73" s="176" t="s">
        <v>423</v>
      </c>
      <c r="D73" s="135">
        <v>17</v>
      </c>
      <c r="E73" s="45" t="s">
        <v>62</v>
      </c>
      <c r="F73" s="45" t="s">
        <v>62</v>
      </c>
      <c r="G73" s="45" t="s">
        <v>62</v>
      </c>
      <c r="H73" s="45" t="s">
        <v>62</v>
      </c>
      <c r="I73" s="45">
        <v>0.59</v>
      </c>
      <c r="J73" s="45" t="s">
        <v>62</v>
      </c>
      <c r="K73" s="45" t="s">
        <v>62</v>
      </c>
      <c r="L73" s="45" t="s">
        <v>62</v>
      </c>
      <c r="M73" s="45" t="s">
        <v>62</v>
      </c>
      <c r="N73" s="45" t="s">
        <v>62</v>
      </c>
      <c r="O73" s="51" t="s">
        <v>62</v>
      </c>
      <c r="P73" s="101" t="str">
        <f>IF(A73='Table 1.1 complete'!A73,"","sort code!")</f>
        <v/>
      </c>
    </row>
    <row r="74" spans="1:16" s="1" customFormat="1" x14ac:dyDescent="0.25">
      <c r="A74" s="173" t="s">
        <v>34</v>
      </c>
      <c r="B74" s="204">
        <v>67</v>
      </c>
      <c r="C74" s="176" t="s">
        <v>423</v>
      </c>
      <c r="D74" s="135">
        <v>17</v>
      </c>
      <c r="E74" s="45">
        <v>1.67</v>
      </c>
      <c r="F74" s="45" t="s">
        <v>62</v>
      </c>
      <c r="G74" s="45" t="s">
        <v>62</v>
      </c>
      <c r="H74" s="45">
        <v>0.83</v>
      </c>
      <c r="I74" s="45">
        <v>10.79</v>
      </c>
      <c r="J74" s="45">
        <v>62.53</v>
      </c>
      <c r="K74" s="45">
        <v>1.48</v>
      </c>
      <c r="L74" s="45" t="s">
        <v>62</v>
      </c>
      <c r="M74" s="45" t="s">
        <v>62</v>
      </c>
      <c r="N74" s="45" t="s">
        <v>62</v>
      </c>
      <c r="O74" s="51" t="s">
        <v>62</v>
      </c>
      <c r="P74" s="101" t="str">
        <f>IF(A74='Table 1.1 complete'!A74,"","sort code!")</f>
        <v/>
      </c>
    </row>
    <row r="75" spans="1:16" x14ac:dyDescent="0.25">
      <c r="A75" s="174" t="s">
        <v>153</v>
      </c>
      <c r="B75" s="205">
        <v>125</v>
      </c>
      <c r="C75" s="176" t="s">
        <v>423</v>
      </c>
      <c r="D75" s="135">
        <v>17</v>
      </c>
      <c r="E75" s="45" t="s">
        <v>62</v>
      </c>
      <c r="F75" s="45" t="s">
        <v>62</v>
      </c>
      <c r="G75" s="45" t="s">
        <v>62</v>
      </c>
      <c r="H75" s="45" t="s">
        <v>62</v>
      </c>
      <c r="I75" s="45" t="s">
        <v>62</v>
      </c>
      <c r="J75" s="45">
        <v>1.49</v>
      </c>
      <c r="K75" s="45" t="s">
        <v>62</v>
      </c>
      <c r="L75" s="45" t="s">
        <v>62</v>
      </c>
      <c r="M75" s="45" t="s">
        <v>62</v>
      </c>
      <c r="N75" s="45" t="s">
        <v>62</v>
      </c>
      <c r="O75" s="51" t="s">
        <v>62</v>
      </c>
      <c r="P75" s="101" t="str">
        <f>IF(A75='Table 1.1 complete'!A75,"","sort code!")</f>
        <v/>
      </c>
    </row>
    <row r="76" spans="1:16" s="1" customFormat="1" x14ac:dyDescent="0.25">
      <c r="A76" s="174" t="s">
        <v>154</v>
      </c>
      <c r="B76" s="205">
        <v>126</v>
      </c>
      <c r="C76" s="176" t="s">
        <v>423</v>
      </c>
      <c r="D76" s="135">
        <v>17</v>
      </c>
      <c r="E76" s="45" t="s">
        <v>62</v>
      </c>
      <c r="F76" s="45" t="s">
        <v>62</v>
      </c>
      <c r="G76" s="45" t="s">
        <v>62</v>
      </c>
      <c r="H76" s="45" t="s">
        <v>62</v>
      </c>
      <c r="I76" s="45">
        <v>3.8</v>
      </c>
      <c r="J76" s="45">
        <v>18.05</v>
      </c>
      <c r="K76" s="45" t="s">
        <v>62</v>
      </c>
      <c r="L76" s="45" t="s">
        <v>62</v>
      </c>
      <c r="M76" s="45" t="s">
        <v>62</v>
      </c>
      <c r="N76" s="45" t="s">
        <v>62</v>
      </c>
      <c r="O76" s="51" t="s">
        <v>62</v>
      </c>
      <c r="P76" s="101" t="str">
        <f>IF(A76='Table 1.1 complete'!A76,"","sort code!")</f>
        <v/>
      </c>
    </row>
    <row r="77" spans="1:16" s="1" customFormat="1" x14ac:dyDescent="0.25">
      <c r="A77" s="174" t="s">
        <v>117</v>
      </c>
      <c r="B77" s="205">
        <v>91</v>
      </c>
      <c r="C77" s="176" t="s">
        <v>423</v>
      </c>
      <c r="D77" s="135">
        <v>17</v>
      </c>
      <c r="E77" s="45" t="s">
        <v>62</v>
      </c>
      <c r="F77" s="45" t="s">
        <v>62</v>
      </c>
      <c r="G77" s="45" t="s">
        <v>62</v>
      </c>
      <c r="H77" s="45" t="s">
        <v>62</v>
      </c>
      <c r="I77" s="45">
        <v>1.64</v>
      </c>
      <c r="J77" s="45">
        <v>21.34</v>
      </c>
      <c r="K77" s="45" t="s">
        <v>62</v>
      </c>
      <c r="L77" s="45" t="s">
        <v>62</v>
      </c>
      <c r="M77" s="45" t="s">
        <v>62</v>
      </c>
      <c r="N77" s="45" t="s">
        <v>62</v>
      </c>
      <c r="O77" s="51" t="s">
        <v>62</v>
      </c>
      <c r="P77" s="101" t="str">
        <f>IF(A77='Table 1.1 complete'!A77,"","sort code!")</f>
        <v/>
      </c>
    </row>
    <row r="78" spans="1:16" s="1" customFormat="1" x14ac:dyDescent="0.25">
      <c r="A78" s="176" t="s">
        <v>155</v>
      </c>
      <c r="B78" s="207">
        <v>127</v>
      </c>
      <c r="C78" s="176" t="s">
        <v>423</v>
      </c>
      <c r="D78" s="135">
        <v>17</v>
      </c>
      <c r="E78" s="45" t="s">
        <v>62</v>
      </c>
      <c r="F78" s="45" t="s">
        <v>62</v>
      </c>
      <c r="G78" s="45">
        <v>0.01</v>
      </c>
      <c r="H78" s="45" t="s">
        <v>62</v>
      </c>
      <c r="I78" s="45">
        <v>0.17</v>
      </c>
      <c r="J78" s="45">
        <v>31.52</v>
      </c>
      <c r="K78" s="45">
        <v>0.01</v>
      </c>
      <c r="L78" s="45">
        <v>7.0000000000000007E-2</v>
      </c>
      <c r="M78" s="45" t="s">
        <v>62</v>
      </c>
      <c r="N78" s="45" t="s">
        <v>62</v>
      </c>
      <c r="O78" s="51" t="s">
        <v>62</v>
      </c>
      <c r="P78" s="101" t="str">
        <f>IF(A78='Table 1.1 complete'!A78,"","sort code!")</f>
        <v/>
      </c>
    </row>
    <row r="79" spans="1:16" s="1" customFormat="1" x14ac:dyDescent="0.25">
      <c r="A79" s="172" t="s">
        <v>7</v>
      </c>
      <c r="B79" s="203">
        <v>40</v>
      </c>
      <c r="C79" s="176" t="s">
        <v>423</v>
      </c>
      <c r="D79" s="135">
        <v>17</v>
      </c>
      <c r="E79" s="45" t="s">
        <v>62</v>
      </c>
      <c r="F79" s="45" t="s">
        <v>62</v>
      </c>
      <c r="G79" s="45" t="s">
        <v>62</v>
      </c>
      <c r="H79" s="45" t="s">
        <v>62</v>
      </c>
      <c r="I79" s="45">
        <v>0.13</v>
      </c>
      <c r="J79" s="45" t="s">
        <v>62</v>
      </c>
      <c r="K79" s="45" t="s">
        <v>62</v>
      </c>
      <c r="L79" s="45" t="s">
        <v>62</v>
      </c>
      <c r="M79" s="45" t="s">
        <v>62</v>
      </c>
      <c r="N79" s="45" t="s">
        <v>62</v>
      </c>
      <c r="O79" s="51" t="s">
        <v>62</v>
      </c>
      <c r="P79" s="101" t="str">
        <f>IF(A79='Table 1.1 complete'!A79,"","sort code!")</f>
        <v/>
      </c>
    </row>
    <row r="80" spans="1:16" x14ac:dyDescent="0.25">
      <c r="A80" s="173" t="s">
        <v>35</v>
      </c>
      <c r="B80" s="204">
        <v>68</v>
      </c>
      <c r="C80" s="176" t="s">
        <v>423</v>
      </c>
      <c r="D80" s="135">
        <v>17</v>
      </c>
      <c r="E80" s="45" t="s">
        <v>62</v>
      </c>
      <c r="F80" s="45" t="s">
        <v>62</v>
      </c>
      <c r="G80" s="45" t="s">
        <v>62</v>
      </c>
      <c r="H80" s="45" t="s">
        <v>62</v>
      </c>
      <c r="I80" s="45">
        <v>0.82</v>
      </c>
      <c r="J80" s="45">
        <v>2.42</v>
      </c>
      <c r="K80" s="45">
        <v>0.17</v>
      </c>
      <c r="L80" s="45" t="s">
        <v>62</v>
      </c>
      <c r="M80" s="45" t="s">
        <v>62</v>
      </c>
      <c r="N80" s="45" t="s">
        <v>62</v>
      </c>
      <c r="O80" s="51" t="s">
        <v>62</v>
      </c>
      <c r="P80" s="101" t="str">
        <f>IF(A80='Table 1.1 complete'!A80,"","sort code!")</f>
        <v/>
      </c>
    </row>
    <row r="81" spans="1:16" s="1" customFormat="1" x14ac:dyDescent="0.25">
      <c r="A81" s="176" t="s">
        <v>140</v>
      </c>
      <c r="B81" s="207">
        <v>114</v>
      </c>
      <c r="C81" s="176" t="s">
        <v>423</v>
      </c>
      <c r="D81" s="135">
        <v>17</v>
      </c>
      <c r="E81" s="45">
        <v>4.83</v>
      </c>
      <c r="F81" s="45">
        <v>2.8</v>
      </c>
      <c r="G81" s="45" t="s">
        <v>62</v>
      </c>
      <c r="H81" s="45">
        <v>0.04</v>
      </c>
      <c r="I81" s="45">
        <v>0.16</v>
      </c>
      <c r="J81" s="45" t="s">
        <v>62</v>
      </c>
      <c r="K81" s="45" t="s">
        <v>62</v>
      </c>
      <c r="L81" s="45" t="s">
        <v>62</v>
      </c>
      <c r="M81" s="45" t="s">
        <v>62</v>
      </c>
      <c r="N81" s="45" t="s">
        <v>62</v>
      </c>
      <c r="O81" s="51" t="s">
        <v>62</v>
      </c>
      <c r="P81" s="101" t="str">
        <f>IF(A81='Table 1.1 complete'!A81,"","sort code!")</f>
        <v/>
      </c>
    </row>
    <row r="82" spans="1:16" s="1" customFormat="1" x14ac:dyDescent="0.25">
      <c r="A82" s="861" t="s">
        <v>8</v>
      </c>
      <c r="B82" s="860">
        <v>41</v>
      </c>
      <c r="C82" s="176" t="s">
        <v>423</v>
      </c>
      <c r="D82" s="135">
        <v>17</v>
      </c>
      <c r="E82" s="45">
        <v>1.1100000000000001</v>
      </c>
      <c r="F82" s="45" t="s">
        <v>62</v>
      </c>
      <c r="G82" s="45" t="s">
        <v>62</v>
      </c>
      <c r="H82" s="45" t="s">
        <v>62</v>
      </c>
      <c r="I82" s="45">
        <v>0.01</v>
      </c>
      <c r="J82" s="45" t="s">
        <v>62</v>
      </c>
      <c r="K82" s="45" t="s">
        <v>62</v>
      </c>
      <c r="L82" s="45" t="s">
        <v>62</v>
      </c>
      <c r="M82" s="45" t="s">
        <v>62</v>
      </c>
      <c r="N82" s="45" t="s">
        <v>62</v>
      </c>
      <c r="O82" s="51" t="s">
        <v>62</v>
      </c>
      <c r="P82" s="101" t="str">
        <f>IF(A82='Table 1.1 complete'!A82,"","sort code!")</f>
        <v/>
      </c>
    </row>
    <row r="83" spans="1:16" x14ac:dyDescent="0.25">
      <c r="A83" s="174" t="s">
        <v>118</v>
      </c>
      <c r="B83" s="205">
        <v>92</v>
      </c>
      <c r="C83" s="176" t="s">
        <v>423</v>
      </c>
      <c r="D83" s="135">
        <v>17</v>
      </c>
      <c r="E83" s="48" t="s">
        <v>62</v>
      </c>
      <c r="F83" s="48" t="s">
        <v>62</v>
      </c>
      <c r="G83" s="48" t="s">
        <v>62</v>
      </c>
      <c r="H83" s="48" t="s">
        <v>62</v>
      </c>
      <c r="I83" s="48">
        <v>0.03</v>
      </c>
      <c r="J83" s="48">
        <v>3.36</v>
      </c>
      <c r="K83" s="48" t="s">
        <v>62</v>
      </c>
      <c r="L83" s="48" t="s">
        <v>62</v>
      </c>
      <c r="M83" s="48" t="s">
        <v>62</v>
      </c>
      <c r="N83" s="48" t="s">
        <v>62</v>
      </c>
      <c r="O83" s="51" t="s">
        <v>62</v>
      </c>
      <c r="P83" s="101" t="str">
        <f>IF(A83='Table 1.1 complete'!A83,"","sort code!")</f>
        <v/>
      </c>
    </row>
    <row r="84" spans="1:16" x14ac:dyDescent="0.25">
      <c r="A84" s="174" t="s">
        <v>119</v>
      </c>
      <c r="B84" s="205">
        <v>93</v>
      </c>
      <c r="C84" s="176" t="s">
        <v>423</v>
      </c>
      <c r="D84" s="135">
        <v>17</v>
      </c>
      <c r="E84" s="45" t="s">
        <v>62</v>
      </c>
      <c r="F84" s="45" t="s">
        <v>62</v>
      </c>
      <c r="G84" s="45" t="s">
        <v>62</v>
      </c>
      <c r="H84" s="45" t="s">
        <v>62</v>
      </c>
      <c r="I84" s="45">
        <v>1.29</v>
      </c>
      <c r="J84" s="45" t="s">
        <v>62</v>
      </c>
      <c r="K84" s="45">
        <v>0.01</v>
      </c>
      <c r="L84" s="45" t="s">
        <v>62</v>
      </c>
      <c r="M84" s="45" t="s">
        <v>62</v>
      </c>
      <c r="N84" s="45" t="s">
        <v>62</v>
      </c>
      <c r="O84" s="51" t="s">
        <v>62</v>
      </c>
      <c r="P84" s="101" t="str">
        <f>IF(A84='Table 1.1 complete'!A84,"","sort code!")</f>
        <v/>
      </c>
    </row>
    <row r="85" spans="1:16" s="1" customFormat="1" x14ac:dyDescent="0.25">
      <c r="A85" s="172" t="s">
        <v>9</v>
      </c>
      <c r="B85" s="203">
        <v>42</v>
      </c>
      <c r="C85" s="176" t="s">
        <v>423</v>
      </c>
      <c r="D85" s="135">
        <v>17</v>
      </c>
      <c r="E85" s="45" t="s">
        <v>62</v>
      </c>
      <c r="F85" s="45" t="s">
        <v>62</v>
      </c>
      <c r="G85" s="45" t="s">
        <v>62</v>
      </c>
      <c r="H85" s="45" t="s">
        <v>62</v>
      </c>
      <c r="I85" s="45">
        <v>1.47</v>
      </c>
      <c r="J85" s="45">
        <v>0.44</v>
      </c>
      <c r="K85" s="45" t="s">
        <v>62</v>
      </c>
      <c r="L85" s="45" t="s">
        <v>62</v>
      </c>
      <c r="M85" s="45" t="s">
        <v>62</v>
      </c>
      <c r="N85" s="45" t="s">
        <v>62</v>
      </c>
      <c r="O85" s="51" t="s">
        <v>62</v>
      </c>
      <c r="P85" s="101" t="str">
        <f>IF(A85='Table 1.1 complete'!A85,"","sort code!")</f>
        <v/>
      </c>
    </row>
    <row r="86" spans="1:16" x14ac:dyDescent="0.25">
      <c r="A86" s="173" t="s">
        <v>37</v>
      </c>
      <c r="B86" s="204">
        <v>70</v>
      </c>
      <c r="C86" s="176" t="s">
        <v>423</v>
      </c>
      <c r="D86" s="135">
        <v>17</v>
      </c>
      <c r="E86" s="45">
        <v>13.26</v>
      </c>
      <c r="F86" s="45" t="s">
        <v>62</v>
      </c>
      <c r="G86" s="45" t="s">
        <v>62</v>
      </c>
      <c r="H86" s="45" t="s">
        <v>62</v>
      </c>
      <c r="I86" s="45">
        <v>14.4</v>
      </c>
      <c r="J86" s="45">
        <v>4.63</v>
      </c>
      <c r="K86" s="45">
        <v>3.08</v>
      </c>
      <c r="L86" s="45" t="s">
        <v>62</v>
      </c>
      <c r="M86" s="45" t="s">
        <v>62</v>
      </c>
      <c r="N86" s="45" t="s">
        <v>62</v>
      </c>
      <c r="O86" s="51" t="s">
        <v>62</v>
      </c>
      <c r="P86" s="101" t="str">
        <f>IF(A86='Table 1.1 complete'!A86,"","sort code!")</f>
        <v/>
      </c>
    </row>
    <row r="87" spans="1:16" x14ac:dyDescent="0.25">
      <c r="A87" s="174" t="s">
        <v>131</v>
      </c>
      <c r="B87" s="205">
        <v>105</v>
      </c>
      <c r="C87" s="176" t="s">
        <v>423</v>
      </c>
      <c r="D87" s="135">
        <v>17</v>
      </c>
      <c r="E87" s="45">
        <v>118.63</v>
      </c>
      <c r="F87" s="45">
        <v>10.88</v>
      </c>
      <c r="G87" s="45" t="s">
        <v>62</v>
      </c>
      <c r="H87" s="45">
        <v>2.38</v>
      </c>
      <c r="I87" s="45">
        <v>15.57</v>
      </c>
      <c r="J87" s="45">
        <v>42.64</v>
      </c>
      <c r="K87" s="45">
        <v>0.67</v>
      </c>
      <c r="L87" s="45" t="s">
        <v>62</v>
      </c>
      <c r="M87" s="45">
        <v>3.02</v>
      </c>
      <c r="N87" s="45" t="s">
        <v>62</v>
      </c>
      <c r="O87" s="79" t="s">
        <v>248</v>
      </c>
      <c r="P87" s="101" t="str">
        <f>IF(A87='Table 1.1 complete'!A87,"","sort code!")</f>
        <v/>
      </c>
    </row>
    <row r="88" spans="1:16" x14ac:dyDescent="0.25">
      <c r="A88" s="173" t="s">
        <v>38</v>
      </c>
      <c r="B88" s="204">
        <v>71</v>
      </c>
      <c r="C88" s="176" t="s">
        <v>423</v>
      </c>
      <c r="D88" s="135">
        <v>17</v>
      </c>
      <c r="E88" s="45">
        <v>3.39</v>
      </c>
      <c r="F88" s="45" t="s">
        <v>62</v>
      </c>
      <c r="G88" s="45" t="s">
        <v>62</v>
      </c>
      <c r="H88" s="45">
        <v>0.11</v>
      </c>
      <c r="I88" s="45">
        <v>0.15</v>
      </c>
      <c r="J88" s="45">
        <v>6.59</v>
      </c>
      <c r="K88" s="45">
        <v>0.59</v>
      </c>
      <c r="L88" s="45" t="s">
        <v>62</v>
      </c>
      <c r="M88" s="45" t="s">
        <v>62</v>
      </c>
      <c r="N88" s="45" t="s">
        <v>62</v>
      </c>
      <c r="O88" s="51" t="s">
        <v>62</v>
      </c>
      <c r="P88" s="101" t="str">
        <f>IF(A88='Table 1.1 complete'!A88,"","sort code!")</f>
        <v/>
      </c>
    </row>
    <row r="89" spans="1:16" s="1" customFormat="1" x14ac:dyDescent="0.25">
      <c r="A89" s="172" t="s">
        <v>10</v>
      </c>
      <c r="B89" s="203">
        <v>43</v>
      </c>
      <c r="C89" s="176" t="s">
        <v>423</v>
      </c>
      <c r="D89" s="135">
        <v>17</v>
      </c>
      <c r="E89" s="45" t="s">
        <v>62</v>
      </c>
      <c r="F89" s="45" t="s">
        <v>62</v>
      </c>
      <c r="G89" s="45" t="s">
        <v>62</v>
      </c>
      <c r="H89" s="45" t="s">
        <v>62</v>
      </c>
      <c r="I89" s="45" t="s">
        <v>62</v>
      </c>
      <c r="J89" s="45">
        <v>7.0000000000000007E-2</v>
      </c>
      <c r="K89" s="45" t="s">
        <v>62</v>
      </c>
      <c r="L89" s="45" t="s">
        <v>62</v>
      </c>
      <c r="M89" s="45" t="s">
        <v>62</v>
      </c>
      <c r="N89" s="45" t="s">
        <v>62</v>
      </c>
      <c r="O89" s="51" t="s">
        <v>62</v>
      </c>
      <c r="P89" s="101" t="str">
        <f>IF(A89='Table 1.1 complete'!A89,"","sort code!")</f>
        <v/>
      </c>
    </row>
    <row r="90" spans="1:16" x14ac:dyDescent="0.25">
      <c r="A90" s="173" t="s">
        <v>39</v>
      </c>
      <c r="B90" s="204">
        <v>72</v>
      </c>
      <c r="C90" s="176" t="s">
        <v>423</v>
      </c>
      <c r="D90" s="135">
        <v>17</v>
      </c>
      <c r="E90" s="45" t="s">
        <v>62</v>
      </c>
      <c r="F90" s="45" t="s">
        <v>62</v>
      </c>
      <c r="G90" s="45" t="s">
        <v>62</v>
      </c>
      <c r="H90" s="45" t="s">
        <v>62</v>
      </c>
      <c r="I90" s="45">
        <v>0.72</v>
      </c>
      <c r="J90" s="45" t="s">
        <v>62</v>
      </c>
      <c r="K90" s="45">
        <v>7.0000000000000007E-2</v>
      </c>
      <c r="L90" s="45" t="s">
        <v>62</v>
      </c>
      <c r="M90" s="45" t="s">
        <v>62</v>
      </c>
      <c r="N90" s="45">
        <v>0.01</v>
      </c>
      <c r="O90" s="51" t="s">
        <v>62</v>
      </c>
      <c r="P90" s="101" t="str">
        <f>IF(A90='Table 1.1 complete'!A90,"","sort code!")</f>
        <v/>
      </c>
    </row>
    <row r="91" spans="1:16" x14ac:dyDescent="0.25">
      <c r="A91" s="172" t="s">
        <v>12</v>
      </c>
      <c r="B91" s="203">
        <v>45</v>
      </c>
      <c r="C91" s="176" t="s">
        <v>423</v>
      </c>
      <c r="D91" s="135">
        <v>17</v>
      </c>
      <c r="E91" s="45" t="s">
        <v>62</v>
      </c>
      <c r="F91" s="45" t="s">
        <v>62</v>
      </c>
      <c r="G91" s="45" t="s">
        <v>62</v>
      </c>
      <c r="H91" s="45" t="s">
        <v>62</v>
      </c>
      <c r="I91" s="45">
        <v>0.02</v>
      </c>
      <c r="J91" s="45">
        <v>3.7</v>
      </c>
      <c r="K91" s="45">
        <v>0.12</v>
      </c>
      <c r="L91" s="45" t="s">
        <v>62</v>
      </c>
      <c r="M91" s="45" t="s">
        <v>62</v>
      </c>
      <c r="N91" s="45" t="s">
        <v>62</v>
      </c>
      <c r="O91" s="51" t="s">
        <v>62</v>
      </c>
      <c r="P91" s="101" t="str">
        <f>IF(A91='Table 1.1 complete'!A91,"","sort code!")</f>
        <v/>
      </c>
    </row>
    <row r="92" spans="1:16" x14ac:dyDescent="0.25">
      <c r="A92" s="173" t="s">
        <v>40</v>
      </c>
      <c r="B92" s="204">
        <v>73</v>
      </c>
      <c r="C92" s="176" t="s">
        <v>423</v>
      </c>
      <c r="D92" s="135">
        <v>17</v>
      </c>
      <c r="E92" s="45" t="s">
        <v>62</v>
      </c>
      <c r="F92" s="45" t="s">
        <v>62</v>
      </c>
      <c r="G92" s="45" t="s">
        <v>62</v>
      </c>
      <c r="H92" s="45" t="s">
        <v>62</v>
      </c>
      <c r="I92" s="45">
        <v>17.170000000000002</v>
      </c>
      <c r="J92" s="45" t="s">
        <v>62</v>
      </c>
      <c r="K92" s="45">
        <v>0.33</v>
      </c>
      <c r="L92" s="45" t="s">
        <v>62</v>
      </c>
      <c r="M92" s="45" t="s">
        <v>62</v>
      </c>
      <c r="N92" s="45" t="s">
        <v>62</v>
      </c>
      <c r="O92" s="51" t="s">
        <v>62</v>
      </c>
      <c r="P92" s="101" t="str">
        <f>IF(A92='Table 1.1 complete'!A92,"","sort code!")</f>
        <v/>
      </c>
    </row>
    <row r="93" spans="1:16" x14ac:dyDescent="0.25">
      <c r="A93" s="173" t="s">
        <v>41</v>
      </c>
      <c r="B93" s="204">
        <v>74</v>
      </c>
      <c r="C93" s="176" t="s">
        <v>423</v>
      </c>
      <c r="D93" s="135">
        <v>17</v>
      </c>
      <c r="E93" s="45">
        <v>1.97</v>
      </c>
      <c r="F93" s="45" t="s">
        <v>62</v>
      </c>
      <c r="G93" s="45" t="s">
        <v>62</v>
      </c>
      <c r="H93" s="45" t="s">
        <v>62</v>
      </c>
      <c r="I93" s="45">
        <v>9.73</v>
      </c>
      <c r="J93" s="45">
        <v>1.71</v>
      </c>
      <c r="K93" s="45">
        <v>0.04</v>
      </c>
      <c r="L93" s="45" t="s">
        <v>62</v>
      </c>
      <c r="M93" s="45" t="s">
        <v>62</v>
      </c>
      <c r="N93" s="45" t="s">
        <v>62</v>
      </c>
      <c r="O93" s="51" t="s">
        <v>62</v>
      </c>
      <c r="P93" s="101" t="str">
        <f>IF(A93='Table 1.1 complete'!A93,"","sort code!")</f>
        <v/>
      </c>
    </row>
    <row r="94" spans="1:16" x14ac:dyDescent="0.25">
      <c r="A94" s="174" t="s">
        <v>122</v>
      </c>
      <c r="B94" s="205">
        <v>96</v>
      </c>
      <c r="C94" s="176" t="s">
        <v>423</v>
      </c>
      <c r="D94" s="135">
        <v>17</v>
      </c>
      <c r="E94" s="45">
        <v>6.68</v>
      </c>
      <c r="F94" s="45">
        <v>0.81</v>
      </c>
      <c r="G94" s="45" t="s">
        <v>62</v>
      </c>
      <c r="H94" s="45" t="s">
        <v>62</v>
      </c>
      <c r="I94" s="45">
        <v>0.76</v>
      </c>
      <c r="J94" s="45" t="s">
        <v>62</v>
      </c>
      <c r="K94" s="45" t="s">
        <v>62</v>
      </c>
      <c r="L94" s="45" t="s">
        <v>62</v>
      </c>
      <c r="M94" s="45" t="s">
        <v>62</v>
      </c>
      <c r="N94" s="45" t="s">
        <v>62</v>
      </c>
      <c r="O94" s="51" t="s">
        <v>62</v>
      </c>
      <c r="P94" s="101" t="str">
        <f>IF(A94='Table 1.1 complete'!A94,"","sort code!")</f>
        <v/>
      </c>
    </row>
    <row r="95" spans="1:16" s="1" customFormat="1" x14ac:dyDescent="0.25">
      <c r="A95" s="172" t="s">
        <v>11</v>
      </c>
      <c r="B95" s="203">
        <v>44</v>
      </c>
      <c r="C95" s="176" t="s">
        <v>423</v>
      </c>
      <c r="D95" s="135">
        <v>17</v>
      </c>
      <c r="E95" s="45" t="s">
        <v>62</v>
      </c>
      <c r="F95" s="45" t="s">
        <v>62</v>
      </c>
      <c r="G95" s="45" t="s">
        <v>62</v>
      </c>
      <c r="H95" s="45" t="s">
        <v>62</v>
      </c>
      <c r="I95" s="45">
        <v>0.03</v>
      </c>
      <c r="J95" s="45" t="s">
        <v>62</v>
      </c>
      <c r="K95" s="45" t="s">
        <v>62</v>
      </c>
      <c r="L95" s="45" t="s">
        <v>62</v>
      </c>
      <c r="M95" s="45" t="s">
        <v>62</v>
      </c>
      <c r="N95" s="45" t="s">
        <v>62</v>
      </c>
      <c r="O95" s="51" t="s">
        <v>62</v>
      </c>
      <c r="P95" s="101" t="str">
        <f>IF(A95='Table 1.1 complete'!A95,"","sort code!")</f>
        <v/>
      </c>
    </row>
    <row r="96" spans="1:16" x14ac:dyDescent="0.25">
      <c r="A96" s="173" t="s">
        <v>43</v>
      </c>
      <c r="B96" s="204">
        <v>76</v>
      </c>
      <c r="C96" s="176" t="s">
        <v>423</v>
      </c>
      <c r="D96" s="135">
        <v>17</v>
      </c>
      <c r="E96" s="49" t="s">
        <v>62</v>
      </c>
      <c r="F96" s="49" t="s">
        <v>62</v>
      </c>
      <c r="G96" s="49" t="s">
        <v>62</v>
      </c>
      <c r="H96" s="49" t="s">
        <v>62</v>
      </c>
      <c r="I96" s="49">
        <v>2.65</v>
      </c>
      <c r="J96" s="49" t="s">
        <v>62</v>
      </c>
      <c r="K96" s="49">
        <v>0.03</v>
      </c>
      <c r="L96" s="49" t="s">
        <v>62</v>
      </c>
      <c r="M96" s="49" t="s">
        <v>62</v>
      </c>
      <c r="N96" s="49" t="s">
        <v>62</v>
      </c>
      <c r="O96" s="51" t="s">
        <v>62</v>
      </c>
      <c r="P96" s="101" t="str">
        <f>IF(A96='Table 1.1 complete'!A96,"","sort code!")</f>
        <v/>
      </c>
    </row>
    <row r="97" spans="1:16" x14ac:dyDescent="0.25">
      <c r="A97" s="172" t="s">
        <v>14</v>
      </c>
      <c r="B97" s="203">
        <v>47</v>
      </c>
      <c r="C97" s="176" t="s">
        <v>423</v>
      </c>
      <c r="D97" s="135">
        <v>17</v>
      </c>
      <c r="E97" s="45" t="s">
        <v>62</v>
      </c>
      <c r="F97" s="45" t="s">
        <v>62</v>
      </c>
      <c r="G97" s="45" t="s">
        <v>62</v>
      </c>
      <c r="H97" s="45" t="s">
        <v>62</v>
      </c>
      <c r="I97" s="45">
        <v>0.28999999999999998</v>
      </c>
      <c r="J97" s="45" t="s">
        <v>62</v>
      </c>
      <c r="K97" s="45" t="s">
        <v>62</v>
      </c>
      <c r="L97" s="45" t="s">
        <v>62</v>
      </c>
      <c r="M97" s="45" t="s">
        <v>62</v>
      </c>
      <c r="N97" s="45" t="s">
        <v>62</v>
      </c>
      <c r="O97" s="51" t="s">
        <v>62</v>
      </c>
      <c r="P97" s="101" t="str">
        <f>IF(A97='Table 1.1 complete'!A97,"","sort code!")</f>
        <v/>
      </c>
    </row>
    <row r="98" spans="1:16" x14ac:dyDescent="0.25">
      <c r="A98" s="172" t="s">
        <v>15</v>
      </c>
      <c r="B98" s="203">
        <v>48</v>
      </c>
      <c r="C98" s="176" t="s">
        <v>423</v>
      </c>
      <c r="D98" s="135">
        <v>17</v>
      </c>
      <c r="E98" s="45" t="s">
        <v>62</v>
      </c>
      <c r="F98" s="45" t="s">
        <v>62</v>
      </c>
      <c r="G98" s="45" t="s">
        <v>62</v>
      </c>
      <c r="H98" s="45" t="s">
        <v>62</v>
      </c>
      <c r="I98" s="45">
        <v>0.13</v>
      </c>
      <c r="J98" s="45" t="s">
        <v>62</v>
      </c>
      <c r="K98" s="45" t="s">
        <v>62</v>
      </c>
      <c r="L98" s="45" t="s">
        <v>62</v>
      </c>
      <c r="M98" s="45" t="s">
        <v>62</v>
      </c>
      <c r="N98" s="45" t="s">
        <v>62</v>
      </c>
      <c r="O98" s="51" t="s">
        <v>62</v>
      </c>
      <c r="P98" s="101" t="str">
        <f>IF(A98='Table 1.1 complete'!A98,"","sort code!")</f>
        <v/>
      </c>
    </row>
    <row r="99" spans="1:16" x14ac:dyDescent="0.25">
      <c r="A99" s="176" t="s">
        <v>146</v>
      </c>
      <c r="B99" s="207">
        <v>118</v>
      </c>
      <c r="C99" s="176" t="s">
        <v>423</v>
      </c>
      <c r="D99" s="135">
        <v>17</v>
      </c>
      <c r="E99" s="45" t="s">
        <v>62</v>
      </c>
      <c r="F99" s="45">
        <v>5.24</v>
      </c>
      <c r="G99" s="45" t="s">
        <v>62</v>
      </c>
      <c r="H99" s="45" t="s">
        <v>62</v>
      </c>
      <c r="I99" s="45">
        <v>0.48</v>
      </c>
      <c r="J99" s="45" t="s">
        <v>62</v>
      </c>
      <c r="K99" s="45" t="s">
        <v>62</v>
      </c>
      <c r="L99" s="45" t="s">
        <v>62</v>
      </c>
      <c r="M99" s="45" t="s">
        <v>62</v>
      </c>
      <c r="N99" s="45" t="s">
        <v>62</v>
      </c>
      <c r="O99" s="51" t="s">
        <v>62</v>
      </c>
      <c r="P99" s="101" t="str">
        <f>IF(A99='Table 1.1 complete'!A99,"","sort code!")</f>
        <v/>
      </c>
    </row>
    <row r="100" spans="1:16" x14ac:dyDescent="0.25">
      <c r="A100" s="172" t="s">
        <v>16</v>
      </c>
      <c r="B100" s="203">
        <v>49</v>
      </c>
      <c r="C100" s="176" t="s">
        <v>423</v>
      </c>
      <c r="D100" s="135">
        <v>17</v>
      </c>
      <c r="E100" s="45" t="s">
        <v>62</v>
      </c>
      <c r="F100" s="45" t="s">
        <v>62</v>
      </c>
      <c r="G100" s="45" t="s">
        <v>62</v>
      </c>
      <c r="H100" s="45" t="s">
        <v>62</v>
      </c>
      <c r="I100" s="45">
        <v>0.74</v>
      </c>
      <c r="J100" s="45">
        <v>0.3</v>
      </c>
      <c r="K100" s="45">
        <v>0.01</v>
      </c>
      <c r="L100" s="45" t="s">
        <v>62</v>
      </c>
      <c r="M100" s="45" t="s">
        <v>62</v>
      </c>
      <c r="N100" s="45" t="s">
        <v>62</v>
      </c>
      <c r="O100" s="51" t="s">
        <v>62</v>
      </c>
      <c r="P100" s="101" t="str">
        <f>IF(A100='Table 1.1 complete'!A100,"","sort code!")</f>
        <v/>
      </c>
    </row>
    <row r="101" spans="1:16" x14ac:dyDescent="0.25">
      <c r="A101" s="174" t="s">
        <v>157</v>
      </c>
      <c r="B101" s="205">
        <v>129</v>
      </c>
      <c r="C101" s="176" t="s">
        <v>423</v>
      </c>
      <c r="D101" s="135">
        <v>17</v>
      </c>
      <c r="E101" s="45" t="s">
        <v>62</v>
      </c>
      <c r="F101" s="45" t="s">
        <v>62</v>
      </c>
      <c r="G101" s="45" t="s">
        <v>62</v>
      </c>
      <c r="H101" s="45" t="s">
        <v>62</v>
      </c>
      <c r="I101" s="45">
        <v>0.02</v>
      </c>
      <c r="J101" s="45">
        <v>1.49</v>
      </c>
      <c r="K101" s="45" t="s">
        <v>62</v>
      </c>
      <c r="L101" s="45" t="s">
        <v>62</v>
      </c>
      <c r="M101" s="45" t="s">
        <v>62</v>
      </c>
      <c r="N101" s="45" t="s">
        <v>62</v>
      </c>
      <c r="O101" s="51" t="s">
        <v>62</v>
      </c>
      <c r="P101" s="101" t="str">
        <f>IF(A101='Table 1.1 complete'!A101,"","sort code!")</f>
        <v/>
      </c>
    </row>
    <row r="102" spans="1:16" x14ac:dyDescent="0.25">
      <c r="A102" s="172" t="s">
        <v>17</v>
      </c>
      <c r="B102" s="203">
        <v>50</v>
      </c>
      <c r="C102" s="176" t="s">
        <v>423</v>
      </c>
      <c r="D102" s="135">
        <v>17</v>
      </c>
      <c r="E102" s="45" t="s">
        <v>62</v>
      </c>
      <c r="F102" s="45" t="s">
        <v>62</v>
      </c>
      <c r="G102" s="45" t="s">
        <v>62</v>
      </c>
      <c r="H102" s="45" t="s">
        <v>62</v>
      </c>
      <c r="I102" s="45">
        <v>3.25</v>
      </c>
      <c r="J102" s="45" t="s">
        <v>62</v>
      </c>
      <c r="K102" s="45" t="s">
        <v>62</v>
      </c>
      <c r="L102" s="45" t="s">
        <v>62</v>
      </c>
      <c r="M102" s="45" t="s">
        <v>62</v>
      </c>
      <c r="N102" s="45" t="s">
        <v>62</v>
      </c>
      <c r="O102" s="51" t="s">
        <v>62</v>
      </c>
      <c r="P102" s="101" t="str">
        <f>IF(A102='Table 1.1 complete'!A102,"","sort code!")</f>
        <v/>
      </c>
    </row>
    <row r="103" spans="1:16" x14ac:dyDescent="0.25">
      <c r="A103" s="173" t="s">
        <v>44</v>
      </c>
      <c r="B103" s="204">
        <v>77</v>
      </c>
      <c r="C103" s="176" t="s">
        <v>423</v>
      </c>
      <c r="D103" s="135">
        <v>17</v>
      </c>
      <c r="E103" s="49">
        <v>1.1200000000000001</v>
      </c>
      <c r="F103" s="49" t="s">
        <v>62</v>
      </c>
      <c r="G103" s="49" t="s">
        <v>62</v>
      </c>
      <c r="H103" s="49" t="s">
        <v>62</v>
      </c>
      <c r="I103" s="49">
        <v>2.63</v>
      </c>
      <c r="J103" s="49" t="s">
        <v>62</v>
      </c>
      <c r="K103" s="49">
        <v>1.37</v>
      </c>
      <c r="L103" s="49" t="s">
        <v>62</v>
      </c>
      <c r="M103" s="49" t="s">
        <v>62</v>
      </c>
      <c r="N103" s="49" t="s">
        <v>62</v>
      </c>
      <c r="O103" s="51" t="s">
        <v>62</v>
      </c>
      <c r="P103" s="101" t="str">
        <f>IF(A103='Table 1.1 complete'!A103,"","sort code!")</f>
        <v/>
      </c>
    </row>
    <row r="104" spans="1:16" x14ac:dyDescent="0.25">
      <c r="A104" s="173" t="s">
        <v>104</v>
      </c>
      <c r="B104" s="204">
        <v>78</v>
      </c>
      <c r="C104" s="176" t="s">
        <v>423</v>
      </c>
      <c r="D104" s="135">
        <v>17</v>
      </c>
      <c r="E104" s="45" t="s">
        <v>62</v>
      </c>
      <c r="F104" s="45" t="s">
        <v>62</v>
      </c>
      <c r="G104" s="45" t="s">
        <v>62</v>
      </c>
      <c r="H104" s="45" t="s">
        <v>62</v>
      </c>
      <c r="I104" s="45">
        <v>0.32</v>
      </c>
      <c r="J104" s="45" t="s">
        <v>62</v>
      </c>
      <c r="K104" s="45" t="s">
        <v>62</v>
      </c>
      <c r="L104" s="45" t="s">
        <v>62</v>
      </c>
      <c r="M104" s="45" t="s">
        <v>62</v>
      </c>
      <c r="N104" s="45" t="s">
        <v>62</v>
      </c>
      <c r="O104" s="51" t="s">
        <v>62</v>
      </c>
      <c r="P104" s="101" t="str">
        <f>IF(A104='Table 1.1 complete'!A104,"","sort code!")</f>
        <v/>
      </c>
    </row>
    <row r="105" spans="1:16" s="1" customFormat="1" x14ac:dyDescent="0.25">
      <c r="A105" s="173" t="s">
        <v>105</v>
      </c>
      <c r="B105" s="204">
        <v>79</v>
      </c>
      <c r="C105" s="176" t="s">
        <v>423</v>
      </c>
      <c r="D105" s="135">
        <v>17</v>
      </c>
      <c r="E105" s="45" t="s">
        <v>62</v>
      </c>
      <c r="F105" s="45" t="s">
        <v>62</v>
      </c>
      <c r="G105" s="45" t="s">
        <v>62</v>
      </c>
      <c r="H105" s="45" t="s">
        <v>62</v>
      </c>
      <c r="I105" s="45">
        <v>3.93</v>
      </c>
      <c r="J105" s="45" t="s">
        <v>62</v>
      </c>
      <c r="K105" s="45">
        <v>0.17</v>
      </c>
      <c r="L105" s="45" t="s">
        <v>62</v>
      </c>
      <c r="M105" s="45" t="s">
        <v>62</v>
      </c>
      <c r="N105" s="45" t="s">
        <v>62</v>
      </c>
      <c r="O105" s="51" t="s">
        <v>62</v>
      </c>
      <c r="P105" s="101" t="str">
        <f>IF(A105='Table 1.1 complete'!A105,"","sort code!")</f>
        <v/>
      </c>
    </row>
    <row r="106" spans="1:16" x14ac:dyDescent="0.25">
      <c r="A106" s="174" t="s">
        <v>172</v>
      </c>
      <c r="B106" s="205">
        <v>144</v>
      </c>
      <c r="C106" s="176" t="s">
        <v>423</v>
      </c>
      <c r="D106" s="135">
        <v>17</v>
      </c>
      <c r="E106" s="45">
        <v>37.25</v>
      </c>
      <c r="F106" s="45">
        <v>0.16</v>
      </c>
      <c r="G106" s="45" t="s">
        <v>62</v>
      </c>
      <c r="H106" s="45" t="s">
        <v>62</v>
      </c>
      <c r="I106" s="45">
        <v>6.81</v>
      </c>
      <c r="J106" s="45">
        <v>10.57</v>
      </c>
      <c r="K106" s="45" t="s">
        <v>62</v>
      </c>
      <c r="L106" s="45" t="s">
        <v>62</v>
      </c>
      <c r="M106" s="45" t="s">
        <v>62</v>
      </c>
      <c r="N106" s="45" t="s">
        <v>62</v>
      </c>
      <c r="O106" s="51" t="s">
        <v>62</v>
      </c>
      <c r="P106" s="101" t="str">
        <f>IF(A106='Table 1.1 complete'!A106,"","sort code!")</f>
        <v/>
      </c>
    </row>
    <row r="107" spans="1:16" x14ac:dyDescent="0.25">
      <c r="A107" s="173" t="s">
        <v>106</v>
      </c>
      <c r="B107" s="204">
        <v>80</v>
      </c>
      <c r="C107" s="176" t="s">
        <v>423</v>
      </c>
      <c r="D107" s="135">
        <v>17</v>
      </c>
      <c r="E107" s="45" t="s">
        <v>62</v>
      </c>
      <c r="F107" s="45" t="s">
        <v>62</v>
      </c>
      <c r="G107" s="45" t="s">
        <v>62</v>
      </c>
      <c r="H107" s="45" t="s">
        <v>62</v>
      </c>
      <c r="I107" s="45">
        <v>7.46</v>
      </c>
      <c r="J107" s="45" t="s">
        <v>62</v>
      </c>
      <c r="K107" s="45">
        <v>0.11</v>
      </c>
      <c r="L107" s="45" t="s">
        <v>62</v>
      </c>
      <c r="M107" s="45" t="s">
        <v>62</v>
      </c>
      <c r="N107" s="45" t="s">
        <v>62</v>
      </c>
      <c r="O107" s="51" t="s">
        <v>62</v>
      </c>
      <c r="P107" s="101" t="str">
        <f>IF(A107='Table 1.1 complete'!A107,"","sort code!")</f>
        <v/>
      </c>
    </row>
    <row r="108" spans="1:16" x14ac:dyDescent="0.25">
      <c r="A108" s="174" t="s">
        <v>158</v>
      </c>
      <c r="B108" s="205">
        <v>130</v>
      </c>
      <c r="C108" s="176" t="s">
        <v>423</v>
      </c>
      <c r="D108" s="135">
        <v>17</v>
      </c>
      <c r="E108" s="45">
        <v>53.88</v>
      </c>
      <c r="F108" s="45" t="s">
        <v>62</v>
      </c>
      <c r="G108" s="45" t="s">
        <v>62</v>
      </c>
      <c r="H108" s="45" t="s">
        <v>62</v>
      </c>
      <c r="I108" s="45">
        <v>6.37</v>
      </c>
      <c r="J108" s="45">
        <v>8.18</v>
      </c>
      <c r="K108" s="45" t="s">
        <v>62</v>
      </c>
      <c r="L108" s="45" t="s">
        <v>62</v>
      </c>
      <c r="M108" s="45" t="s">
        <v>62</v>
      </c>
      <c r="N108" s="45" t="s">
        <v>62</v>
      </c>
      <c r="O108" s="51" t="s">
        <v>62</v>
      </c>
      <c r="P108" s="101" t="str">
        <f>IF(A108='Table 1.1 complete'!A108,"","sort code!")</f>
        <v/>
      </c>
    </row>
    <row r="109" spans="1:16" x14ac:dyDescent="0.25">
      <c r="A109" s="172" t="s">
        <v>18</v>
      </c>
      <c r="B109" s="203">
        <v>51</v>
      </c>
      <c r="C109" s="176" t="s">
        <v>423</v>
      </c>
      <c r="D109" s="135">
        <v>17</v>
      </c>
      <c r="E109" s="45" t="s">
        <v>62</v>
      </c>
      <c r="F109" s="45" t="s">
        <v>62</v>
      </c>
      <c r="G109" s="45" t="s">
        <v>62</v>
      </c>
      <c r="H109" s="45" t="s">
        <v>62</v>
      </c>
      <c r="I109" s="45">
        <v>1.95</v>
      </c>
      <c r="J109" s="45" t="s">
        <v>62</v>
      </c>
      <c r="K109" s="45">
        <v>0.32</v>
      </c>
      <c r="L109" s="45" t="s">
        <v>62</v>
      </c>
      <c r="M109" s="45" t="s">
        <v>62</v>
      </c>
      <c r="N109" s="45" t="s">
        <v>62</v>
      </c>
      <c r="O109" s="51" t="s">
        <v>62</v>
      </c>
      <c r="P109" s="101" t="str">
        <f>IF(A109='Table 1.1 complete'!A109,"","sort code!")</f>
        <v/>
      </c>
    </row>
    <row r="110" spans="1:16" x14ac:dyDescent="0.25">
      <c r="A110" s="174" t="s">
        <v>159</v>
      </c>
      <c r="B110" s="205">
        <v>131</v>
      </c>
      <c r="C110" s="176" t="s">
        <v>423</v>
      </c>
      <c r="D110" s="135">
        <v>17</v>
      </c>
      <c r="E110" s="45">
        <v>0.54</v>
      </c>
      <c r="F110" s="45" t="s">
        <v>62</v>
      </c>
      <c r="G110" s="45" t="s">
        <v>62</v>
      </c>
      <c r="H110" s="45" t="s">
        <v>62</v>
      </c>
      <c r="I110" s="45" t="s">
        <v>62</v>
      </c>
      <c r="J110" s="45">
        <v>1.75</v>
      </c>
      <c r="K110" s="45" t="s">
        <v>62</v>
      </c>
      <c r="L110" s="45" t="s">
        <v>62</v>
      </c>
      <c r="M110" s="45" t="s">
        <v>62</v>
      </c>
      <c r="N110" s="45" t="s">
        <v>62</v>
      </c>
      <c r="O110" s="51" t="s">
        <v>62</v>
      </c>
      <c r="P110" s="101" t="str">
        <f>IF(A110='Table 1.1 complete'!A110,"","sort code!")</f>
        <v/>
      </c>
    </row>
    <row r="111" spans="1:16" x14ac:dyDescent="0.25">
      <c r="A111" s="174" t="s">
        <v>123</v>
      </c>
      <c r="B111" s="205">
        <v>97</v>
      </c>
      <c r="C111" s="176" t="s">
        <v>423</v>
      </c>
      <c r="D111" s="135">
        <v>17</v>
      </c>
      <c r="E111" s="45">
        <v>29.9</v>
      </c>
      <c r="F111" s="45" t="s">
        <v>62</v>
      </c>
      <c r="G111" s="45" t="s">
        <v>62</v>
      </c>
      <c r="H111" s="45" t="s">
        <v>62</v>
      </c>
      <c r="I111" s="45">
        <v>2.0699999999999998</v>
      </c>
      <c r="J111" s="45">
        <v>62.86</v>
      </c>
      <c r="K111" s="45" t="s">
        <v>62</v>
      </c>
      <c r="L111" s="45" t="s">
        <v>62</v>
      </c>
      <c r="M111" s="45" t="s">
        <v>62</v>
      </c>
      <c r="N111" s="45" t="s">
        <v>62</v>
      </c>
      <c r="O111" s="51" t="s">
        <v>62</v>
      </c>
      <c r="P111" s="101" t="str">
        <f>IF(A111='Table 1.1 complete'!A111,"","sort code!")</f>
        <v/>
      </c>
    </row>
    <row r="112" spans="1:16" x14ac:dyDescent="0.25">
      <c r="A112" s="174" t="s">
        <v>124</v>
      </c>
      <c r="B112" s="205">
        <v>98</v>
      </c>
      <c r="C112" s="176" t="s">
        <v>423</v>
      </c>
      <c r="D112" s="135">
        <v>17</v>
      </c>
      <c r="E112" s="45" t="s">
        <v>62</v>
      </c>
      <c r="F112" s="45">
        <v>3.68</v>
      </c>
      <c r="G112" s="45" t="s">
        <v>62</v>
      </c>
      <c r="H112" s="45" t="s">
        <v>62</v>
      </c>
      <c r="I112" s="45">
        <v>0.15</v>
      </c>
      <c r="J112" s="45" t="s">
        <v>62</v>
      </c>
      <c r="K112" s="45" t="s">
        <v>62</v>
      </c>
      <c r="L112" s="45" t="s">
        <v>62</v>
      </c>
      <c r="M112" s="45" t="s">
        <v>62</v>
      </c>
      <c r="N112" s="45" t="s">
        <v>62</v>
      </c>
      <c r="O112" s="51" t="s">
        <v>62</v>
      </c>
      <c r="P112" s="101" t="str">
        <f>IF(A112='Table 1.1 complete'!A112,"","sort code!")</f>
        <v/>
      </c>
    </row>
    <row r="113" spans="1:16" x14ac:dyDescent="0.25">
      <c r="A113" s="172" t="s">
        <v>21</v>
      </c>
      <c r="B113" s="203">
        <v>54</v>
      </c>
      <c r="C113" s="176" t="s">
        <v>423</v>
      </c>
      <c r="D113" s="135">
        <v>17</v>
      </c>
      <c r="E113" s="45" t="s">
        <v>62</v>
      </c>
      <c r="F113" s="45" t="s">
        <v>62</v>
      </c>
      <c r="G113" s="45" t="s">
        <v>62</v>
      </c>
      <c r="H113" s="45" t="s">
        <v>62</v>
      </c>
      <c r="I113" s="45">
        <v>0</v>
      </c>
      <c r="J113" s="45">
        <v>0.01</v>
      </c>
      <c r="K113" s="45" t="s">
        <v>62</v>
      </c>
      <c r="L113" s="45" t="s">
        <v>62</v>
      </c>
      <c r="M113" s="45" t="s">
        <v>62</v>
      </c>
      <c r="N113" s="45" t="s">
        <v>62</v>
      </c>
      <c r="O113" s="51" t="s">
        <v>62</v>
      </c>
      <c r="P113" s="101" t="str">
        <f>IF(A113='Table 1.1 complete'!A113,"","sort code!")</f>
        <v/>
      </c>
    </row>
    <row r="114" spans="1:16" s="1" customFormat="1" x14ac:dyDescent="0.25">
      <c r="A114" s="174" t="s">
        <v>125</v>
      </c>
      <c r="B114" s="205">
        <v>99</v>
      </c>
      <c r="C114" s="176" t="s">
        <v>423</v>
      </c>
      <c r="D114" s="135">
        <v>17</v>
      </c>
      <c r="E114" s="45" t="s">
        <v>62</v>
      </c>
      <c r="F114" s="45" t="s">
        <v>62</v>
      </c>
      <c r="G114" s="45" t="s">
        <v>62</v>
      </c>
      <c r="H114" s="45" t="s">
        <v>62</v>
      </c>
      <c r="I114" s="45">
        <v>0.28999999999999998</v>
      </c>
      <c r="J114" s="45">
        <v>2.7</v>
      </c>
      <c r="K114" s="45" t="s">
        <v>62</v>
      </c>
      <c r="L114" s="45" t="s">
        <v>62</v>
      </c>
      <c r="M114" s="45" t="s">
        <v>62</v>
      </c>
      <c r="N114" s="45" t="s">
        <v>62</v>
      </c>
      <c r="O114" s="51" t="s">
        <v>62</v>
      </c>
      <c r="P114" s="101" t="str">
        <f>IF(A114='Table 1.1 complete'!A114,"","sort code!")</f>
        <v/>
      </c>
    </row>
    <row r="115" spans="1:16" x14ac:dyDescent="0.25">
      <c r="A115" s="173" t="s">
        <v>107</v>
      </c>
      <c r="B115" s="204">
        <v>81</v>
      </c>
      <c r="C115" s="176" t="s">
        <v>423</v>
      </c>
      <c r="D115" s="135">
        <v>17</v>
      </c>
      <c r="E115" s="45" t="s">
        <v>62</v>
      </c>
      <c r="F115" s="45" t="s">
        <v>62</v>
      </c>
      <c r="G115" s="45" t="s">
        <v>62</v>
      </c>
      <c r="H115" s="45" t="s">
        <v>62</v>
      </c>
      <c r="I115" s="45">
        <v>1.29</v>
      </c>
      <c r="J115" s="45" t="s">
        <v>62</v>
      </c>
      <c r="K115" s="45" t="s">
        <v>62</v>
      </c>
      <c r="L115" s="45" t="s">
        <v>62</v>
      </c>
      <c r="M115" s="45" t="s">
        <v>62</v>
      </c>
      <c r="N115" s="45" t="s">
        <v>62</v>
      </c>
      <c r="O115" s="51" t="s">
        <v>62</v>
      </c>
      <c r="P115" s="101" t="str">
        <f>IF(A115='Table 1.1 complete'!A115,"","sort code!")</f>
        <v/>
      </c>
    </row>
    <row r="116" spans="1:16" s="1" customFormat="1" x14ac:dyDescent="0.25">
      <c r="A116" s="172" t="s">
        <v>22</v>
      </c>
      <c r="B116" s="203">
        <v>55</v>
      </c>
      <c r="C116" s="176" t="s">
        <v>423</v>
      </c>
      <c r="D116" s="135">
        <v>17</v>
      </c>
      <c r="E116" s="45">
        <v>0.12</v>
      </c>
      <c r="F116" s="45" t="s">
        <v>62</v>
      </c>
      <c r="G116" s="45" t="s">
        <v>62</v>
      </c>
      <c r="H116" s="45" t="s">
        <v>62</v>
      </c>
      <c r="I116" s="45">
        <v>0.01</v>
      </c>
      <c r="J116" s="45" t="s">
        <v>62</v>
      </c>
      <c r="K116" s="45" t="s">
        <v>62</v>
      </c>
      <c r="L116" s="45" t="s">
        <v>62</v>
      </c>
      <c r="M116" s="45" t="s">
        <v>62</v>
      </c>
      <c r="N116" s="45" t="s">
        <v>62</v>
      </c>
      <c r="O116" s="51" t="s">
        <v>62</v>
      </c>
      <c r="P116" s="101" t="str">
        <f>IF(A116='Table 1.1 complete'!A116,"","sort code!")</f>
        <v/>
      </c>
    </row>
    <row r="117" spans="1:16" s="1" customFormat="1" x14ac:dyDescent="0.25">
      <c r="A117" s="174" t="s">
        <v>126</v>
      </c>
      <c r="B117" s="205">
        <v>100</v>
      </c>
      <c r="C117" s="176" t="s">
        <v>423</v>
      </c>
      <c r="D117" s="135">
        <v>17</v>
      </c>
      <c r="E117" s="45" t="s">
        <v>62</v>
      </c>
      <c r="F117" s="45" t="s">
        <v>62</v>
      </c>
      <c r="G117" s="45" t="s">
        <v>62</v>
      </c>
      <c r="H117" s="45" t="s">
        <v>62</v>
      </c>
      <c r="I117" s="45">
        <v>0.01</v>
      </c>
      <c r="J117" s="45" t="s">
        <v>62</v>
      </c>
      <c r="K117" s="45" t="s">
        <v>62</v>
      </c>
      <c r="L117" s="45" t="s">
        <v>62</v>
      </c>
      <c r="M117" s="45" t="s">
        <v>62</v>
      </c>
      <c r="N117" s="45" t="s">
        <v>62</v>
      </c>
      <c r="O117" s="51" t="s">
        <v>62</v>
      </c>
      <c r="P117" s="101" t="str">
        <f>IF(A117='Table 1.1 complete'!A117,"","sort code!")</f>
        <v/>
      </c>
    </row>
    <row r="118" spans="1:16" s="1" customFormat="1" x14ac:dyDescent="0.25">
      <c r="A118" s="173" t="s">
        <v>108</v>
      </c>
      <c r="B118" s="204">
        <v>82</v>
      </c>
      <c r="C118" s="176" t="s">
        <v>423</v>
      </c>
      <c r="D118" s="135">
        <v>17</v>
      </c>
      <c r="E118" s="45" t="s">
        <v>62</v>
      </c>
      <c r="F118" s="45" t="s">
        <v>62</v>
      </c>
      <c r="G118" s="45" t="s">
        <v>62</v>
      </c>
      <c r="H118" s="45" t="s">
        <v>62</v>
      </c>
      <c r="I118" s="45">
        <v>2.2799999999999998</v>
      </c>
      <c r="J118" s="45" t="s">
        <v>62</v>
      </c>
      <c r="K118" s="45">
        <v>0.38</v>
      </c>
      <c r="L118" s="45" t="s">
        <v>62</v>
      </c>
      <c r="M118" s="45" t="s">
        <v>62</v>
      </c>
      <c r="N118" s="45" t="s">
        <v>62</v>
      </c>
      <c r="O118" s="51" t="s">
        <v>62</v>
      </c>
      <c r="P118" s="101" t="str">
        <f>IF(A118='Table 1.1 complete'!A118,"","sort code!")</f>
        <v/>
      </c>
    </row>
    <row r="119" spans="1:16" s="1" customFormat="1" x14ac:dyDescent="0.25">
      <c r="A119" s="173" t="s">
        <v>115</v>
      </c>
      <c r="B119" s="204">
        <v>89</v>
      </c>
      <c r="C119" s="176" t="s">
        <v>423</v>
      </c>
      <c r="D119" s="135">
        <v>17</v>
      </c>
      <c r="E119" s="45" t="s">
        <v>62</v>
      </c>
      <c r="F119" s="45" t="s">
        <v>62</v>
      </c>
      <c r="G119" s="45" t="s">
        <v>62</v>
      </c>
      <c r="H119" s="45" t="s">
        <v>62</v>
      </c>
      <c r="I119" s="45">
        <v>11.18</v>
      </c>
      <c r="J119" s="45">
        <v>0.01</v>
      </c>
      <c r="K119" s="45">
        <v>0.1</v>
      </c>
      <c r="L119" s="45" t="s">
        <v>62</v>
      </c>
      <c r="M119" s="45" t="s">
        <v>62</v>
      </c>
      <c r="N119" s="45" t="s">
        <v>62</v>
      </c>
      <c r="O119" s="51" t="s">
        <v>62</v>
      </c>
      <c r="P119" s="101" t="str">
        <f>IF(A119='Table 1.1 complete'!A119,"","sort code!")</f>
        <v/>
      </c>
    </row>
    <row r="120" spans="1:16" x14ac:dyDescent="0.25">
      <c r="A120" s="172" t="s">
        <v>32</v>
      </c>
      <c r="B120" s="203">
        <v>65</v>
      </c>
      <c r="C120" s="176" t="s">
        <v>423</v>
      </c>
      <c r="D120" s="135">
        <v>17</v>
      </c>
      <c r="E120" s="45">
        <v>1.89</v>
      </c>
      <c r="F120" s="45" t="s">
        <v>62</v>
      </c>
      <c r="G120" s="45" t="s">
        <v>62</v>
      </c>
      <c r="H120" s="45" t="s">
        <v>62</v>
      </c>
      <c r="I120" s="45">
        <v>6.47</v>
      </c>
      <c r="J120" s="45" t="s">
        <v>62</v>
      </c>
      <c r="K120" s="45" t="s">
        <v>62</v>
      </c>
      <c r="L120" s="45" t="s">
        <v>62</v>
      </c>
      <c r="M120" s="45" t="s">
        <v>62</v>
      </c>
      <c r="N120" s="45" t="s">
        <v>62</v>
      </c>
      <c r="O120" s="51" t="s">
        <v>62</v>
      </c>
      <c r="P120" s="101" t="str">
        <f>IF(A120='Table 1.1 complete'!A120,"","sort code!")</f>
        <v/>
      </c>
    </row>
    <row r="121" spans="1:16" s="1" customFormat="1" x14ac:dyDescent="0.25">
      <c r="A121" s="174" t="s">
        <v>134</v>
      </c>
      <c r="B121" s="205">
        <v>108</v>
      </c>
      <c r="C121" s="176" t="s">
        <v>423</v>
      </c>
      <c r="D121" s="135">
        <v>17</v>
      </c>
      <c r="E121" s="45" t="s">
        <v>62</v>
      </c>
      <c r="F121" s="45" t="s">
        <v>62</v>
      </c>
      <c r="G121" s="45" t="s">
        <v>62</v>
      </c>
      <c r="H121" s="45" t="s">
        <v>62</v>
      </c>
      <c r="I121" s="45">
        <v>8.48</v>
      </c>
      <c r="J121" s="45" t="s">
        <v>62</v>
      </c>
      <c r="K121" s="45" t="s">
        <v>62</v>
      </c>
      <c r="L121" s="45" t="s">
        <v>62</v>
      </c>
      <c r="M121" s="45" t="s">
        <v>62</v>
      </c>
      <c r="N121" s="45" t="s">
        <v>62</v>
      </c>
      <c r="O121" s="51" t="s">
        <v>62</v>
      </c>
      <c r="P121" s="101" t="str">
        <f>IF(A121='Table 1.1 complete'!A121,"","sort code!")</f>
        <v/>
      </c>
    </row>
    <row r="122" spans="1:16" s="1" customFormat="1" x14ac:dyDescent="0.25">
      <c r="A122" s="175" t="s">
        <v>127</v>
      </c>
      <c r="B122" s="206">
        <v>101</v>
      </c>
      <c r="C122" s="176" t="s">
        <v>423</v>
      </c>
      <c r="D122" s="135">
        <v>17</v>
      </c>
      <c r="E122" s="45">
        <v>0.14000000000000001</v>
      </c>
      <c r="F122" s="45" t="s">
        <v>62</v>
      </c>
      <c r="G122" s="45" t="s">
        <v>62</v>
      </c>
      <c r="H122" s="45" t="s">
        <v>62</v>
      </c>
      <c r="I122" s="45">
        <v>30.85</v>
      </c>
      <c r="J122" s="45">
        <v>32.92</v>
      </c>
      <c r="K122" s="45" t="s">
        <v>62</v>
      </c>
      <c r="L122" s="45" t="s">
        <v>62</v>
      </c>
      <c r="M122" s="45" t="s">
        <v>62</v>
      </c>
      <c r="N122" s="45" t="s">
        <v>62</v>
      </c>
      <c r="O122" s="51" t="s">
        <v>62</v>
      </c>
      <c r="P122" s="101" t="str">
        <f>IF(A122='Table 1.1 complete'!A122,"","sort code!")</f>
        <v/>
      </c>
    </row>
    <row r="123" spans="1:16" x14ac:dyDescent="0.25">
      <c r="A123" s="173" t="s">
        <v>109</v>
      </c>
      <c r="B123" s="204">
        <v>83</v>
      </c>
      <c r="C123" s="176" t="s">
        <v>423</v>
      </c>
      <c r="D123" s="135">
        <v>17</v>
      </c>
      <c r="E123" s="48" t="s">
        <v>62</v>
      </c>
      <c r="F123" s="48" t="s">
        <v>62</v>
      </c>
      <c r="G123" s="48" t="s">
        <v>62</v>
      </c>
      <c r="H123" s="48" t="s">
        <v>62</v>
      </c>
      <c r="I123" s="48">
        <v>2.79</v>
      </c>
      <c r="J123" s="48" t="s">
        <v>62</v>
      </c>
      <c r="K123" s="48">
        <v>0.02</v>
      </c>
      <c r="L123" s="48" t="s">
        <v>62</v>
      </c>
      <c r="M123" s="48" t="s">
        <v>62</v>
      </c>
      <c r="N123" s="48" t="s">
        <v>62</v>
      </c>
      <c r="O123" s="51" t="s">
        <v>62</v>
      </c>
      <c r="P123" s="101" t="str">
        <f>IF(A123='Table 1.1 complete'!A123,"","sort code!")</f>
        <v/>
      </c>
    </row>
    <row r="124" spans="1:16" x14ac:dyDescent="0.25">
      <c r="A124" s="173" t="s">
        <v>110</v>
      </c>
      <c r="B124" s="204">
        <v>84</v>
      </c>
      <c r="C124" s="176" t="s">
        <v>423</v>
      </c>
      <c r="D124" s="135">
        <v>17</v>
      </c>
      <c r="E124" s="45" t="s">
        <v>62</v>
      </c>
      <c r="F124" s="45" t="s">
        <v>62</v>
      </c>
      <c r="G124" s="45" t="s">
        <v>62</v>
      </c>
      <c r="H124" s="45" t="s">
        <v>62</v>
      </c>
      <c r="I124" s="45" t="s">
        <v>62</v>
      </c>
      <c r="J124" s="45" t="s">
        <v>62</v>
      </c>
      <c r="K124" s="45" t="s">
        <v>62</v>
      </c>
      <c r="L124" s="45" t="s">
        <v>62</v>
      </c>
      <c r="M124" s="45" t="s">
        <v>62</v>
      </c>
      <c r="N124" s="45" t="s">
        <v>62</v>
      </c>
      <c r="O124" s="51" t="s">
        <v>62</v>
      </c>
      <c r="P124" s="101" t="str">
        <f>IF(A124='Table 1.1 complete'!A124,"","sort code!")</f>
        <v/>
      </c>
    </row>
    <row r="125" spans="1:16" s="1" customFormat="1" x14ac:dyDescent="0.25">
      <c r="A125" s="173" t="s">
        <v>111</v>
      </c>
      <c r="B125" s="204">
        <v>85</v>
      </c>
      <c r="C125" s="176" t="s">
        <v>423</v>
      </c>
      <c r="D125" s="135">
        <v>17</v>
      </c>
      <c r="E125" s="45">
        <v>0.85</v>
      </c>
      <c r="F125" s="45" t="s">
        <v>62</v>
      </c>
      <c r="G125" s="45" t="s">
        <v>62</v>
      </c>
      <c r="H125" s="45" t="s">
        <v>62</v>
      </c>
      <c r="I125" s="45">
        <v>1.8</v>
      </c>
      <c r="J125" s="45">
        <v>7.29</v>
      </c>
      <c r="K125" s="45">
        <v>0.45</v>
      </c>
      <c r="L125" s="45" t="s">
        <v>62</v>
      </c>
      <c r="M125" s="45" t="s">
        <v>62</v>
      </c>
      <c r="N125" s="45" t="s">
        <v>62</v>
      </c>
      <c r="O125" s="51" t="s">
        <v>62</v>
      </c>
      <c r="P125" s="101" t="str">
        <f>IF(A125='Table 1.1 complete'!A125,"","sort code!")</f>
        <v/>
      </c>
    </row>
    <row r="126" spans="1:16" x14ac:dyDescent="0.25">
      <c r="A126" s="174" t="s">
        <v>128</v>
      </c>
      <c r="B126" s="205">
        <v>102</v>
      </c>
      <c r="C126" s="176" t="s">
        <v>423</v>
      </c>
      <c r="D126" s="135">
        <v>17</v>
      </c>
      <c r="E126" s="45">
        <v>16.84</v>
      </c>
      <c r="F126" s="45" t="s">
        <v>62</v>
      </c>
      <c r="G126" s="45" t="s">
        <v>62</v>
      </c>
      <c r="H126" s="45" t="s">
        <v>62</v>
      </c>
      <c r="I126" s="45">
        <v>4.5</v>
      </c>
      <c r="J126" s="45">
        <v>19.440000000000001</v>
      </c>
      <c r="K126" s="45" t="s">
        <v>62</v>
      </c>
      <c r="L126" s="45" t="s">
        <v>62</v>
      </c>
      <c r="M126" s="45" t="s">
        <v>62</v>
      </c>
      <c r="N126" s="45" t="s">
        <v>62</v>
      </c>
      <c r="O126" s="51" t="s">
        <v>62</v>
      </c>
      <c r="P126" s="101" t="str">
        <f>IF(A126='Table 1.1 complete'!A126,"","sort code!")</f>
        <v/>
      </c>
    </row>
    <row r="127" spans="1:16" x14ac:dyDescent="0.25">
      <c r="A127" s="176" t="s">
        <v>162</v>
      </c>
      <c r="B127" s="207">
        <v>134</v>
      </c>
      <c r="C127" s="176" t="s">
        <v>423</v>
      </c>
      <c r="D127" s="135">
        <v>17</v>
      </c>
      <c r="E127" s="45" t="s">
        <v>62</v>
      </c>
      <c r="F127" s="45" t="s">
        <v>62</v>
      </c>
      <c r="G127" s="45" t="s">
        <v>62</v>
      </c>
      <c r="H127" s="45" t="s">
        <v>62</v>
      </c>
      <c r="I127" s="45">
        <v>0.04</v>
      </c>
      <c r="J127" s="45">
        <v>3.78</v>
      </c>
      <c r="K127" s="45" t="s">
        <v>62</v>
      </c>
      <c r="L127" s="45" t="s">
        <v>62</v>
      </c>
      <c r="M127" s="45" t="s">
        <v>62</v>
      </c>
      <c r="N127" s="45" t="s">
        <v>62</v>
      </c>
      <c r="O127" s="51" t="s">
        <v>62</v>
      </c>
      <c r="P127" s="101" t="str">
        <f>IF(A127='Table 1.1 complete'!A127,"","sort code!")</f>
        <v/>
      </c>
    </row>
    <row r="128" spans="1:16" x14ac:dyDescent="0.25">
      <c r="A128" s="172" t="s">
        <v>24</v>
      </c>
      <c r="B128" s="203">
        <v>57</v>
      </c>
      <c r="C128" s="176" t="s">
        <v>423</v>
      </c>
      <c r="D128" s="135">
        <v>17</v>
      </c>
      <c r="E128" s="45" t="s">
        <v>62</v>
      </c>
      <c r="F128" s="45" t="s">
        <v>62</v>
      </c>
      <c r="G128" s="45" t="s">
        <v>62</v>
      </c>
      <c r="H128" s="45" t="s">
        <v>62</v>
      </c>
      <c r="I128" s="45">
        <v>1.68</v>
      </c>
      <c r="J128" s="45">
        <v>0.04</v>
      </c>
      <c r="K128" s="45">
        <v>0.05</v>
      </c>
      <c r="L128" s="45" t="s">
        <v>62</v>
      </c>
      <c r="M128" s="45" t="s">
        <v>62</v>
      </c>
      <c r="N128" s="45" t="s">
        <v>62</v>
      </c>
      <c r="O128" s="51" t="s">
        <v>62</v>
      </c>
      <c r="P128" s="101" t="str">
        <f>IF(A128='Table 1.1 complete'!A128,"","sort code!")</f>
        <v/>
      </c>
    </row>
    <row r="129" spans="1:16" s="1" customFormat="1" x14ac:dyDescent="0.25">
      <c r="A129" s="176" t="s">
        <v>150</v>
      </c>
      <c r="B129" s="207">
        <v>122</v>
      </c>
      <c r="C129" s="176" t="s">
        <v>423</v>
      </c>
      <c r="D129" s="135">
        <v>17</v>
      </c>
      <c r="E129" s="45">
        <v>0</v>
      </c>
      <c r="F129" s="45">
        <v>25.58</v>
      </c>
      <c r="G129" s="45" t="s">
        <v>62</v>
      </c>
      <c r="H129" s="45">
        <v>0.06</v>
      </c>
      <c r="I129" s="45">
        <v>0.46</v>
      </c>
      <c r="J129" s="45">
        <v>0.39</v>
      </c>
      <c r="K129" s="45" t="s">
        <v>62</v>
      </c>
      <c r="L129" s="45" t="s">
        <v>62</v>
      </c>
      <c r="M129" s="45" t="s">
        <v>62</v>
      </c>
      <c r="N129" s="45" t="s">
        <v>62</v>
      </c>
      <c r="O129" s="51" t="s">
        <v>62</v>
      </c>
      <c r="P129" s="101" t="str">
        <f>IF(A129='Table 1.1 complete'!A129,"","sort code!")</f>
        <v/>
      </c>
    </row>
    <row r="130" spans="1:16" x14ac:dyDescent="0.25">
      <c r="A130" s="174" t="s">
        <v>129</v>
      </c>
      <c r="B130" s="205">
        <v>103</v>
      </c>
      <c r="C130" s="176" t="s">
        <v>423</v>
      </c>
      <c r="D130" s="135">
        <v>17</v>
      </c>
      <c r="E130" s="45" t="s">
        <v>62</v>
      </c>
      <c r="F130" s="45" t="s">
        <v>62</v>
      </c>
      <c r="G130" s="45" t="s">
        <v>62</v>
      </c>
      <c r="H130" s="45" t="s">
        <v>62</v>
      </c>
      <c r="I130" s="45">
        <v>8.76</v>
      </c>
      <c r="J130" s="45">
        <v>32.369999999999997</v>
      </c>
      <c r="K130" s="45" t="s">
        <v>62</v>
      </c>
      <c r="L130" s="45" t="s">
        <v>62</v>
      </c>
      <c r="M130" s="45" t="s">
        <v>62</v>
      </c>
      <c r="N130" s="45" t="s">
        <v>62</v>
      </c>
      <c r="O130" s="51" t="s">
        <v>62</v>
      </c>
      <c r="P130" s="101" t="str">
        <f>IF(A130='Table 1.1 complete'!A130,"","sort code!")</f>
        <v/>
      </c>
    </row>
    <row r="131" spans="1:16" x14ac:dyDescent="0.25">
      <c r="A131" s="174" t="s">
        <v>130</v>
      </c>
      <c r="B131" s="205">
        <v>104</v>
      </c>
      <c r="C131" s="176" t="s">
        <v>423</v>
      </c>
      <c r="D131" s="135">
        <v>17</v>
      </c>
      <c r="E131" s="45" t="s">
        <v>62</v>
      </c>
      <c r="F131" s="45" t="s">
        <v>62</v>
      </c>
      <c r="G131" s="45" t="s">
        <v>62</v>
      </c>
      <c r="H131" s="45" t="s">
        <v>62</v>
      </c>
      <c r="I131" s="45">
        <v>5.94</v>
      </c>
      <c r="J131" s="45" t="s">
        <v>62</v>
      </c>
      <c r="K131" s="45">
        <v>0</v>
      </c>
      <c r="L131" s="45" t="s">
        <v>62</v>
      </c>
      <c r="M131" s="45" t="s">
        <v>62</v>
      </c>
      <c r="N131" s="45" t="s">
        <v>62</v>
      </c>
      <c r="O131" s="51" t="s">
        <v>62</v>
      </c>
      <c r="P131" s="101" t="str">
        <f>IF(A131='Table 1.1 complete'!A131,"","sort code!")</f>
        <v/>
      </c>
    </row>
    <row r="132" spans="1:16" x14ac:dyDescent="0.25">
      <c r="A132" s="172" t="s">
        <v>26</v>
      </c>
      <c r="B132" s="203">
        <v>59</v>
      </c>
      <c r="C132" s="176" t="s">
        <v>423</v>
      </c>
      <c r="D132" s="135">
        <v>17</v>
      </c>
      <c r="E132" s="45" t="s">
        <v>62</v>
      </c>
      <c r="F132" s="45" t="s">
        <v>62</v>
      </c>
      <c r="G132" s="45" t="s">
        <v>62</v>
      </c>
      <c r="H132" s="45" t="s">
        <v>62</v>
      </c>
      <c r="I132" s="45">
        <v>3.09</v>
      </c>
      <c r="J132" s="45" t="s">
        <v>62</v>
      </c>
      <c r="K132" s="45" t="s">
        <v>62</v>
      </c>
      <c r="L132" s="45" t="s">
        <v>62</v>
      </c>
      <c r="M132" s="45" t="s">
        <v>62</v>
      </c>
      <c r="N132" s="45" t="s">
        <v>62</v>
      </c>
      <c r="O132" s="51" t="s">
        <v>62</v>
      </c>
      <c r="P132" s="101" t="str">
        <f>IF(A132='Table 1.1 complete'!A132,"","sort code!")</f>
        <v/>
      </c>
    </row>
    <row r="133" spans="1:16" x14ac:dyDescent="0.25">
      <c r="A133" s="174" t="s">
        <v>164</v>
      </c>
      <c r="B133" s="205">
        <v>136</v>
      </c>
      <c r="C133" s="176" t="s">
        <v>423</v>
      </c>
      <c r="D133" s="135">
        <v>17</v>
      </c>
      <c r="E133" s="45" t="s">
        <v>62</v>
      </c>
      <c r="F133" s="45" t="s">
        <v>62</v>
      </c>
      <c r="G133" s="45" t="s">
        <v>62</v>
      </c>
      <c r="H133" s="45" t="s">
        <v>62</v>
      </c>
      <c r="I133" s="45" t="s">
        <v>62</v>
      </c>
      <c r="J133" s="45">
        <v>0.38</v>
      </c>
      <c r="K133" s="45" t="s">
        <v>62</v>
      </c>
      <c r="L133" s="45" t="s">
        <v>62</v>
      </c>
      <c r="M133" s="45" t="s">
        <v>62</v>
      </c>
      <c r="N133" s="45" t="s">
        <v>62</v>
      </c>
      <c r="O133" s="51" t="s">
        <v>62</v>
      </c>
      <c r="P133" s="101" t="str">
        <f>IF(A133='Table 1.1 complete'!A133,"","sort code!")</f>
        <v/>
      </c>
    </row>
    <row r="134" spans="1:16" x14ac:dyDescent="0.25">
      <c r="A134" s="174" t="s">
        <v>132</v>
      </c>
      <c r="B134" s="205">
        <v>106</v>
      </c>
      <c r="C134" s="176" t="s">
        <v>423</v>
      </c>
      <c r="D134" s="135">
        <v>17</v>
      </c>
      <c r="E134" s="45">
        <v>12.38</v>
      </c>
      <c r="F134" s="45">
        <v>18.3</v>
      </c>
      <c r="G134" s="45" t="s">
        <v>62</v>
      </c>
      <c r="H134" s="45" t="s">
        <v>62</v>
      </c>
      <c r="I134" s="45">
        <v>3.85</v>
      </c>
      <c r="J134" s="45">
        <v>96.54</v>
      </c>
      <c r="K134" s="45">
        <v>4.18</v>
      </c>
      <c r="L134" s="45" t="s">
        <v>62</v>
      </c>
      <c r="M134" s="45" t="s">
        <v>62</v>
      </c>
      <c r="N134" s="45">
        <v>0.01</v>
      </c>
      <c r="O134" s="51" t="s">
        <v>62</v>
      </c>
      <c r="P134" s="101" t="str">
        <f>IF(A134='Table 1.1 complete'!A134,"","sort code!")</f>
        <v/>
      </c>
    </row>
    <row r="135" spans="1:16" s="1" customFormat="1" x14ac:dyDescent="0.25">
      <c r="A135" s="172" t="s">
        <v>28</v>
      </c>
      <c r="B135" s="203">
        <v>61</v>
      </c>
      <c r="C135" s="176" t="s">
        <v>423</v>
      </c>
      <c r="D135" s="135">
        <v>17</v>
      </c>
      <c r="E135" s="45" t="s">
        <v>62</v>
      </c>
      <c r="F135" s="45" t="s">
        <v>62</v>
      </c>
      <c r="G135" s="45" t="s">
        <v>62</v>
      </c>
      <c r="H135" s="45" t="s">
        <v>62</v>
      </c>
      <c r="I135" s="45">
        <v>0.09</v>
      </c>
      <c r="J135" s="45" t="s">
        <v>62</v>
      </c>
      <c r="K135" s="45">
        <v>0.01</v>
      </c>
      <c r="L135" s="45" t="s">
        <v>62</v>
      </c>
      <c r="M135" s="45" t="s">
        <v>62</v>
      </c>
      <c r="N135" s="45" t="s">
        <v>62</v>
      </c>
      <c r="O135" s="51" t="s">
        <v>62</v>
      </c>
      <c r="P135" s="101" t="str">
        <f>IF(A135='Table 1.1 complete'!A135,"","sort code!")</f>
        <v/>
      </c>
    </row>
    <row r="136" spans="1:16" x14ac:dyDescent="0.25">
      <c r="A136" s="173" t="s">
        <v>112</v>
      </c>
      <c r="B136" s="204">
        <v>86</v>
      </c>
      <c r="C136" s="176" t="s">
        <v>423</v>
      </c>
      <c r="D136" s="135">
        <v>17</v>
      </c>
      <c r="E136" s="45" t="s">
        <v>62</v>
      </c>
      <c r="F136" s="45" t="s">
        <v>62</v>
      </c>
      <c r="G136" s="45" t="s">
        <v>62</v>
      </c>
      <c r="H136" s="45" t="s">
        <v>62</v>
      </c>
      <c r="I136" s="45">
        <v>0.02</v>
      </c>
      <c r="J136" s="45">
        <v>7.63</v>
      </c>
      <c r="K136" s="45">
        <v>0.01</v>
      </c>
      <c r="L136" s="45" t="s">
        <v>62</v>
      </c>
      <c r="M136" s="45" t="s">
        <v>62</v>
      </c>
      <c r="N136" s="45" t="s">
        <v>62</v>
      </c>
      <c r="O136" s="51" t="s">
        <v>62</v>
      </c>
      <c r="P136" s="101" t="str">
        <f>IF(A136='Table 1.1 complete'!A136,"","sort code!")</f>
        <v/>
      </c>
    </row>
    <row r="137" spans="1:16" x14ac:dyDescent="0.25">
      <c r="A137" s="176" t="s">
        <v>90</v>
      </c>
      <c r="B137" s="207">
        <v>31</v>
      </c>
      <c r="C137" s="176" t="s">
        <v>423</v>
      </c>
      <c r="D137" s="135">
        <v>17</v>
      </c>
      <c r="E137" s="45">
        <v>14.04</v>
      </c>
      <c r="F137" s="45">
        <v>38.29</v>
      </c>
      <c r="G137" s="45" t="s">
        <v>62</v>
      </c>
      <c r="H137" s="45">
        <v>1.1000000000000001</v>
      </c>
      <c r="I137" s="45">
        <v>6.53</v>
      </c>
      <c r="J137" s="45">
        <v>95.03</v>
      </c>
      <c r="K137" s="45">
        <v>0.03</v>
      </c>
      <c r="L137" s="45">
        <v>0.12</v>
      </c>
      <c r="M137" s="45" t="s">
        <v>62</v>
      </c>
      <c r="N137" s="45">
        <v>7.0000000000000007E-2</v>
      </c>
      <c r="O137" s="51" t="s">
        <v>62</v>
      </c>
      <c r="P137" s="101" t="str">
        <f>IF(A137='Table 1.1 complete'!A137,"","sort code!")</f>
        <v/>
      </c>
    </row>
    <row r="138" spans="1:16" x14ac:dyDescent="0.25">
      <c r="A138" s="174" t="s">
        <v>165</v>
      </c>
      <c r="B138" s="205">
        <v>137</v>
      </c>
      <c r="C138" s="176" t="s">
        <v>423</v>
      </c>
      <c r="D138" s="135">
        <v>17</v>
      </c>
      <c r="E138" s="45" t="s">
        <v>62</v>
      </c>
      <c r="F138" s="45" t="s">
        <v>62</v>
      </c>
      <c r="G138" s="45" t="s">
        <v>62</v>
      </c>
      <c r="H138" s="45" t="s">
        <v>62</v>
      </c>
      <c r="I138" s="45" t="s">
        <v>62</v>
      </c>
      <c r="J138" s="45">
        <v>14.88</v>
      </c>
      <c r="K138" s="45" t="s">
        <v>62</v>
      </c>
      <c r="L138" s="45" t="s">
        <v>62</v>
      </c>
      <c r="M138" s="45" t="s">
        <v>62</v>
      </c>
      <c r="N138" s="45" t="s">
        <v>62</v>
      </c>
      <c r="O138" s="51" t="s">
        <v>62</v>
      </c>
      <c r="P138" s="101" t="str">
        <f>IF(A138='Table 1.1 complete'!A138,"","sort code!")</f>
        <v/>
      </c>
    </row>
    <row r="139" spans="1:16" x14ac:dyDescent="0.25">
      <c r="A139" s="176" t="s">
        <v>166</v>
      </c>
      <c r="B139" s="207">
        <v>138</v>
      </c>
      <c r="C139" s="176" t="s">
        <v>423</v>
      </c>
      <c r="D139" s="135">
        <v>17</v>
      </c>
      <c r="E139" s="45">
        <v>63.47</v>
      </c>
      <c r="F139" s="45">
        <v>0.24</v>
      </c>
      <c r="G139" s="45" t="s">
        <v>62</v>
      </c>
      <c r="H139" s="45">
        <v>3.39</v>
      </c>
      <c r="I139" s="45">
        <v>0.76</v>
      </c>
      <c r="J139" s="45">
        <v>25.55</v>
      </c>
      <c r="K139" s="45" t="s">
        <v>62</v>
      </c>
      <c r="L139" s="45" t="s">
        <v>62</v>
      </c>
      <c r="M139" s="45" t="s">
        <v>62</v>
      </c>
      <c r="N139" s="45" t="s">
        <v>62</v>
      </c>
      <c r="O139" s="51" t="s">
        <v>62</v>
      </c>
      <c r="P139" s="101" t="str">
        <f>IF(A139='Table 1.1 complete'!A139,"","sort code!")</f>
        <v/>
      </c>
    </row>
    <row r="140" spans="1:16" x14ac:dyDescent="0.25">
      <c r="A140" s="172" t="s">
        <v>27</v>
      </c>
      <c r="B140" s="203">
        <v>60</v>
      </c>
      <c r="C140" s="176" t="s">
        <v>423</v>
      </c>
      <c r="D140" s="135">
        <v>17</v>
      </c>
      <c r="E140" s="45">
        <v>0.11</v>
      </c>
      <c r="F140" s="45" t="s">
        <v>62</v>
      </c>
      <c r="G140" s="45" t="s">
        <v>62</v>
      </c>
      <c r="H140" s="45" t="s">
        <v>62</v>
      </c>
      <c r="I140" s="45">
        <v>0.04</v>
      </c>
      <c r="J140" s="45">
        <v>1.51</v>
      </c>
      <c r="K140" s="45" t="s">
        <v>62</v>
      </c>
      <c r="L140" s="45" t="s">
        <v>62</v>
      </c>
      <c r="M140" s="45" t="s">
        <v>62</v>
      </c>
      <c r="N140" s="45" t="s">
        <v>62</v>
      </c>
      <c r="O140" s="51" t="s">
        <v>62</v>
      </c>
      <c r="P140" s="101" t="str">
        <f>IF(A140='Table 1.1 complete'!A140,"","sort code!")</f>
        <v/>
      </c>
    </row>
    <row r="141" spans="1:16" x14ac:dyDescent="0.25">
      <c r="A141" s="173" t="s">
        <v>113</v>
      </c>
      <c r="B141" s="204">
        <v>87</v>
      </c>
      <c r="C141" s="176" t="s">
        <v>423</v>
      </c>
      <c r="D141" s="135">
        <v>17</v>
      </c>
      <c r="E141" s="45" t="s">
        <v>62</v>
      </c>
      <c r="F141" s="45" t="s">
        <v>62</v>
      </c>
      <c r="G141" s="45" t="s">
        <v>62</v>
      </c>
      <c r="H141" s="45" t="s">
        <v>62</v>
      </c>
      <c r="I141" s="45">
        <v>1.22</v>
      </c>
      <c r="J141" s="45">
        <v>0</v>
      </c>
      <c r="K141" s="45">
        <v>0.13</v>
      </c>
      <c r="L141" s="45" t="s">
        <v>62</v>
      </c>
      <c r="M141" s="45" t="s">
        <v>62</v>
      </c>
      <c r="N141" s="45" t="s">
        <v>62</v>
      </c>
      <c r="O141" s="51" t="s">
        <v>62</v>
      </c>
      <c r="P141" s="101" t="str">
        <f>IF(A141='Table 1.1 complete'!A141,"","sort code!")</f>
        <v/>
      </c>
    </row>
    <row r="142" spans="1:16" x14ac:dyDescent="0.25">
      <c r="A142" s="174" t="s">
        <v>167</v>
      </c>
      <c r="B142" s="205">
        <v>139</v>
      </c>
      <c r="C142" s="176" t="s">
        <v>423</v>
      </c>
      <c r="D142" s="135">
        <v>17</v>
      </c>
      <c r="E142" s="45" t="s">
        <v>62</v>
      </c>
      <c r="F142" s="45">
        <v>2.44</v>
      </c>
      <c r="G142" s="45" t="s">
        <v>62</v>
      </c>
      <c r="H142" s="45" t="s">
        <v>62</v>
      </c>
      <c r="I142" s="45">
        <v>5.53</v>
      </c>
      <c r="J142" s="45">
        <v>34.58</v>
      </c>
      <c r="K142" s="45" t="s">
        <v>62</v>
      </c>
      <c r="L142" s="45" t="s">
        <v>62</v>
      </c>
      <c r="M142" s="45" t="s">
        <v>62</v>
      </c>
      <c r="N142" s="45" t="s">
        <v>62</v>
      </c>
      <c r="O142" s="51" t="s">
        <v>62</v>
      </c>
      <c r="P142" s="101" t="str">
        <f>IF(A142='Table 1.1 complete'!A142,"","sort code!")</f>
        <v/>
      </c>
    </row>
    <row r="143" spans="1:16" x14ac:dyDescent="0.25">
      <c r="A143" s="174" t="s">
        <v>133</v>
      </c>
      <c r="B143" s="205">
        <v>107</v>
      </c>
      <c r="C143" s="176" t="s">
        <v>423</v>
      </c>
      <c r="D143" s="135">
        <v>17</v>
      </c>
      <c r="E143" s="45">
        <v>14.84</v>
      </c>
      <c r="F143" s="45" t="s">
        <v>62</v>
      </c>
      <c r="G143" s="45" t="s">
        <v>62</v>
      </c>
      <c r="H143" s="45" t="s">
        <v>62</v>
      </c>
      <c r="I143" s="45">
        <v>2.4700000000000002</v>
      </c>
      <c r="J143" s="45">
        <v>22.3</v>
      </c>
      <c r="K143" s="45" t="s">
        <v>62</v>
      </c>
      <c r="L143" s="45" t="s">
        <v>62</v>
      </c>
      <c r="M143" s="45" t="s">
        <v>62</v>
      </c>
      <c r="N143" s="45" t="s">
        <v>62</v>
      </c>
      <c r="O143" s="51" t="s">
        <v>62</v>
      </c>
      <c r="P143" s="101" t="str">
        <f>IF(A143='Table 1.1 complete'!A143,"","sort code!")</f>
        <v/>
      </c>
    </row>
    <row r="144" spans="1:16" x14ac:dyDescent="0.25">
      <c r="A144" s="172" t="s">
        <v>30</v>
      </c>
      <c r="B144" s="203">
        <v>63</v>
      </c>
      <c r="C144" s="176" t="s">
        <v>423</v>
      </c>
      <c r="D144" s="135">
        <v>17</v>
      </c>
      <c r="E144" s="45">
        <v>0.02</v>
      </c>
      <c r="F144" s="45" t="s">
        <v>62</v>
      </c>
      <c r="G144" s="45" t="s">
        <v>62</v>
      </c>
      <c r="H144" s="45" t="s">
        <v>62</v>
      </c>
      <c r="I144" s="45">
        <v>0.04</v>
      </c>
      <c r="J144" s="45" t="s">
        <v>62</v>
      </c>
      <c r="K144" s="45" t="s">
        <v>62</v>
      </c>
      <c r="L144" s="45" t="s">
        <v>62</v>
      </c>
      <c r="M144" s="45" t="s">
        <v>62</v>
      </c>
      <c r="N144" s="45" t="s">
        <v>62</v>
      </c>
      <c r="O144" s="51" t="s">
        <v>62</v>
      </c>
      <c r="P144" s="101" t="str">
        <f>IF(A144='Table 1.1 complete'!A144,"","sort code!")</f>
        <v/>
      </c>
    </row>
    <row r="145" spans="1:16" s="1" customFormat="1" x14ac:dyDescent="0.25">
      <c r="A145" s="172" t="s">
        <v>31</v>
      </c>
      <c r="B145" s="203">
        <v>64</v>
      </c>
      <c r="C145" s="176" t="s">
        <v>423</v>
      </c>
      <c r="D145" s="135">
        <v>17</v>
      </c>
      <c r="E145" s="45">
        <v>3.94</v>
      </c>
      <c r="F145" s="45" t="s">
        <v>62</v>
      </c>
      <c r="G145" s="45" t="s">
        <v>62</v>
      </c>
      <c r="H145" s="45" t="s">
        <v>62</v>
      </c>
      <c r="I145" s="45">
        <v>0.02</v>
      </c>
      <c r="J145" s="45" t="s">
        <v>62</v>
      </c>
      <c r="K145" s="45" t="s">
        <v>62</v>
      </c>
      <c r="L145" s="45" t="s">
        <v>62</v>
      </c>
      <c r="M145" s="45" t="s">
        <v>62</v>
      </c>
      <c r="N145" s="45" t="s">
        <v>62</v>
      </c>
      <c r="O145" s="51" t="s">
        <v>62</v>
      </c>
      <c r="P145" s="101" t="str">
        <f>IF(A145='Table 1.1 complete'!A145,"","sort code!")</f>
        <v/>
      </c>
    </row>
    <row r="146" spans="1:16" x14ac:dyDescent="0.25">
      <c r="A146" s="183" t="s">
        <v>33</v>
      </c>
      <c r="B146" s="74">
        <v>66</v>
      </c>
      <c r="C146" s="266" t="s">
        <v>277</v>
      </c>
      <c r="D146" s="75">
        <v>99</v>
      </c>
      <c r="E146" s="44">
        <v>267.04000000000002</v>
      </c>
      <c r="F146" s="44" t="s">
        <v>62</v>
      </c>
      <c r="G146" s="44" t="s">
        <v>62</v>
      </c>
      <c r="H146" s="44" t="s">
        <v>62</v>
      </c>
      <c r="I146" s="44">
        <v>67.989999999999995</v>
      </c>
      <c r="J146" s="44">
        <v>170.07</v>
      </c>
      <c r="K146" s="44">
        <v>0.76</v>
      </c>
      <c r="L146" s="44" t="s">
        <v>62</v>
      </c>
      <c r="M146" s="44" t="s">
        <v>62</v>
      </c>
      <c r="N146" s="44" t="s">
        <v>62</v>
      </c>
      <c r="O146" s="75" t="s">
        <v>62</v>
      </c>
      <c r="P146" s="101" t="str">
        <f>IF(A146='Table 1.1 complete'!A146,"","sort code!")</f>
        <v/>
      </c>
    </row>
    <row r="147" spans="1:16" x14ac:dyDescent="0.25">
      <c r="A147" s="183" t="s">
        <v>135</v>
      </c>
      <c r="B147" s="74">
        <v>109</v>
      </c>
      <c r="C147" s="77" t="s">
        <v>278</v>
      </c>
      <c r="D147" s="75">
        <v>99</v>
      </c>
      <c r="E147" s="44">
        <v>715.97</v>
      </c>
      <c r="F147" s="44">
        <v>116.37</v>
      </c>
      <c r="G147" s="44" t="s">
        <v>62</v>
      </c>
      <c r="H147" s="44">
        <v>3.85</v>
      </c>
      <c r="I147" s="44">
        <v>159.88999999999999</v>
      </c>
      <c r="J147" s="44">
        <v>424.64</v>
      </c>
      <c r="K147" s="44">
        <v>6.81</v>
      </c>
      <c r="L147" s="44" t="s">
        <v>62</v>
      </c>
      <c r="M147" s="44">
        <v>3.02</v>
      </c>
      <c r="N147" s="44">
        <v>0.01</v>
      </c>
      <c r="O147" s="75" t="s">
        <v>62</v>
      </c>
      <c r="P147" s="101" t="str">
        <f>IF(A147='Table 1.1 complete'!A147,"","sort code!")</f>
        <v/>
      </c>
    </row>
    <row r="148" spans="1:16" x14ac:dyDescent="0.25">
      <c r="A148" s="183" t="s">
        <v>138</v>
      </c>
      <c r="B148" s="74">
        <v>112</v>
      </c>
      <c r="C148" s="77" t="s">
        <v>279</v>
      </c>
      <c r="D148" s="75">
        <v>99</v>
      </c>
      <c r="E148" s="44">
        <v>2662.85</v>
      </c>
      <c r="F148" s="44" t="s">
        <v>62</v>
      </c>
      <c r="G148" s="44" t="s">
        <v>62</v>
      </c>
      <c r="H148" s="44">
        <v>22.12</v>
      </c>
      <c r="I148" s="44">
        <v>33.75</v>
      </c>
      <c r="J148" s="44" t="s">
        <v>62</v>
      </c>
      <c r="K148" s="44" t="s">
        <v>62</v>
      </c>
      <c r="L148" s="44" t="s">
        <v>62</v>
      </c>
      <c r="M148" s="44">
        <v>40.86</v>
      </c>
      <c r="N148" s="44">
        <v>2.31</v>
      </c>
      <c r="O148" s="75" t="s">
        <v>62</v>
      </c>
      <c r="P148" s="101" t="str">
        <f>IF(A148='Table 1.1 complete'!A148,"","sort code!")</f>
        <v/>
      </c>
    </row>
    <row r="149" spans="1:16" x14ac:dyDescent="0.25">
      <c r="A149" s="183" t="s">
        <v>168</v>
      </c>
      <c r="B149" s="74">
        <v>140</v>
      </c>
      <c r="C149" s="77" t="s">
        <v>280</v>
      </c>
      <c r="D149" s="75">
        <v>99</v>
      </c>
      <c r="E149" s="44">
        <v>217.99</v>
      </c>
      <c r="F149" s="44">
        <v>75.599999999999994</v>
      </c>
      <c r="G149" s="44">
        <v>0.79</v>
      </c>
      <c r="H149" s="44">
        <v>10.9</v>
      </c>
      <c r="I149" s="44">
        <v>34.380000000000003</v>
      </c>
      <c r="J149" s="44">
        <v>633.27</v>
      </c>
      <c r="K149" s="44">
        <v>0.1</v>
      </c>
      <c r="L149" s="44">
        <v>2.06</v>
      </c>
      <c r="M149" s="44" t="s">
        <v>62</v>
      </c>
      <c r="N149" s="44">
        <v>0.06</v>
      </c>
      <c r="O149" s="75" t="s">
        <v>62</v>
      </c>
      <c r="P149" s="101" t="str">
        <f>IF(A149='Table 1.1 complete'!A149,"","sort code!")</f>
        <v/>
      </c>
    </row>
    <row r="150" spans="1:16" x14ac:dyDescent="0.25">
      <c r="A150" s="183" t="s">
        <v>116</v>
      </c>
      <c r="B150" s="74">
        <v>90</v>
      </c>
      <c r="C150" s="77" t="s">
        <v>281</v>
      </c>
      <c r="D150" s="75">
        <v>99</v>
      </c>
      <c r="E150" s="44">
        <v>22.34</v>
      </c>
      <c r="F150" s="44">
        <v>5.96</v>
      </c>
      <c r="G150" s="44" t="s">
        <v>62</v>
      </c>
      <c r="H150" s="44">
        <v>5</v>
      </c>
      <c r="I150" s="44">
        <v>125.35</v>
      </c>
      <c r="J150" s="44">
        <v>128.18</v>
      </c>
      <c r="K150" s="44">
        <v>25.94</v>
      </c>
      <c r="L150" s="44" t="s">
        <v>62</v>
      </c>
      <c r="M150" s="44" t="s">
        <v>62</v>
      </c>
      <c r="N150" s="44">
        <v>0.01</v>
      </c>
      <c r="O150" s="75" t="s">
        <v>62</v>
      </c>
      <c r="P150" s="101" t="str">
        <f>IF(A150='Table 1.1 complete'!A150,"","sort code!")</f>
        <v/>
      </c>
    </row>
    <row r="151" spans="1:16" x14ac:dyDescent="0.25">
      <c r="A151" s="183" t="s">
        <v>182</v>
      </c>
      <c r="B151" s="74">
        <v>154</v>
      </c>
      <c r="C151" s="266" t="s">
        <v>282</v>
      </c>
      <c r="D151" s="75">
        <v>99</v>
      </c>
      <c r="E151" s="44">
        <v>37.25</v>
      </c>
      <c r="F151" s="44">
        <v>0.16</v>
      </c>
      <c r="G151" s="44" t="s">
        <v>62</v>
      </c>
      <c r="H151" s="44" t="s">
        <v>62</v>
      </c>
      <c r="I151" s="44">
        <v>250.07</v>
      </c>
      <c r="J151" s="44">
        <v>404.28</v>
      </c>
      <c r="K151" s="44" t="s">
        <v>62</v>
      </c>
      <c r="L151" s="44" t="s">
        <v>62</v>
      </c>
      <c r="M151" s="44" t="s">
        <v>62</v>
      </c>
      <c r="N151" s="44">
        <v>0.01</v>
      </c>
      <c r="O151" s="75" t="s">
        <v>62</v>
      </c>
      <c r="P151" s="101" t="str">
        <f>IF(A151='Table 1.1 complete'!A151,"","sort code!")</f>
        <v/>
      </c>
    </row>
    <row r="152" spans="1:16" x14ac:dyDescent="0.25">
      <c r="A152" s="183" t="s">
        <v>152</v>
      </c>
      <c r="B152" s="74">
        <v>124</v>
      </c>
      <c r="C152" s="77" t="s">
        <v>283</v>
      </c>
      <c r="D152" s="75">
        <v>99</v>
      </c>
      <c r="E152" s="44">
        <v>15.58</v>
      </c>
      <c r="F152" s="44">
        <v>78.239999999999995</v>
      </c>
      <c r="G152" s="44" t="s">
        <v>62</v>
      </c>
      <c r="H152" s="44">
        <v>0.41</v>
      </c>
      <c r="I152" s="44">
        <v>12.5</v>
      </c>
      <c r="J152" s="44">
        <v>17.8</v>
      </c>
      <c r="K152" s="44">
        <v>0.1</v>
      </c>
      <c r="L152" s="44">
        <v>0.01</v>
      </c>
      <c r="M152" s="44" t="s">
        <v>62</v>
      </c>
      <c r="N152" s="44">
        <v>0.06</v>
      </c>
      <c r="O152" s="75" t="s">
        <v>62</v>
      </c>
      <c r="P152" s="101" t="str">
        <f>IF(A152='Table 1.1 complete'!A152,"","sort code!")</f>
        <v/>
      </c>
    </row>
    <row r="153" spans="1:16" x14ac:dyDescent="0.25">
      <c r="A153" s="183" t="s">
        <v>183</v>
      </c>
      <c r="B153" s="74">
        <v>155</v>
      </c>
      <c r="C153" s="77" t="s">
        <v>284</v>
      </c>
      <c r="D153" s="75">
        <v>99</v>
      </c>
      <c r="E153" s="44">
        <v>3939.01</v>
      </c>
      <c r="F153" s="44">
        <v>276.32</v>
      </c>
      <c r="G153" s="44">
        <v>0.79</v>
      </c>
      <c r="H153" s="44">
        <v>42.28</v>
      </c>
      <c r="I153" s="44">
        <v>683.91</v>
      </c>
      <c r="J153" s="44">
        <v>1819.08</v>
      </c>
      <c r="K153" s="44">
        <v>36.020000000000003</v>
      </c>
      <c r="L153" s="44">
        <v>2.0699999999999998</v>
      </c>
      <c r="M153" s="44">
        <v>3.02</v>
      </c>
      <c r="N153" s="44">
        <v>0.14000000000000001</v>
      </c>
      <c r="O153" s="75" t="s">
        <v>62</v>
      </c>
      <c r="P153" s="101" t="str">
        <f>IF(A153='Table 1.1 complete'!A153,"","sort code!")</f>
        <v/>
      </c>
    </row>
    <row r="154" spans="1:16" s="1" customFormat="1" x14ac:dyDescent="0.25">
      <c r="A154" s="183" t="s">
        <v>92</v>
      </c>
      <c r="B154" s="74">
        <v>2</v>
      </c>
      <c r="C154" s="77" t="s">
        <v>285</v>
      </c>
      <c r="D154" s="75">
        <v>99</v>
      </c>
      <c r="E154" s="44">
        <v>3939.01</v>
      </c>
      <c r="F154" s="44">
        <v>276.32</v>
      </c>
      <c r="G154" s="44">
        <v>0.79</v>
      </c>
      <c r="H154" s="44">
        <v>42.28</v>
      </c>
      <c r="I154" s="44">
        <v>683.91</v>
      </c>
      <c r="J154" s="44">
        <v>1819.08</v>
      </c>
      <c r="K154" s="44">
        <v>36.020000000000003</v>
      </c>
      <c r="L154" s="44">
        <v>2.0699999999999998</v>
      </c>
      <c r="M154" s="44">
        <v>3.02</v>
      </c>
      <c r="N154" s="44">
        <v>0.14000000000000001</v>
      </c>
      <c r="O154" s="75" t="s">
        <v>62</v>
      </c>
      <c r="P154" s="101" t="str">
        <f>IF(A154='Table 1.1 complete'!A154,"","sort code!")</f>
        <v/>
      </c>
    </row>
    <row r="155" spans="1:16" x14ac:dyDescent="0.25">
      <c r="A155" s="183" t="s">
        <v>99</v>
      </c>
      <c r="B155" s="74">
        <v>35</v>
      </c>
      <c r="C155" s="77" t="s">
        <v>286</v>
      </c>
      <c r="D155" s="75">
        <v>99</v>
      </c>
      <c r="E155" s="44">
        <v>600.42999999999995</v>
      </c>
      <c r="F155" s="44">
        <v>366.37</v>
      </c>
      <c r="G155" s="44">
        <v>9.93</v>
      </c>
      <c r="H155" s="44">
        <v>35.97</v>
      </c>
      <c r="I155" s="44">
        <v>109.89</v>
      </c>
      <c r="J155" s="44">
        <v>801.95</v>
      </c>
      <c r="K155" s="44">
        <v>52.63</v>
      </c>
      <c r="L155" s="44">
        <v>3.96</v>
      </c>
      <c r="M155" s="44">
        <v>29.25</v>
      </c>
      <c r="N155" s="44">
        <v>22.25</v>
      </c>
      <c r="O155" s="75" t="s">
        <v>62</v>
      </c>
      <c r="P155" s="101" t="str">
        <f>IF(A155='Table 1.1 complete'!A155,"","sort code!")</f>
        <v/>
      </c>
    </row>
    <row r="156" spans="1:16" s="1" customFormat="1" x14ac:dyDescent="0.25">
      <c r="A156" s="182" t="s">
        <v>101</v>
      </c>
      <c r="B156" s="74">
        <v>37</v>
      </c>
      <c r="C156" s="266" t="s">
        <v>287</v>
      </c>
      <c r="D156" s="75">
        <v>99</v>
      </c>
      <c r="E156" s="46">
        <v>2101.4499999999998</v>
      </c>
      <c r="F156" s="46">
        <v>159.99</v>
      </c>
      <c r="G156" s="46" t="s">
        <v>62</v>
      </c>
      <c r="H156" s="46">
        <v>4.33</v>
      </c>
      <c r="I156" s="46">
        <v>140.24</v>
      </c>
      <c r="J156" s="46">
        <v>1081.51</v>
      </c>
      <c r="K156" s="46">
        <v>52.14</v>
      </c>
      <c r="L156" s="46">
        <v>5.01</v>
      </c>
      <c r="M156" s="46">
        <v>17.260000000000002</v>
      </c>
      <c r="N156" s="46">
        <v>8.36</v>
      </c>
      <c r="O156" s="75" t="s">
        <v>62</v>
      </c>
      <c r="P156" s="101" t="str">
        <f>IF(A156='Table 1.1 complete'!A156,"","sort code!")</f>
        <v/>
      </c>
    </row>
    <row r="157" spans="1:16" s="1" customFormat="1" x14ac:dyDescent="0.25">
      <c r="A157" s="183" t="s">
        <v>100</v>
      </c>
      <c r="B157" s="74">
        <v>36</v>
      </c>
      <c r="C157" s="77" t="s">
        <v>288</v>
      </c>
      <c r="D157" s="75">
        <v>99</v>
      </c>
      <c r="E157" s="44">
        <v>567.21</v>
      </c>
      <c r="F157" s="44">
        <v>57.5</v>
      </c>
      <c r="G157" s="44" t="s">
        <v>62</v>
      </c>
      <c r="H157" s="44">
        <v>54.16</v>
      </c>
      <c r="I157" s="44">
        <v>183.64</v>
      </c>
      <c r="J157" s="44">
        <v>423.39</v>
      </c>
      <c r="K157" s="44">
        <v>17.45</v>
      </c>
      <c r="L157" s="44">
        <v>0.44</v>
      </c>
      <c r="M157" s="44">
        <v>7.03</v>
      </c>
      <c r="N157" s="44">
        <v>1.49</v>
      </c>
      <c r="O157" s="75" t="s">
        <v>62</v>
      </c>
      <c r="P157" s="101" t="str">
        <f>IF(A157='Table 1.1 complete'!A157,"","sort code!")</f>
        <v/>
      </c>
    </row>
    <row r="158" spans="1:16" s="1" customFormat="1" x14ac:dyDescent="0.25">
      <c r="A158" s="183" t="s">
        <v>98</v>
      </c>
      <c r="B158" s="74">
        <v>34</v>
      </c>
      <c r="C158" s="77" t="s">
        <v>289</v>
      </c>
      <c r="D158" s="75">
        <v>99</v>
      </c>
      <c r="E158" s="44">
        <v>3269.09</v>
      </c>
      <c r="F158" s="44">
        <v>583.85</v>
      </c>
      <c r="G158" s="44">
        <v>9.93</v>
      </c>
      <c r="H158" s="44">
        <v>94.46</v>
      </c>
      <c r="I158" s="44">
        <v>433.77</v>
      </c>
      <c r="J158" s="44">
        <v>2306.85</v>
      </c>
      <c r="K158" s="44">
        <v>122.22</v>
      </c>
      <c r="L158" s="44">
        <v>9.41</v>
      </c>
      <c r="M158" s="44">
        <v>53.55</v>
      </c>
      <c r="N158" s="44">
        <v>32.090000000000003</v>
      </c>
      <c r="O158" s="75" t="s">
        <v>62</v>
      </c>
      <c r="P158" s="101" t="str">
        <f>IF(A158='Table 1.1 complete'!A158,"","sort code!")</f>
        <v/>
      </c>
    </row>
    <row r="159" spans="1:16" s="1" customFormat="1" x14ac:dyDescent="0.25">
      <c r="A159" s="183" t="s">
        <v>91</v>
      </c>
      <c r="B159" s="74">
        <v>1</v>
      </c>
      <c r="C159" s="77" t="s">
        <v>290</v>
      </c>
      <c r="D159" s="75">
        <v>99</v>
      </c>
      <c r="E159" s="44">
        <v>3269.09</v>
      </c>
      <c r="F159" s="44">
        <v>583.85</v>
      </c>
      <c r="G159" s="44">
        <v>9.93</v>
      </c>
      <c r="H159" s="44">
        <v>94.46</v>
      </c>
      <c r="I159" s="44">
        <v>433.77</v>
      </c>
      <c r="J159" s="44">
        <v>2306.85</v>
      </c>
      <c r="K159" s="44">
        <v>122.22</v>
      </c>
      <c r="L159" s="44">
        <v>9.41</v>
      </c>
      <c r="M159" s="44">
        <v>53.55</v>
      </c>
      <c r="N159" s="44">
        <v>32.090000000000003</v>
      </c>
      <c r="O159" s="75" t="s">
        <v>62</v>
      </c>
      <c r="P159" s="101" t="str">
        <f>IF(A159='Table 1.1 complete'!A159,"","sort code!")</f>
        <v/>
      </c>
    </row>
    <row r="160" spans="1:16" x14ac:dyDescent="0.25">
      <c r="A160" s="184" t="s">
        <v>65</v>
      </c>
      <c r="B160" s="80">
        <v>3</v>
      </c>
      <c r="C160" s="185" t="s">
        <v>291</v>
      </c>
      <c r="D160" s="81">
        <v>99</v>
      </c>
      <c r="E160" s="84">
        <v>7208.1</v>
      </c>
      <c r="F160" s="84">
        <v>860.17</v>
      </c>
      <c r="G160" s="84">
        <v>10.72</v>
      </c>
      <c r="H160" s="84">
        <v>136.72999999999999</v>
      </c>
      <c r="I160" s="84">
        <v>1117.68</v>
      </c>
      <c r="J160" s="84">
        <v>4125.93</v>
      </c>
      <c r="K160" s="84">
        <v>158.24</v>
      </c>
      <c r="L160" s="84">
        <v>11.47</v>
      </c>
      <c r="M160" s="84">
        <v>56.56</v>
      </c>
      <c r="N160" s="84">
        <v>32.229999999999997</v>
      </c>
      <c r="O160" s="81" t="s">
        <v>62</v>
      </c>
      <c r="P160" s="102" t="str">
        <f>IF(A160='Table 1.1 complete'!A160,"","sort code!")</f>
        <v/>
      </c>
    </row>
    <row r="161" spans="1:16" x14ac:dyDescent="0.25">
      <c r="A161" s="251"/>
      <c r="B161" s="89"/>
      <c r="C161" s="257"/>
      <c r="D161" s="90"/>
      <c r="E161" s="88"/>
      <c r="F161" s="88"/>
      <c r="G161" s="88"/>
      <c r="H161" s="88"/>
      <c r="I161" s="88"/>
      <c r="J161" s="88"/>
      <c r="K161" s="88"/>
      <c r="L161" s="88"/>
      <c r="M161" s="88"/>
      <c r="N161" s="88"/>
      <c r="O161" s="90"/>
      <c r="P161" s="90"/>
    </row>
    <row r="162" spans="1:16" x14ac:dyDescent="0.25">
      <c r="A162" s="245" t="s">
        <v>45</v>
      </c>
      <c r="B162" s="253"/>
      <c r="C162" s="258"/>
      <c r="D162" s="6"/>
      <c r="E162" s="6" t="s">
        <v>63</v>
      </c>
      <c r="F162" s="15"/>
      <c r="G162" s="15"/>
      <c r="H162" s="6"/>
      <c r="I162" s="6"/>
      <c r="J162" s="15"/>
      <c r="K162" s="15"/>
      <c r="L162" s="15"/>
      <c r="M162" s="15"/>
      <c r="N162" s="16"/>
      <c r="O162" s="86"/>
      <c r="P162" s="86"/>
    </row>
    <row r="163" spans="1:16" x14ac:dyDescent="0.25">
      <c r="A163" s="247"/>
      <c r="B163" s="254"/>
      <c r="C163" s="259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9"/>
      <c r="O163" s="86"/>
      <c r="P163" s="86"/>
    </row>
    <row r="164" spans="1:16" x14ac:dyDescent="0.25">
      <c r="A164" s="248" t="s">
        <v>51</v>
      </c>
      <c r="B164" s="255"/>
      <c r="C164" s="26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1"/>
      <c r="O164" s="86"/>
      <c r="P164" s="86"/>
    </row>
    <row r="165" spans="1:16" x14ac:dyDescent="0.25">
      <c r="A165" s="55" t="s">
        <v>52</v>
      </c>
    </row>
  </sheetData>
  <autoFilter ref="A5:O5">
    <sortState ref="A6:O160">
      <sortCondition ref="D5"/>
    </sortState>
  </autoFilter>
  <mergeCells count="11">
    <mergeCell ref="E3:J3"/>
    <mergeCell ref="K3:N3"/>
    <mergeCell ref="E4:H4"/>
    <mergeCell ref="R2:AE2"/>
    <mergeCell ref="V5:Y5"/>
    <mergeCell ref="V4:AA4"/>
    <mergeCell ref="Z5:AA5"/>
    <mergeCell ref="AB4:AE5"/>
    <mergeCell ref="V3:AE3"/>
    <mergeCell ref="S3:U5"/>
    <mergeCell ref="R3:R5"/>
  </mergeCells>
  <hyperlinks>
    <hyperlink ref="J1" r:id="rId1"/>
  </hyperlinks>
  <pageMargins left="0.7" right="0.7" top="0.78740157499999996" bottom="0.78740157499999996" header="0.3" footer="0.3"/>
  <pageSetup paperSize="9" orientation="portrait"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37" sqref="D37"/>
    </sheetView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"/>
  <sheetViews>
    <sheetView zoomScale="80" zoomScaleNormal="80" workbookViewId="0">
      <selection activeCell="H1" sqref="H1"/>
    </sheetView>
  </sheetViews>
  <sheetFormatPr baseColWidth="10" defaultRowHeight="15" x14ac:dyDescent="0.25"/>
  <cols>
    <col min="1" max="1" width="16.85546875" customWidth="1"/>
    <col min="2" max="2" width="19" bestFit="1" customWidth="1"/>
    <col min="3" max="6" width="13.28515625" customWidth="1"/>
    <col min="7" max="7" width="12.42578125" customWidth="1"/>
    <col min="8" max="8" width="17.85546875" bestFit="1" customWidth="1"/>
    <col min="9" max="9" width="16.28515625" bestFit="1" customWidth="1"/>
    <col min="10" max="10" width="20.5703125" bestFit="1" customWidth="1"/>
  </cols>
  <sheetData>
    <row r="1" spans="1:10" x14ac:dyDescent="0.25">
      <c r="A1" s="4" t="s">
        <v>0</v>
      </c>
      <c r="B1" s="5"/>
      <c r="C1" s="5"/>
      <c r="D1" s="39" t="s">
        <v>103</v>
      </c>
      <c r="E1" s="6"/>
      <c r="F1" s="6"/>
      <c r="G1" s="6"/>
      <c r="H1" s="50" t="s">
        <v>375</v>
      </c>
      <c r="I1" s="6"/>
      <c r="J1" s="7"/>
    </row>
    <row r="2" spans="1:10" s="3" customFormat="1" ht="16.5" customHeight="1" x14ac:dyDescent="0.25">
      <c r="A2" s="25" t="s">
        <v>102</v>
      </c>
      <c r="B2" s="26"/>
      <c r="C2" s="26"/>
      <c r="D2" s="26"/>
      <c r="E2" s="27"/>
      <c r="F2" s="27"/>
      <c r="G2" s="27"/>
      <c r="H2" s="27"/>
      <c r="I2" s="27"/>
      <c r="J2" s="28"/>
    </row>
    <row r="3" spans="1:10" x14ac:dyDescent="0.25">
      <c r="A3" s="9" t="s">
        <v>2</v>
      </c>
      <c r="B3" s="10"/>
      <c r="C3" s="10"/>
      <c r="D3" s="10"/>
      <c r="E3" s="11"/>
      <c r="F3" s="11"/>
      <c r="G3" s="11"/>
      <c r="H3" s="11"/>
      <c r="I3" s="11"/>
      <c r="J3" s="12"/>
    </row>
    <row r="4" spans="1:10" s="1" customFormat="1" x14ac:dyDescent="0.25">
      <c r="A4" s="2"/>
      <c r="B4" s="22" t="s">
        <v>53</v>
      </c>
      <c r="C4" s="22" t="s">
        <v>54</v>
      </c>
      <c r="D4" s="22" t="s">
        <v>55</v>
      </c>
      <c r="E4" s="22" t="s">
        <v>56</v>
      </c>
      <c r="F4" s="22" t="s">
        <v>57</v>
      </c>
      <c r="G4" s="22" t="s">
        <v>3</v>
      </c>
      <c r="H4" s="22" t="s">
        <v>58</v>
      </c>
      <c r="I4" s="22" t="s">
        <v>59</v>
      </c>
      <c r="J4" s="22" t="s">
        <v>60</v>
      </c>
    </row>
    <row r="5" spans="1:10" x14ac:dyDescent="0.25">
      <c r="A5" s="13" t="s">
        <v>91</v>
      </c>
      <c r="B5" s="23">
        <v>10718.5</v>
      </c>
      <c r="C5" s="23">
        <v>408.6</v>
      </c>
      <c r="D5" s="23">
        <v>399.9</v>
      </c>
      <c r="E5" s="23">
        <v>439.8</v>
      </c>
      <c r="F5" s="23">
        <v>101.7</v>
      </c>
      <c r="G5" s="23">
        <v>10185.700000000001</v>
      </c>
      <c r="H5" s="23">
        <v>679.5</v>
      </c>
      <c r="I5" s="23">
        <v>266.7</v>
      </c>
      <c r="J5" s="23">
        <v>9239.5</v>
      </c>
    </row>
    <row r="6" spans="1:10" x14ac:dyDescent="0.25">
      <c r="A6" s="14" t="s">
        <v>92</v>
      </c>
      <c r="B6" s="24">
        <v>9126.4</v>
      </c>
      <c r="C6" s="24">
        <v>215.5</v>
      </c>
      <c r="D6" s="24">
        <v>220.6</v>
      </c>
      <c r="E6" s="24">
        <v>579.1</v>
      </c>
      <c r="F6" s="24">
        <v>14.3</v>
      </c>
      <c r="G6" s="24">
        <v>8527.9</v>
      </c>
      <c r="H6" s="24">
        <v>990.4</v>
      </c>
      <c r="I6" s="24">
        <v>343.2</v>
      </c>
      <c r="J6" s="24">
        <v>7194.3</v>
      </c>
    </row>
    <row r="7" spans="1:10" s="1" customFormat="1" x14ac:dyDescent="0.25">
      <c r="A7" s="35" t="s">
        <v>65</v>
      </c>
      <c r="B7" s="36">
        <v>19844.900000000001</v>
      </c>
      <c r="C7" s="36">
        <v>624</v>
      </c>
      <c r="D7" s="36">
        <v>620.4</v>
      </c>
      <c r="E7" s="36">
        <v>1018.9</v>
      </c>
      <c r="F7" s="36">
        <v>116</v>
      </c>
      <c r="G7" s="36">
        <v>18713.5</v>
      </c>
      <c r="H7" s="36">
        <v>1669.9</v>
      </c>
      <c r="I7" s="36">
        <v>609.79999999999995</v>
      </c>
      <c r="J7" s="36">
        <v>16433.8</v>
      </c>
    </row>
    <row r="8" spans="1:10" x14ac:dyDescent="0.25">
      <c r="A8" s="14" t="s">
        <v>66</v>
      </c>
      <c r="B8" s="24">
        <v>255</v>
      </c>
      <c r="C8" s="24" t="s">
        <v>62</v>
      </c>
      <c r="D8" s="24" t="s">
        <v>62</v>
      </c>
      <c r="E8" s="24">
        <v>15.7</v>
      </c>
      <c r="F8" s="24">
        <v>0.6</v>
      </c>
      <c r="G8" s="24">
        <v>238.7</v>
      </c>
      <c r="H8" s="24">
        <v>17.899999999999999</v>
      </c>
      <c r="I8" s="24">
        <v>10.9</v>
      </c>
      <c r="J8" s="24">
        <v>209.9</v>
      </c>
    </row>
    <row r="9" spans="1:10" x14ac:dyDescent="0.25">
      <c r="A9" s="14" t="s">
        <v>67</v>
      </c>
      <c r="B9" s="24">
        <v>63.4</v>
      </c>
      <c r="C9" s="24">
        <v>22.1</v>
      </c>
      <c r="D9" s="24">
        <v>15.5</v>
      </c>
      <c r="E9" s="24">
        <v>4.0999999999999996</v>
      </c>
      <c r="F9" s="24">
        <v>3</v>
      </c>
      <c r="G9" s="24">
        <v>63</v>
      </c>
      <c r="H9" s="24">
        <v>3.4</v>
      </c>
      <c r="I9" s="24">
        <v>1.3</v>
      </c>
      <c r="J9" s="24">
        <v>58.3</v>
      </c>
    </row>
    <row r="10" spans="1:10" x14ac:dyDescent="0.25">
      <c r="A10" s="14" t="s">
        <v>68</v>
      </c>
      <c r="B10" s="24">
        <v>88.8</v>
      </c>
      <c r="C10" s="24">
        <v>15.8</v>
      </c>
      <c r="D10" s="24">
        <v>9</v>
      </c>
      <c r="E10" s="24">
        <v>3.7</v>
      </c>
      <c r="F10" s="24">
        <v>1.7</v>
      </c>
      <c r="G10" s="24">
        <v>90.2</v>
      </c>
      <c r="H10" s="24">
        <v>4.0999999999999996</v>
      </c>
      <c r="I10" s="24">
        <v>3.2</v>
      </c>
      <c r="J10" s="24">
        <v>82.9</v>
      </c>
    </row>
    <row r="11" spans="1:10" x14ac:dyDescent="0.25">
      <c r="A11" s="14" t="s">
        <v>69</v>
      </c>
      <c r="B11" s="24">
        <v>639.79999999999995</v>
      </c>
      <c r="C11" s="24">
        <v>19.399999999999999</v>
      </c>
      <c r="D11" s="24">
        <v>44.7</v>
      </c>
      <c r="E11" s="24">
        <v>21.2</v>
      </c>
      <c r="F11" s="24">
        <v>0.2</v>
      </c>
      <c r="G11" s="24">
        <v>593.1</v>
      </c>
      <c r="H11" s="24">
        <v>54.1</v>
      </c>
      <c r="I11" s="24">
        <v>30.7</v>
      </c>
      <c r="J11" s="24">
        <v>508.3</v>
      </c>
    </row>
    <row r="12" spans="1:10" x14ac:dyDescent="0.25">
      <c r="A12" s="14" t="s">
        <v>93</v>
      </c>
      <c r="B12" s="24">
        <v>88.2</v>
      </c>
      <c r="C12" s="24">
        <v>10.199999999999999</v>
      </c>
      <c r="D12" s="24">
        <v>26.4</v>
      </c>
      <c r="E12" s="24">
        <v>6.8</v>
      </c>
      <c r="F12" s="24">
        <v>0.6</v>
      </c>
      <c r="G12" s="24">
        <v>64.7</v>
      </c>
      <c r="H12" s="24">
        <v>4.9000000000000004</v>
      </c>
      <c r="I12" s="24">
        <v>2.5</v>
      </c>
      <c r="J12" s="24">
        <v>57.2</v>
      </c>
    </row>
    <row r="13" spans="1:10" x14ac:dyDescent="0.25">
      <c r="A13" s="14" t="s">
        <v>70</v>
      </c>
      <c r="B13" s="24">
        <v>39.200000000000003</v>
      </c>
      <c r="C13" s="24">
        <v>10.4</v>
      </c>
      <c r="D13" s="24">
        <v>11.4</v>
      </c>
      <c r="E13" s="24">
        <v>1.9</v>
      </c>
      <c r="F13" s="24">
        <v>0</v>
      </c>
      <c r="G13" s="24">
        <v>36.299999999999997</v>
      </c>
      <c r="H13" s="24">
        <v>1.8</v>
      </c>
      <c r="I13" s="24">
        <v>0.8</v>
      </c>
      <c r="J13" s="24">
        <v>33.700000000000003</v>
      </c>
    </row>
    <row r="14" spans="1:10" x14ac:dyDescent="0.25">
      <c r="A14" s="14" t="s">
        <v>71</v>
      </c>
      <c r="B14" s="24">
        <v>81.2</v>
      </c>
      <c r="C14" s="24">
        <v>15.4</v>
      </c>
      <c r="D14" s="24">
        <v>2.9</v>
      </c>
      <c r="E14" s="24">
        <v>3.4</v>
      </c>
      <c r="F14" s="24">
        <v>0</v>
      </c>
      <c r="G14" s="24">
        <v>90.3</v>
      </c>
      <c r="H14" s="24">
        <v>3</v>
      </c>
      <c r="I14" s="24">
        <v>1.2</v>
      </c>
      <c r="J14" s="24">
        <v>86.1</v>
      </c>
    </row>
    <row r="15" spans="1:10" x14ac:dyDescent="0.25">
      <c r="A15" s="14" t="s">
        <v>72</v>
      </c>
      <c r="B15" s="24">
        <v>569.79999999999995</v>
      </c>
      <c r="C15" s="24">
        <v>10.8</v>
      </c>
      <c r="D15" s="24">
        <v>67.599999999999994</v>
      </c>
      <c r="E15" s="24">
        <v>25.4</v>
      </c>
      <c r="F15" s="24">
        <v>7.7</v>
      </c>
      <c r="G15" s="24">
        <v>479.9</v>
      </c>
      <c r="H15" s="24">
        <v>31.6</v>
      </c>
      <c r="I15" s="24">
        <v>22.4</v>
      </c>
      <c r="J15" s="24">
        <v>425.9</v>
      </c>
    </row>
    <row r="16" spans="1:10" x14ac:dyDescent="0.25">
      <c r="A16" s="14" t="s">
        <v>73</v>
      </c>
      <c r="B16" s="24">
        <v>637.1</v>
      </c>
      <c r="C16" s="24">
        <v>46</v>
      </c>
      <c r="D16" s="24">
        <v>62.5</v>
      </c>
      <c r="E16" s="24">
        <v>38.700000000000003</v>
      </c>
      <c r="F16" s="24">
        <v>9.1</v>
      </c>
      <c r="G16" s="24">
        <v>572.79999999999995</v>
      </c>
      <c r="H16" s="24">
        <v>29.5</v>
      </c>
      <c r="I16" s="24">
        <v>15.9</v>
      </c>
      <c r="J16" s="24">
        <v>527.4</v>
      </c>
    </row>
    <row r="17" spans="1:10" x14ac:dyDescent="0.25">
      <c r="A17" s="14" t="s">
        <v>74</v>
      </c>
      <c r="B17" s="24">
        <v>63.5</v>
      </c>
      <c r="C17" s="24">
        <v>6.4</v>
      </c>
      <c r="D17" s="24">
        <v>2.1</v>
      </c>
      <c r="E17" s="24">
        <v>4.4000000000000004</v>
      </c>
      <c r="F17" s="24">
        <v>1.1000000000000001</v>
      </c>
      <c r="G17" s="24">
        <v>62.3</v>
      </c>
      <c r="H17" s="24">
        <v>4.9000000000000004</v>
      </c>
      <c r="I17" s="24">
        <v>2.2999999999999998</v>
      </c>
      <c r="J17" s="24">
        <v>55.2</v>
      </c>
    </row>
    <row r="18" spans="1:10" x14ac:dyDescent="0.25">
      <c r="A18" s="14" t="s">
        <v>75</v>
      </c>
      <c r="B18" s="24">
        <v>40</v>
      </c>
      <c r="C18" s="24">
        <v>14.7</v>
      </c>
      <c r="D18" s="24">
        <v>10.7</v>
      </c>
      <c r="E18" s="24">
        <v>2.7</v>
      </c>
      <c r="F18" s="24" t="s">
        <v>62</v>
      </c>
      <c r="G18" s="24">
        <v>41.2</v>
      </c>
      <c r="H18" s="24">
        <v>4</v>
      </c>
      <c r="I18" s="24">
        <v>3.5</v>
      </c>
      <c r="J18" s="24">
        <v>33.700000000000003</v>
      </c>
    </row>
    <row r="19" spans="1:10" x14ac:dyDescent="0.25">
      <c r="A19" s="14" t="s">
        <v>76</v>
      </c>
      <c r="B19" s="24">
        <v>12</v>
      </c>
      <c r="C19" s="24" t="s">
        <v>62</v>
      </c>
      <c r="D19" s="24" t="s">
        <v>62</v>
      </c>
      <c r="E19" s="24">
        <v>0.2</v>
      </c>
      <c r="F19" s="24">
        <v>0.2</v>
      </c>
      <c r="G19" s="24">
        <v>11.6</v>
      </c>
      <c r="H19" s="24">
        <v>0.5</v>
      </c>
      <c r="I19" s="24">
        <v>0.2</v>
      </c>
      <c r="J19" s="24">
        <v>10.9</v>
      </c>
    </row>
    <row r="20" spans="1:10" x14ac:dyDescent="0.25">
      <c r="A20" s="14" t="s">
        <v>77</v>
      </c>
      <c r="B20" s="24">
        <v>28.2</v>
      </c>
      <c r="C20" s="24">
        <v>1.4</v>
      </c>
      <c r="D20" s="24">
        <v>0.1</v>
      </c>
      <c r="E20" s="24">
        <v>0.5</v>
      </c>
      <c r="F20" s="24">
        <v>0.5</v>
      </c>
      <c r="G20" s="24">
        <v>28.5</v>
      </c>
      <c r="H20" s="24">
        <v>2.2999999999999998</v>
      </c>
      <c r="I20" s="24">
        <v>0.2</v>
      </c>
      <c r="J20" s="24">
        <v>26.1</v>
      </c>
    </row>
    <row r="21" spans="1:10" x14ac:dyDescent="0.25">
      <c r="A21" s="14" t="s">
        <v>78</v>
      </c>
      <c r="B21" s="24">
        <v>313.89999999999998</v>
      </c>
      <c r="C21" s="24">
        <v>48.9</v>
      </c>
      <c r="D21" s="24">
        <v>2.6</v>
      </c>
      <c r="E21" s="24">
        <v>12.6</v>
      </c>
      <c r="F21" s="24">
        <v>7.7</v>
      </c>
      <c r="G21" s="24">
        <v>339.9</v>
      </c>
      <c r="H21" s="24">
        <v>21</v>
      </c>
      <c r="I21" s="24">
        <v>9.6</v>
      </c>
      <c r="J21" s="24">
        <v>309.3</v>
      </c>
    </row>
    <row r="22" spans="1:10" x14ac:dyDescent="0.25">
      <c r="A22" s="14" t="s">
        <v>79</v>
      </c>
      <c r="B22" s="24">
        <v>1133.7</v>
      </c>
      <c r="C22" s="24" t="s">
        <v>62</v>
      </c>
      <c r="D22" s="24" t="s">
        <v>62</v>
      </c>
      <c r="E22" s="24">
        <v>43.1</v>
      </c>
      <c r="F22" s="24">
        <v>16</v>
      </c>
      <c r="G22" s="24">
        <v>1074.5999999999999</v>
      </c>
      <c r="H22" s="24">
        <v>51</v>
      </c>
      <c r="I22" s="24">
        <v>14.5</v>
      </c>
      <c r="J22" s="24">
        <v>1009.1</v>
      </c>
    </row>
    <row r="23" spans="1:10" x14ac:dyDescent="0.25">
      <c r="A23" s="14" t="s">
        <v>80</v>
      </c>
      <c r="B23" s="24">
        <v>427.3</v>
      </c>
      <c r="C23" s="24" t="s">
        <v>62</v>
      </c>
      <c r="D23" s="24" t="s">
        <v>62</v>
      </c>
      <c r="E23" s="24">
        <v>16.899999999999999</v>
      </c>
      <c r="F23" s="24">
        <v>1.8</v>
      </c>
      <c r="G23" s="24">
        <v>408.6</v>
      </c>
      <c r="H23" s="24">
        <v>15.3</v>
      </c>
      <c r="I23" s="24">
        <v>1.5</v>
      </c>
      <c r="J23" s="24">
        <v>391.7</v>
      </c>
    </row>
    <row r="24" spans="1:10" x14ac:dyDescent="0.25">
      <c r="A24" s="14" t="s">
        <v>81</v>
      </c>
      <c r="B24" s="24">
        <v>4</v>
      </c>
      <c r="C24" s="24">
        <v>6.8</v>
      </c>
      <c r="D24" s="24">
        <v>2.9</v>
      </c>
      <c r="E24" s="24">
        <v>0</v>
      </c>
      <c r="F24" s="24">
        <v>1.1000000000000001</v>
      </c>
      <c r="G24" s="24">
        <v>6.8</v>
      </c>
      <c r="H24" s="24">
        <v>0.1</v>
      </c>
      <c r="I24" s="24" t="s">
        <v>62</v>
      </c>
      <c r="J24" s="24">
        <v>6.7</v>
      </c>
    </row>
    <row r="25" spans="1:10" x14ac:dyDescent="0.25">
      <c r="A25" s="14" t="s">
        <v>82</v>
      </c>
      <c r="B25" s="24">
        <v>257.5</v>
      </c>
      <c r="C25" s="24">
        <v>0.3</v>
      </c>
      <c r="D25" s="24">
        <v>1.5</v>
      </c>
      <c r="E25" s="24">
        <v>11.5</v>
      </c>
      <c r="F25" s="24" t="s">
        <v>62</v>
      </c>
      <c r="G25" s="24">
        <v>244.8</v>
      </c>
      <c r="H25" s="24">
        <v>41.9</v>
      </c>
      <c r="I25" s="24">
        <v>6.4</v>
      </c>
      <c r="J25" s="24">
        <v>196.4</v>
      </c>
    </row>
    <row r="26" spans="1:10" x14ac:dyDescent="0.25">
      <c r="A26" s="14" t="s">
        <v>83</v>
      </c>
      <c r="B26" s="24">
        <v>103.2</v>
      </c>
      <c r="C26" s="24">
        <v>23.1</v>
      </c>
      <c r="D26" s="24">
        <v>5.6</v>
      </c>
      <c r="E26" s="24">
        <v>4</v>
      </c>
      <c r="F26" s="24" t="s">
        <v>62</v>
      </c>
      <c r="G26" s="24">
        <v>116.8</v>
      </c>
      <c r="H26" s="24">
        <v>4.5999999999999996</v>
      </c>
      <c r="I26" s="24">
        <v>5.4</v>
      </c>
      <c r="J26" s="24">
        <v>106.8</v>
      </c>
    </row>
    <row r="27" spans="1:10" x14ac:dyDescent="0.25">
      <c r="A27" s="14" t="s">
        <v>94</v>
      </c>
      <c r="B27" s="24">
        <v>43.8</v>
      </c>
      <c r="C27" s="24" t="s">
        <v>62</v>
      </c>
      <c r="D27" s="24" t="s">
        <v>62</v>
      </c>
      <c r="E27" s="24">
        <v>1.5</v>
      </c>
      <c r="F27" s="24" t="s">
        <v>62</v>
      </c>
      <c r="G27" s="24">
        <v>42.4</v>
      </c>
      <c r="H27" s="24">
        <v>3.2</v>
      </c>
      <c r="I27" s="24">
        <v>0.4</v>
      </c>
      <c r="J27" s="24">
        <v>38.799999999999997</v>
      </c>
    </row>
    <row r="28" spans="1:10" x14ac:dyDescent="0.25">
      <c r="A28" s="14" t="s">
        <v>84</v>
      </c>
      <c r="B28" s="24">
        <v>137.5</v>
      </c>
      <c r="C28" s="24">
        <v>5.3</v>
      </c>
      <c r="D28" s="24">
        <v>15.3</v>
      </c>
      <c r="E28" s="24">
        <v>1.1000000000000001</v>
      </c>
      <c r="F28" s="24">
        <v>2.2999999999999998</v>
      </c>
      <c r="G28" s="24">
        <v>124</v>
      </c>
      <c r="H28" s="24">
        <v>9.8000000000000007</v>
      </c>
      <c r="I28" s="24">
        <v>3.6</v>
      </c>
      <c r="J28" s="24">
        <v>110.6</v>
      </c>
    </row>
    <row r="29" spans="1:10" x14ac:dyDescent="0.25">
      <c r="A29" s="14" t="s">
        <v>85</v>
      </c>
      <c r="B29" s="24">
        <v>159.30000000000001</v>
      </c>
      <c r="C29" s="24">
        <v>7.8</v>
      </c>
      <c r="D29" s="24">
        <v>13.1</v>
      </c>
      <c r="E29" s="24">
        <v>14</v>
      </c>
      <c r="F29" s="24">
        <v>0.9</v>
      </c>
      <c r="G29" s="24">
        <v>139.1</v>
      </c>
      <c r="H29" s="24">
        <v>14.4</v>
      </c>
      <c r="I29" s="24">
        <v>10.199999999999999</v>
      </c>
      <c r="J29" s="24">
        <v>114.5</v>
      </c>
    </row>
    <row r="30" spans="1:10" x14ac:dyDescent="0.25">
      <c r="A30" s="14" t="s">
        <v>86</v>
      </c>
      <c r="B30" s="24">
        <v>47.3</v>
      </c>
      <c r="C30" s="24">
        <v>9.6</v>
      </c>
      <c r="D30" s="24">
        <v>2.2000000000000002</v>
      </c>
      <c r="E30" s="24">
        <v>1.3</v>
      </c>
      <c r="F30" s="24">
        <v>0.5</v>
      </c>
      <c r="G30" s="24">
        <v>52.9</v>
      </c>
      <c r="H30" s="24">
        <v>3.2</v>
      </c>
      <c r="I30" s="24">
        <v>0.7</v>
      </c>
      <c r="J30" s="24">
        <v>49</v>
      </c>
    </row>
    <row r="31" spans="1:10" x14ac:dyDescent="0.25">
      <c r="A31" s="14" t="s">
        <v>95</v>
      </c>
      <c r="B31" s="24">
        <v>28.1</v>
      </c>
      <c r="C31" s="24">
        <v>13.6</v>
      </c>
      <c r="D31" s="24">
        <v>11.9</v>
      </c>
      <c r="E31" s="24">
        <v>2.2999999999999998</v>
      </c>
      <c r="F31" s="24">
        <v>0.2</v>
      </c>
      <c r="G31" s="24">
        <v>27.3</v>
      </c>
      <c r="H31" s="24">
        <v>1.4</v>
      </c>
      <c r="I31" s="24">
        <v>1.2</v>
      </c>
      <c r="J31" s="24">
        <v>24.6</v>
      </c>
    </row>
    <row r="32" spans="1:10" x14ac:dyDescent="0.25">
      <c r="A32" s="14" t="s">
        <v>87</v>
      </c>
      <c r="B32" s="24">
        <v>303.3</v>
      </c>
      <c r="C32" s="24">
        <v>8.8000000000000007</v>
      </c>
      <c r="D32" s="24">
        <v>14.5</v>
      </c>
      <c r="E32" s="24">
        <v>11.7</v>
      </c>
      <c r="F32" s="24">
        <v>4.3</v>
      </c>
      <c r="G32" s="24">
        <v>281.5</v>
      </c>
      <c r="H32" s="24">
        <v>15</v>
      </c>
      <c r="I32" s="24">
        <v>8.3000000000000007</v>
      </c>
      <c r="J32" s="24">
        <v>258.10000000000002</v>
      </c>
    </row>
    <row r="33" spans="1:10" x14ac:dyDescent="0.25">
      <c r="A33" s="14" t="s">
        <v>88</v>
      </c>
      <c r="B33" s="24">
        <v>148.80000000000001</v>
      </c>
      <c r="C33" s="24">
        <v>16.100000000000001</v>
      </c>
      <c r="D33" s="24">
        <v>14.7</v>
      </c>
      <c r="E33" s="24">
        <v>3.7</v>
      </c>
      <c r="F33" s="24">
        <v>1.9</v>
      </c>
      <c r="G33" s="24">
        <v>144.5</v>
      </c>
      <c r="H33" s="24">
        <v>10.8</v>
      </c>
      <c r="I33" s="24">
        <v>2.7</v>
      </c>
      <c r="J33" s="24">
        <v>131.1</v>
      </c>
    </row>
    <row r="34" spans="1:10" x14ac:dyDescent="0.25">
      <c r="A34" s="14" t="s">
        <v>89</v>
      </c>
      <c r="B34" s="24">
        <v>68</v>
      </c>
      <c r="C34" s="24">
        <v>34.799999999999997</v>
      </c>
      <c r="D34" s="24">
        <v>36.9</v>
      </c>
      <c r="E34" s="24">
        <v>2.1</v>
      </c>
      <c r="F34" s="24">
        <v>2.1</v>
      </c>
      <c r="G34" s="24">
        <v>61.7</v>
      </c>
      <c r="H34" s="24">
        <v>4.2</v>
      </c>
      <c r="I34" s="24" t="s">
        <v>62</v>
      </c>
      <c r="J34" s="24">
        <v>57.4</v>
      </c>
    </row>
    <row r="35" spans="1:10" x14ac:dyDescent="0.25">
      <c r="A35" s="14" t="s">
        <v>90</v>
      </c>
      <c r="B35" s="24">
        <v>191.6</v>
      </c>
      <c r="C35" s="24">
        <v>0.9</v>
      </c>
      <c r="D35" s="24">
        <v>2.4</v>
      </c>
      <c r="E35" s="24">
        <v>8.1999999999999993</v>
      </c>
      <c r="F35" s="24" t="s">
        <v>62</v>
      </c>
      <c r="G35" s="24">
        <v>181.8</v>
      </c>
      <c r="H35" s="24">
        <v>26.6</v>
      </c>
      <c r="I35" s="24">
        <v>2.2999999999999998</v>
      </c>
      <c r="J35" s="24">
        <v>152.80000000000001</v>
      </c>
    </row>
    <row r="36" spans="1:10" x14ac:dyDescent="0.25">
      <c r="A36" s="14" t="s">
        <v>96</v>
      </c>
      <c r="B36" s="24">
        <v>396.1</v>
      </c>
      <c r="C36" s="24">
        <v>8.6</v>
      </c>
      <c r="D36" s="24">
        <v>3.4</v>
      </c>
      <c r="E36" s="24">
        <v>17.7</v>
      </c>
      <c r="F36" s="24">
        <v>5.0999999999999996</v>
      </c>
      <c r="G36" s="24">
        <v>378.6</v>
      </c>
      <c r="H36" s="24">
        <v>28</v>
      </c>
      <c r="I36" s="24">
        <v>8.6999999999999993</v>
      </c>
      <c r="J36" s="24">
        <v>341.9</v>
      </c>
    </row>
    <row r="37" spans="1:10" x14ac:dyDescent="0.25">
      <c r="A37" s="14" t="s">
        <v>97</v>
      </c>
      <c r="B37" s="24">
        <v>4348.8999999999996</v>
      </c>
      <c r="C37" s="24">
        <v>51.4</v>
      </c>
      <c r="D37" s="24">
        <v>20.100000000000001</v>
      </c>
      <c r="E37" s="24">
        <v>159.30000000000001</v>
      </c>
      <c r="F37" s="24">
        <v>32.799999999999997</v>
      </c>
      <c r="G37" s="24">
        <v>4188</v>
      </c>
      <c r="H37" s="24">
        <v>267</v>
      </c>
      <c r="I37" s="24">
        <v>96.1</v>
      </c>
      <c r="J37" s="24">
        <v>3824.8</v>
      </c>
    </row>
    <row r="38" spans="1:10" s="1" customFormat="1" x14ac:dyDescent="0.25">
      <c r="A38" s="35" t="s">
        <v>98</v>
      </c>
      <c r="B38" s="36">
        <v>10718.5</v>
      </c>
      <c r="C38" s="36">
        <v>408.6</v>
      </c>
      <c r="D38" s="36">
        <v>399.9</v>
      </c>
      <c r="E38" s="36">
        <v>439.8</v>
      </c>
      <c r="F38" s="36">
        <v>101.7</v>
      </c>
      <c r="G38" s="36">
        <v>10185.700000000001</v>
      </c>
      <c r="H38" s="36">
        <v>679.5</v>
      </c>
      <c r="I38" s="36">
        <v>266.7</v>
      </c>
      <c r="J38" s="36">
        <v>9239.5</v>
      </c>
    </row>
    <row r="39" spans="1:10" x14ac:dyDescent="0.25">
      <c r="A39" s="14" t="s">
        <v>99</v>
      </c>
      <c r="B39" s="24">
        <v>3612.5</v>
      </c>
      <c r="C39" s="24">
        <v>337.5</v>
      </c>
      <c r="D39" s="24">
        <v>333.6</v>
      </c>
      <c r="E39" s="24">
        <v>170.6</v>
      </c>
      <c r="F39" s="24">
        <v>50.3</v>
      </c>
      <c r="G39" s="24">
        <v>3395.6</v>
      </c>
      <c r="H39" s="24">
        <v>229</v>
      </c>
      <c r="I39" s="24">
        <v>106.2</v>
      </c>
      <c r="J39" s="24">
        <v>3060.4</v>
      </c>
    </row>
    <row r="40" spans="1:10" x14ac:dyDescent="0.25">
      <c r="A40" s="14" t="s">
        <v>100</v>
      </c>
      <c r="B40" s="24">
        <v>1859.8</v>
      </c>
      <c r="C40" s="24" t="s">
        <v>62</v>
      </c>
      <c r="D40" s="24" t="s">
        <v>62</v>
      </c>
      <c r="E40" s="24">
        <v>77.2</v>
      </c>
      <c r="F40" s="24">
        <v>18.399999999999999</v>
      </c>
      <c r="G40" s="24">
        <v>1764.2</v>
      </c>
      <c r="H40" s="24">
        <v>87.4</v>
      </c>
      <c r="I40" s="24">
        <v>27.2</v>
      </c>
      <c r="J40" s="24">
        <v>1649.6</v>
      </c>
    </row>
    <row r="41" spans="1:10" s="37" customFormat="1" x14ac:dyDescent="0.25">
      <c r="A41" s="29" t="s">
        <v>101</v>
      </c>
      <c r="B41" s="30">
        <v>5246.2</v>
      </c>
      <c r="C41" s="30">
        <v>71.099999999999994</v>
      </c>
      <c r="D41" s="30">
        <v>66.3</v>
      </c>
      <c r="E41" s="30">
        <v>192</v>
      </c>
      <c r="F41" s="30">
        <v>33</v>
      </c>
      <c r="G41" s="30">
        <v>5025.8999999999996</v>
      </c>
      <c r="H41" s="30">
        <v>363.1</v>
      </c>
      <c r="I41" s="30">
        <v>133.19999999999999</v>
      </c>
      <c r="J41" s="30">
        <v>4529.5</v>
      </c>
    </row>
    <row r="42" spans="1:10" x14ac:dyDescent="0.25">
      <c r="A42" s="33" t="s">
        <v>45</v>
      </c>
      <c r="B42" s="6" t="s">
        <v>63</v>
      </c>
      <c r="C42" s="15"/>
      <c r="D42" s="15"/>
      <c r="E42" s="6"/>
      <c r="F42" s="6"/>
      <c r="G42" s="15"/>
      <c r="H42" s="15"/>
      <c r="I42" s="6"/>
      <c r="J42" s="16"/>
    </row>
    <row r="43" spans="1:10" x14ac:dyDescent="0.25">
      <c r="A43" s="34"/>
      <c r="B43" s="8"/>
      <c r="C43" s="18"/>
      <c r="D43" s="18"/>
      <c r="E43" s="8"/>
      <c r="F43" s="8"/>
      <c r="G43" s="18"/>
      <c r="H43" s="18"/>
      <c r="I43" s="8"/>
      <c r="J43" s="19"/>
    </row>
    <row r="44" spans="1:10" x14ac:dyDescent="0.25">
      <c r="A44" s="17" t="s">
        <v>46</v>
      </c>
      <c r="B44" s="18"/>
      <c r="C44" s="18"/>
      <c r="D44" s="18"/>
      <c r="E44" s="18"/>
      <c r="F44" s="18"/>
      <c r="G44" s="18"/>
      <c r="H44" s="18"/>
      <c r="I44" s="18"/>
      <c r="J44" s="19"/>
    </row>
    <row r="45" spans="1:10" x14ac:dyDescent="0.25">
      <c r="A45" s="17" t="s">
        <v>47</v>
      </c>
      <c r="B45" s="18"/>
      <c r="C45" s="18"/>
      <c r="D45" s="18"/>
      <c r="E45" s="18"/>
      <c r="F45" s="18"/>
      <c r="G45" s="18"/>
      <c r="H45" s="18"/>
      <c r="I45" s="18"/>
      <c r="J45" s="19"/>
    </row>
    <row r="46" spans="1:10" x14ac:dyDescent="0.25">
      <c r="A46" s="17" t="s">
        <v>48</v>
      </c>
      <c r="B46" s="18"/>
      <c r="C46" s="18"/>
      <c r="D46" s="18"/>
      <c r="E46" s="18"/>
      <c r="F46" s="18"/>
      <c r="G46" s="18"/>
      <c r="H46" s="18"/>
      <c r="I46" s="18"/>
      <c r="J46" s="19"/>
    </row>
    <row r="47" spans="1:10" x14ac:dyDescent="0.25">
      <c r="A47" s="17" t="s">
        <v>49</v>
      </c>
      <c r="B47" s="18"/>
      <c r="C47" s="18"/>
      <c r="D47" s="18"/>
      <c r="E47" s="18"/>
      <c r="F47" s="18"/>
      <c r="G47" s="18"/>
      <c r="H47" s="18"/>
      <c r="I47" s="18"/>
      <c r="J47" s="19"/>
    </row>
    <row r="48" spans="1:10" x14ac:dyDescent="0.25">
      <c r="A48" s="17" t="s">
        <v>50</v>
      </c>
      <c r="B48" s="18"/>
      <c r="C48" s="18"/>
      <c r="D48" s="18"/>
      <c r="E48" s="18"/>
      <c r="F48" s="18"/>
      <c r="G48" s="18"/>
      <c r="H48" s="18"/>
      <c r="I48" s="18"/>
      <c r="J48" s="19"/>
    </row>
    <row r="49" spans="1:10" x14ac:dyDescent="0.25">
      <c r="A49" s="38" t="s">
        <v>51</v>
      </c>
      <c r="B49" s="20"/>
      <c r="C49" s="20"/>
      <c r="D49" s="20"/>
      <c r="E49" s="20"/>
      <c r="F49" s="20"/>
      <c r="G49" s="20"/>
      <c r="H49" s="20"/>
      <c r="I49" s="20"/>
      <c r="J49" s="21"/>
    </row>
    <row r="50" spans="1:10" x14ac:dyDescent="0.25">
      <c r="A50" t="s">
        <v>52</v>
      </c>
    </row>
  </sheetData>
  <hyperlinks>
    <hyperlink ref="H1" r:id="rId1"/>
  </hyperlinks>
  <pageMargins left="0.7" right="0.7" top="0.78740157499999996" bottom="0.78740157499999996" header="0.3" footer="0.3"/>
  <pageSetup paperSize="9" orientation="portrait"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zoomScale="80" zoomScaleNormal="80" workbookViewId="0">
      <selection activeCell="H1" sqref="H1"/>
    </sheetView>
  </sheetViews>
  <sheetFormatPr baseColWidth="10" defaultRowHeight="15" x14ac:dyDescent="0.25"/>
  <cols>
    <col min="1" max="1" width="16" customWidth="1"/>
    <col min="2" max="2" width="19" bestFit="1" customWidth="1"/>
    <col min="3" max="6" width="13.28515625" customWidth="1"/>
    <col min="7" max="7" width="12.42578125" customWidth="1"/>
    <col min="8" max="8" width="17.85546875" bestFit="1" customWidth="1"/>
    <col min="9" max="9" width="16.28515625" bestFit="1" customWidth="1"/>
    <col min="10" max="10" width="20.5703125" bestFit="1" customWidth="1"/>
  </cols>
  <sheetData>
    <row r="1" spans="1:10" x14ac:dyDescent="0.25">
      <c r="A1" s="4" t="s">
        <v>0</v>
      </c>
      <c r="B1" s="5"/>
      <c r="C1" s="5"/>
      <c r="D1" s="5" t="s">
        <v>1</v>
      </c>
      <c r="E1" s="6"/>
      <c r="F1" s="6"/>
      <c r="G1" s="6"/>
      <c r="H1" s="50" t="s">
        <v>375</v>
      </c>
      <c r="I1" s="6"/>
      <c r="J1" s="7"/>
    </row>
    <row r="2" spans="1:10" s="3" customFormat="1" ht="16.5" customHeight="1" x14ac:dyDescent="0.25">
      <c r="A2" s="25" t="s">
        <v>61</v>
      </c>
      <c r="B2" s="26"/>
      <c r="C2" s="26"/>
      <c r="D2" s="26"/>
      <c r="E2" s="27"/>
      <c r="F2" s="27"/>
      <c r="G2" s="27"/>
      <c r="H2" s="27"/>
      <c r="I2" s="27"/>
      <c r="J2" s="28"/>
    </row>
    <row r="3" spans="1:10" x14ac:dyDescent="0.25">
      <c r="A3" s="9" t="s">
        <v>2</v>
      </c>
      <c r="B3" s="10"/>
      <c r="C3" s="10"/>
      <c r="D3" s="10"/>
      <c r="E3" s="11"/>
      <c r="F3" s="11"/>
      <c r="G3" s="11"/>
      <c r="H3" s="11"/>
      <c r="I3" s="11"/>
      <c r="J3" s="12"/>
    </row>
    <row r="4" spans="1:10" s="1" customFormat="1" x14ac:dyDescent="0.25">
      <c r="A4" s="2"/>
      <c r="B4" s="22" t="s">
        <v>53</v>
      </c>
      <c r="C4" s="22" t="s">
        <v>54</v>
      </c>
      <c r="D4" s="22" t="s">
        <v>55</v>
      </c>
      <c r="E4" s="22" t="s">
        <v>56</v>
      </c>
      <c r="F4" s="22" t="s">
        <v>57</v>
      </c>
      <c r="G4" s="22" t="s">
        <v>3</v>
      </c>
      <c r="H4" s="22" t="s">
        <v>58</v>
      </c>
      <c r="I4" s="22" t="s">
        <v>59</v>
      </c>
      <c r="J4" s="22" t="s">
        <v>60</v>
      </c>
    </row>
    <row r="5" spans="1:10" x14ac:dyDescent="0.25">
      <c r="A5" s="13" t="s">
        <v>4</v>
      </c>
      <c r="B5" s="23">
        <v>37.200000000000003</v>
      </c>
      <c r="C5" s="23">
        <v>0.3</v>
      </c>
      <c r="D5" s="23">
        <v>0.3</v>
      </c>
      <c r="E5" s="23">
        <v>2.7</v>
      </c>
      <c r="F5" s="23" t="s">
        <v>62</v>
      </c>
      <c r="G5" s="23">
        <v>34.5</v>
      </c>
      <c r="H5" s="23">
        <v>6.6</v>
      </c>
      <c r="I5" s="23">
        <v>0.5</v>
      </c>
      <c r="J5" s="23">
        <v>27.3</v>
      </c>
    </row>
    <row r="6" spans="1:10" x14ac:dyDescent="0.25">
      <c r="A6" s="14" t="s">
        <v>6</v>
      </c>
      <c r="B6" s="24">
        <v>3.8</v>
      </c>
      <c r="C6" s="24" t="s">
        <v>62</v>
      </c>
      <c r="D6" s="24" t="s">
        <v>62</v>
      </c>
      <c r="E6" s="24">
        <v>0.2</v>
      </c>
      <c r="F6" s="24" t="s">
        <v>62</v>
      </c>
      <c r="G6" s="24">
        <v>3.6</v>
      </c>
      <c r="H6" s="24">
        <v>0.5</v>
      </c>
      <c r="I6" s="24" t="s">
        <v>62</v>
      </c>
      <c r="J6" s="24">
        <v>3</v>
      </c>
    </row>
    <row r="7" spans="1:10" x14ac:dyDescent="0.25">
      <c r="A7" s="14" t="s">
        <v>7</v>
      </c>
      <c r="B7" s="24">
        <v>0.1</v>
      </c>
      <c r="C7" s="24">
        <v>0.6</v>
      </c>
      <c r="D7" s="24" t="s">
        <v>62</v>
      </c>
      <c r="E7" s="24" t="s">
        <v>62</v>
      </c>
      <c r="F7" s="24" t="s">
        <v>62</v>
      </c>
      <c r="G7" s="24">
        <v>0.7</v>
      </c>
      <c r="H7" s="24">
        <v>0.1</v>
      </c>
      <c r="I7" s="24" t="s">
        <v>62</v>
      </c>
      <c r="J7" s="24">
        <v>0.6</v>
      </c>
    </row>
    <row r="8" spans="1:10" x14ac:dyDescent="0.25">
      <c r="A8" s="14" t="s">
        <v>8</v>
      </c>
      <c r="B8" s="24">
        <v>1.1000000000000001</v>
      </c>
      <c r="C8" s="24">
        <v>1.8</v>
      </c>
      <c r="D8" s="24" t="s">
        <v>62</v>
      </c>
      <c r="E8" s="24">
        <v>0.1</v>
      </c>
      <c r="F8" s="24" t="s">
        <v>62</v>
      </c>
      <c r="G8" s="24">
        <v>2.8</v>
      </c>
      <c r="H8" s="24">
        <v>0.2</v>
      </c>
      <c r="I8" s="24" t="s">
        <v>62</v>
      </c>
      <c r="J8" s="24">
        <v>2.6</v>
      </c>
    </row>
    <row r="9" spans="1:10" x14ac:dyDescent="0.25">
      <c r="A9" s="14" t="s">
        <v>9</v>
      </c>
      <c r="B9" s="24">
        <v>5.8</v>
      </c>
      <c r="C9" s="24" t="s">
        <v>62</v>
      </c>
      <c r="D9" s="24" t="s">
        <v>62</v>
      </c>
      <c r="E9" s="24">
        <v>0.5</v>
      </c>
      <c r="F9" s="24" t="s">
        <v>62</v>
      </c>
      <c r="G9" s="24">
        <v>5.3</v>
      </c>
      <c r="H9" s="24">
        <v>0.8</v>
      </c>
      <c r="I9" s="24" t="s">
        <v>62</v>
      </c>
      <c r="J9" s="24">
        <v>4.5</v>
      </c>
    </row>
    <row r="10" spans="1:10" x14ac:dyDescent="0.25">
      <c r="A10" s="14" t="s">
        <v>10</v>
      </c>
      <c r="B10" s="24">
        <v>0.4</v>
      </c>
      <c r="C10" s="24">
        <v>0.4</v>
      </c>
      <c r="D10" s="24" t="s">
        <v>62</v>
      </c>
      <c r="E10" s="24">
        <v>0.1</v>
      </c>
      <c r="F10" s="24" t="s">
        <v>62</v>
      </c>
      <c r="G10" s="24">
        <v>0.8</v>
      </c>
      <c r="H10" s="24">
        <v>0.4</v>
      </c>
      <c r="I10" s="24" t="s">
        <v>62</v>
      </c>
      <c r="J10" s="24">
        <v>0.4</v>
      </c>
    </row>
    <row r="11" spans="1:10" x14ac:dyDescent="0.25">
      <c r="A11" s="14" t="s">
        <v>11</v>
      </c>
      <c r="B11" s="24">
        <v>8.3000000000000007</v>
      </c>
      <c r="C11" s="24">
        <v>0</v>
      </c>
      <c r="D11" s="24">
        <v>1.9</v>
      </c>
      <c r="E11" s="24">
        <v>0</v>
      </c>
      <c r="F11" s="24" t="s">
        <v>62</v>
      </c>
      <c r="G11" s="24">
        <v>6.4</v>
      </c>
      <c r="H11" s="24">
        <v>0.3</v>
      </c>
      <c r="I11" s="24">
        <v>3.3</v>
      </c>
      <c r="J11" s="24">
        <v>2.8</v>
      </c>
    </row>
    <row r="12" spans="1:10" x14ac:dyDescent="0.25">
      <c r="A12" s="14" t="s">
        <v>12</v>
      </c>
      <c r="B12" s="24">
        <v>5.6</v>
      </c>
      <c r="C12" s="24" t="s">
        <v>62</v>
      </c>
      <c r="D12" s="24">
        <v>0.8</v>
      </c>
      <c r="E12" s="24">
        <v>0</v>
      </c>
      <c r="F12" s="24" t="s">
        <v>62</v>
      </c>
      <c r="G12" s="24">
        <v>4.8</v>
      </c>
      <c r="H12" s="24">
        <v>1.3</v>
      </c>
      <c r="I12" s="24" t="s">
        <v>62</v>
      </c>
      <c r="J12" s="24">
        <v>3.5</v>
      </c>
    </row>
    <row r="13" spans="1:10" x14ac:dyDescent="0.25">
      <c r="A13" s="14" t="s">
        <v>13</v>
      </c>
      <c r="B13" s="24">
        <v>125.1</v>
      </c>
      <c r="C13" s="24">
        <v>0.3</v>
      </c>
      <c r="D13" s="24">
        <v>0.8</v>
      </c>
      <c r="E13" s="24">
        <v>4.2</v>
      </c>
      <c r="F13" s="24" t="s">
        <v>62</v>
      </c>
      <c r="G13" s="24">
        <v>120.3</v>
      </c>
      <c r="H13" s="24">
        <v>13.8</v>
      </c>
      <c r="I13" s="24" t="s">
        <v>62</v>
      </c>
      <c r="J13" s="24">
        <v>106.6</v>
      </c>
    </row>
    <row r="14" spans="1:10" x14ac:dyDescent="0.25">
      <c r="A14" s="14" t="s">
        <v>14</v>
      </c>
      <c r="B14" s="24">
        <v>0.3</v>
      </c>
      <c r="C14" s="24" t="s">
        <v>62</v>
      </c>
      <c r="D14" s="24" t="s">
        <v>62</v>
      </c>
      <c r="E14" s="24">
        <v>0</v>
      </c>
      <c r="F14" s="24" t="s">
        <v>62</v>
      </c>
      <c r="G14" s="24">
        <v>0.3</v>
      </c>
      <c r="H14" s="24">
        <v>0</v>
      </c>
      <c r="I14" s="24" t="s">
        <v>62</v>
      </c>
      <c r="J14" s="24">
        <v>0.2</v>
      </c>
    </row>
    <row r="15" spans="1:10" x14ac:dyDescent="0.25">
      <c r="A15" s="14" t="s">
        <v>15</v>
      </c>
      <c r="B15" s="24">
        <v>3.5</v>
      </c>
      <c r="C15" s="24" t="s">
        <v>62</v>
      </c>
      <c r="D15" s="24" t="s">
        <v>62</v>
      </c>
      <c r="E15" s="24">
        <v>0</v>
      </c>
      <c r="F15" s="24" t="s">
        <v>62</v>
      </c>
      <c r="G15" s="24">
        <v>3.5</v>
      </c>
      <c r="H15" s="24">
        <v>0.3</v>
      </c>
      <c r="I15" s="24" t="s">
        <v>62</v>
      </c>
      <c r="J15" s="24">
        <v>3.1</v>
      </c>
    </row>
    <row r="16" spans="1:10" x14ac:dyDescent="0.25">
      <c r="A16" s="14" t="s">
        <v>16</v>
      </c>
      <c r="B16" s="24">
        <v>1.8</v>
      </c>
      <c r="C16" s="24" t="s">
        <v>62</v>
      </c>
      <c r="D16" s="24" t="s">
        <v>62</v>
      </c>
      <c r="E16" s="24">
        <v>0.1</v>
      </c>
      <c r="F16" s="24" t="s">
        <v>62</v>
      </c>
      <c r="G16" s="24">
        <v>1.8</v>
      </c>
      <c r="H16" s="24">
        <v>0.3</v>
      </c>
      <c r="I16" s="24">
        <v>0</v>
      </c>
      <c r="J16" s="24">
        <v>1.4</v>
      </c>
    </row>
    <row r="17" spans="1:10" x14ac:dyDescent="0.25">
      <c r="A17" s="14" t="s">
        <v>17</v>
      </c>
      <c r="B17" s="24">
        <v>7</v>
      </c>
      <c r="C17" s="24">
        <v>0.4</v>
      </c>
      <c r="D17" s="24">
        <v>0.2</v>
      </c>
      <c r="E17" s="24">
        <v>0.4</v>
      </c>
      <c r="F17" s="24" t="s">
        <v>62</v>
      </c>
      <c r="G17" s="24">
        <v>6.8</v>
      </c>
      <c r="H17" s="24">
        <v>1.2</v>
      </c>
      <c r="I17" s="24" t="s">
        <v>62</v>
      </c>
      <c r="J17" s="24">
        <v>5.6</v>
      </c>
    </row>
    <row r="18" spans="1:10" x14ac:dyDescent="0.25">
      <c r="A18" s="14" t="s">
        <v>18</v>
      </c>
      <c r="B18" s="24">
        <v>6.8</v>
      </c>
      <c r="C18" s="24">
        <v>0</v>
      </c>
      <c r="D18" s="24">
        <v>0</v>
      </c>
      <c r="E18" s="24">
        <v>0.2</v>
      </c>
      <c r="F18" s="24" t="s">
        <v>62</v>
      </c>
      <c r="G18" s="24">
        <v>6.6</v>
      </c>
      <c r="H18" s="24">
        <v>1</v>
      </c>
      <c r="I18" s="24" t="s">
        <v>62</v>
      </c>
      <c r="J18" s="24">
        <v>5.5</v>
      </c>
    </row>
    <row r="19" spans="1:10" x14ac:dyDescent="0.25">
      <c r="A19" s="14" t="s">
        <v>19</v>
      </c>
      <c r="B19" s="24">
        <v>25.7</v>
      </c>
      <c r="C19" s="24">
        <v>0.1</v>
      </c>
      <c r="D19" s="24">
        <v>0.1</v>
      </c>
      <c r="E19" s="24">
        <v>2</v>
      </c>
      <c r="F19" s="24" t="s">
        <v>62</v>
      </c>
      <c r="G19" s="24">
        <v>23.7</v>
      </c>
      <c r="H19" s="24">
        <v>1.8</v>
      </c>
      <c r="I19" s="24" t="s">
        <v>62</v>
      </c>
      <c r="J19" s="24">
        <v>21.9</v>
      </c>
    </row>
    <row r="20" spans="1:10" x14ac:dyDescent="0.25">
      <c r="A20" s="14" t="s">
        <v>20</v>
      </c>
      <c r="B20" s="24">
        <v>22.9</v>
      </c>
      <c r="C20" s="24">
        <v>3.5</v>
      </c>
      <c r="D20" s="24" t="s">
        <v>62</v>
      </c>
      <c r="E20" s="24">
        <v>1</v>
      </c>
      <c r="F20" s="24" t="s">
        <v>62</v>
      </c>
      <c r="G20" s="24">
        <v>25.4</v>
      </c>
      <c r="H20" s="24">
        <v>4.2</v>
      </c>
      <c r="I20" s="24">
        <v>0.6</v>
      </c>
      <c r="J20" s="24">
        <v>20.5</v>
      </c>
    </row>
    <row r="21" spans="1:10" x14ac:dyDescent="0.25">
      <c r="A21" s="14" t="s">
        <v>21</v>
      </c>
      <c r="B21" s="24">
        <v>16.100000000000001</v>
      </c>
      <c r="C21" s="24">
        <v>8.3000000000000007</v>
      </c>
      <c r="D21" s="24">
        <v>11.8</v>
      </c>
      <c r="E21" s="24">
        <v>0.1</v>
      </c>
      <c r="F21" s="24" t="s">
        <v>62</v>
      </c>
      <c r="G21" s="24">
        <v>12.4</v>
      </c>
      <c r="H21" s="24">
        <v>2.2000000000000002</v>
      </c>
      <c r="I21" s="24" t="s">
        <v>62</v>
      </c>
      <c r="J21" s="24">
        <v>10.199999999999999</v>
      </c>
    </row>
    <row r="22" spans="1:10" x14ac:dyDescent="0.25">
      <c r="A22" s="14" t="s">
        <v>22</v>
      </c>
      <c r="B22" s="24">
        <v>1.7</v>
      </c>
      <c r="C22" s="24">
        <v>2</v>
      </c>
      <c r="D22" s="24">
        <v>0</v>
      </c>
      <c r="E22" s="24" t="s">
        <v>62</v>
      </c>
      <c r="F22" s="24" t="s">
        <v>62</v>
      </c>
      <c r="G22" s="24">
        <v>3.7</v>
      </c>
      <c r="H22" s="24">
        <v>0.5</v>
      </c>
      <c r="I22" s="24" t="s">
        <v>62</v>
      </c>
      <c r="J22" s="24">
        <v>3.2</v>
      </c>
    </row>
    <row r="23" spans="1:10" x14ac:dyDescent="0.25">
      <c r="A23" s="14" t="s">
        <v>23</v>
      </c>
      <c r="B23" s="24">
        <v>23</v>
      </c>
      <c r="C23" s="24" t="s">
        <v>62</v>
      </c>
      <c r="D23" s="24" t="s">
        <v>62</v>
      </c>
      <c r="E23" s="24">
        <v>0.6</v>
      </c>
      <c r="F23" s="24" t="s">
        <v>62</v>
      </c>
      <c r="G23" s="24">
        <v>22.4</v>
      </c>
      <c r="H23" s="24">
        <v>2.7</v>
      </c>
      <c r="I23" s="24" t="s">
        <v>62</v>
      </c>
      <c r="J23" s="24">
        <v>19.7</v>
      </c>
    </row>
    <row r="24" spans="1:10" x14ac:dyDescent="0.25">
      <c r="A24" s="14" t="s">
        <v>24</v>
      </c>
      <c r="B24" s="24">
        <v>2</v>
      </c>
      <c r="C24" s="24" t="s">
        <v>62</v>
      </c>
      <c r="D24" s="24" t="s">
        <v>62</v>
      </c>
      <c r="E24" s="24">
        <v>0.1</v>
      </c>
      <c r="F24" s="24" t="s">
        <v>62</v>
      </c>
      <c r="G24" s="24">
        <v>1.9</v>
      </c>
      <c r="H24" s="24">
        <v>0.5</v>
      </c>
      <c r="I24" s="24" t="s">
        <v>62</v>
      </c>
      <c r="J24" s="24">
        <v>1.5</v>
      </c>
    </row>
    <row r="25" spans="1:10" x14ac:dyDescent="0.25">
      <c r="A25" s="14" t="s">
        <v>25</v>
      </c>
      <c r="B25" s="24">
        <v>263.5</v>
      </c>
      <c r="C25" s="24">
        <v>11.3</v>
      </c>
      <c r="D25" s="24">
        <v>14.2</v>
      </c>
      <c r="E25" s="24">
        <v>14.9</v>
      </c>
      <c r="F25" s="24">
        <v>4.2</v>
      </c>
      <c r="G25" s="24">
        <v>241.4</v>
      </c>
      <c r="H25" s="24">
        <v>22</v>
      </c>
      <c r="I25" s="24">
        <v>11.4</v>
      </c>
      <c r="J25" s="24">
        <v>208</v>
      </c>
    </row>
    <row r="26" spans="1:10" x14ac:dyDescent="0.25">
      <c r="A26" s="14" t="s">
        <v>26</v>
      </c>
      <c r="B26" s="24">
        <v>4.5</v>
      </c>
      <c r="C26" s="24" t="s">
        <v>62</v>
      </c>
      <c r="D26" s="24" t="s">
        <v>62</v>
      </c>
      <c r="E26" s="24">
        <v>0</v>
      </c>
      <c r="F26" s="24" t="s">
        <v>62</v>
      </c>
      <c r="G26" s="24">
        <v>4.5</v>
      </c>
      <c r="H26" s="24">
        <v>0.9</v>
      </c>
      <c r="I26" s="24" t="s">
        <v>62</v>
      </c>
      <c r="J26" s="24">
        <v>3.6</v>
      </c>
    </row>
    <row r="27" spans="1:10" x14ac:dyDescent="0.25">
      <c r="A27" s="14" t="s">
        <v>27</v>
      </c>
      <c r="B27" s="24">
        <v>4.2</v>
      </c>
      <c r="C27" s="24" t="s">
        <v>62</v>
      </c>
      <c r="D27" s="24" t="s">
        <v>62</v>
      </c>
      <c r="E27" s="24" t="s">
        <v>62</v>
      </c>
      <c r="F27" s="24" t="s">
        <v>62</v>
      </c>
      <c r="G27" s="24">
        <v>4.2</v>
      </c>
      <c r="H27" s="24">
        <v>0.8</v>
      </c>
      <c r="I27" s="24">
        <v>0.1</v>
      </c>
      <c r="J27" s="24">
        <v>3.3</v>
      </c>
    </row>
    <row r="28" spans="1:10" x14ac:dyDescent="0.25">
      <c r="A28" s="14" t="s">
        <v>28</v>
      </c>
      <c r="B28" s="24">
        <v>0.2</v>
      </c>
      <c r="C28" s="24">
        <v>0.5</v>
      </c>
      <c r="D28" s="24" t="s">
        <v>62</v>
      </c>
      <c r="E28" s="24" t="s">
        <v>62</v>
      </c>
      <c r="F28" s="24" t="s">
        <v>62</v>
      </c>
      <c r="G28" s="24">
        <v>0.7</v>
      </c>
      <c r="H28" s="24">
        <v>0.1</v>
      </c>
      <c r="I28" s="24" t="s">
        <v>62</v>
      </c>
      <c r="J28" s="24">
        <v>0.6</v>
      </c>
    </row>
    <row r="29" spans="1:10" x14ac:dyDescent="0.25">
      <c r="A29" s="14" t="s">
        <v>29</v>
      </c>
      <c r="B29" s="24">
        <v>14.7</v>
      </c>
      <c r="C29" s="24" t="s">
        <v>62</v>
      </c>
      <c r="D29" s="24" t="s">
        <v>62</v>
      </c>
      <c r="E29" s="24">
        <v>0.7</v>
      </c>
      <c r="F29" s="24" t="s">
        <v>62</v>
      </c>
      <c r="G29" s="24">
        <v>14</v>
      </c>
      <c r="H29" s="24">
        <v>1.9</v>
      </c>
      <c r="I29" s="24" t="s">
        <v>62</v>
      </c>
      <c r="J29" s="24">
        <v>12.1</v>
      </c>
    </row>
    <row r="30" spans="1:10" x14ac:dyDescent="0.25">
      <c r="A30" s="14" t="s">
        <v>30</v>
      </c>
      <c r="B30" s="24">
        <v>9.9</v>
      </c>
      <c r="C30" s="24" t="s">
        <v>62</v>
      </c>
      <c r="D30" s="24">
        <v>0.3</v>
      </c>
      <c r="E30" s="24">
        <v>0.2</v>
      </c>
      <c r="F30" s="24" t="s">
        <v>62</v>
      </c>
      <c r="G30" s="24">
        <v>9.4</v>
      </c>
      <c r="H30" s="24">
        <v>0.7</v>
      </c>
      <c r="I30" s="24" t="s">
        <v>62</v>
      </c>
      <c r="J30" s="24">
        <v>8.6</v>
      </c>
    </row>
    <row r="31" spans="1:10" x14ac:dyDescent="0.25">
      <c r="A31" s="14" t="s">
        <v>31</v>
      </c>
      <c r="B31" s="24">
        <v>9.1999999999999993</v>
      </c>
      <c r="C31" s="24">
        <v>2.7</v>
      </c>
      <c r="D31" s="24">
        <v>0</v>
      </c>
      <c r="E31" s="24">
        <v>0.3</v>
      </c>
      <c r="F31" s="24" t="s">
        <v>62</v>
      </c>
      <c r="G31" s="24">
        <v>11.5</v>
      </c>
      <c r="H31" s="24">
        <v>0.7</v>
      </c>
      <c r="I31" s="24" t="s">
        <v>62</v>
      </c>
      <c r="J31" s="24">
        <v>10.9</v>
      </c>
    </row>
    <row r="32" spans="1:10" x14ac:dyDescent="0.25">
      <c r="A32" s="14" t="s">
        <v>32</v>
      </c>
      <c r="B32" s="24">
        <v>13.8</v>
      </c>
      <c r="C32" s="24">
        <v>1.6</v>
      </c>
      <c r="D32" s="24">
        <v>0.1</v>
      </c>
      <c r="E32" s="24">
        <v>0.3</v>
      </c>
      <c r="F32" s="24" t="s">
        <v>62</v>
      </c>
      <c r="G32" s="24">
        <v>15.1</v>
      </c>
      <c r="H32" s="24">
        <v>1.6</v>
      </c>
      <c r="I32" s="24">
        <v>0.2</v>
      </c>
      <c r="J32" s="24">
        <v>13.2</v>
      </c>
    </row>
    <row r="33" spans="1:10" x14ac:dyDescent="0.25">
      <c r="A33" s="31" t="s">
        <v>33</v>
      </c>
      <c r="B33" s="32">
        <v>618.1</v>
      </c>
      <c r="C33" s="32">
        <v>33.799999999999997</v>
      </c>
      <c r="D33" s="32">
        <v>30.7</v>
      </c>
      <c r="E33" s="32">
        <v>28.7</v>
      </c>
      <c r="F33" s="32">
        <v>4.2</v>
      </c>
      <c r="G33" s="32">
        <v>588.20000000000005</v>
      </c>
      <c r="H33" s="32">
        <v>67.599999999999994</v>
      </c>
      <c r="I33" s="32">
        <v>16.2</v>
      </c>
      <c r="J33" s="32">
        <v>504.4</v>
      </c>
    </row>
    <row r="34" spans="1:10" x14ac:dyDescent="0.25">
      <c r="A34" s="14" t="s">
        <v>34</v>
      </c>
      <c r="B34" s="24">
        <v>115.3</v>
      </c>
      <c r="C34" s="24">
        <v>10.3</v>
      </c>
      <c r="D34" s="24">
        <v>2.6</v>
      </c>
      <c r="E34" s="24">
        <v>3.9</v>
      </c>
      <c r="F34" s="24">
        <v>0.4</v>
      </c>
      <c r="G34" s="24">
        <v>118.6</v>
      </c>
      <c r="H34" s="24">
        <v>18</v>
      </c>
      <c r="I34" s="24" t="s">
        <v>62</v>
      </c>
      <c r="J34" s="24">
        <v>100.7</v>
      </c>
    </row>
    <row r="35" spans="1:10" x14ac:dyDescent="0.25">
      <c r="A35" s="14" t="s">
        <v>35</v>
      </c>
      <c r="B35" s="24">
        <v>5.7</v>
      </c>
      <c r="C35" s="24" t="s">
        <v>62</v>
      </c>
      <c r="D35" s="24" t="s">
        <v>62</v>
      </c>
      <c r="E35" s="24">
        <v>0</v>
      </c>
      <c r="F35" s="24" t="s">
        <v>62</v>
      </c>
      <c r="G35" s="24">
        <v>5.7</v>
      </c>
      <c r="H35" s="24">
        <v>0.8</v>
      </c>
      <c r="I35" s="24" t="s">
        <v>62</v>
      </c>
      <c r="J35" s="24">
        <v>4.9000000000000004</v>
      </c>
    </row>
    <row r="36" spans="1:10" x14ac:dyDescent="0.25">
      <c r="A36" s="14" t="s">
        <v>36</v>
      </c>
      <c r="B36" s="24">
        <v>445.1</v>
      </c>
      <c r="C36" s="24">
        <v>40.9</v>
      </c>
      <c r="D36" s="24">
        <v>2</v>
      </c>
      <c r="E36" s="24">
        <v>17.3</v>
      </c>
      <c r="F36" s="24" t="s">
        <v>62</v>
      </c>
      <c r="G36" s="24">
        <v>466.7</v>
      </c>
      <c r="H36" s="24">
        <v>71.3</v>
      </c>
      <c r="I36" s="24" t="s">
        <v>62</v>
      </c>
      <c r="J36" s="24">
        <v>395.4</v>
      </c>
    </row>
    <row r="37" spans="1:10" x14ac:dyDescent="0.25">
      <c r="A37" s="14" t="s">
        <v>37</v>
      </c>
      <c r="B37" s="24">
        <v>58.5</v>
      </c>
      <c r="C37" s="24">
        <v>1.6</v>
      </c>
      <c r="D37" s="24" t="s">
        <v>62</v>
      </c>
      <c r="E37" s="24">
        <v>1.6</v>
      </c>
      <c r="F37" s="24" t="s">
        <v>62</v>
      </c>
      <c r="G37" s="24">
        <v>58.6</v>
      </c>
      <c r="H37" s="24">
        <v>4.9000000000000004</v>
      </c>
      <c r="I37" s="24">
        <v>0.6</v>
      </c>
      <c r="J37" s="24">
        <v>53</v>
      </c>
    </row>
    <row r="38" spans="1:10" x14ac:dyDescent="0.25">
      <c r="A38" s="14" t="s">
        <v>38</v>
      </c>
      <c r="B38" s="24">
        <v>55.3</v>
      </c>
      <c r="C38" s="24">
        <v>0</v>
      </c>
      <c r="D38" s="24">
        <v>0.9</v>
      </c>
      <c r="E38" s="24">
        <v>1.2</v>
      </c>
      <c r="F38" s="24" t="s">
        <v>62</v>
      </c>
      <c r="G38" s="24">
        <v>53.2</v>
      </c>
      <c r="H38" s="24">
        <v>11.1</v>
      </c>
      <c r="I38" s="24" t="s">
        <v>62</v>
      </c>
      <c r="J38" s="24">
        <v>42.1</v>
      </c>
    </row>
    <row r="39" spans="1:10" x14ac:dyDescent="0.25">
      <c r="A39" s="14" t="s">
        <v>39</v>
      </c>
      <c r="B39" s="24">
        <v>9.1</v>
      </c>
      <c r="C39" s="24">
        <v>0.2</v>
      </c>
      <c r="D39" s="24">
        <v>0</v>
      </c>
      <c r="E39" s="24">
        <v>0.1</v>
      </c>
      <c r="F39" s="24" t="s">
        <v>62</v>
      </c>
      <c r="G39" s="24">
        <v>9.1</v>
      </c>
      <c r="H39" s="24">
        <v>0.9</v>
      </c>
      <c r="I39" s="24" t="s">
        <v>62</v>
      </c>
      <c r="J39" s="24">
        <v>8.1999999999999993</v>
      </c>
    </row>
    <row r="40" spans="1:10" x14ac:dyDescent="0.25">
      <c r="A40" s="14" t="s">
        <v>40</v>
      </c>
      <c r="B40" s="24">
        <v>17.600000000000001</v>
      </c>
      <c r="C40" s="24" t="s">
        <v>62</v>
      </c>
      <c r="D40" s="24" t="s">
        <v>62</v>
      </c>
      <c r="E40" s="24">
        <v>0.9</v>
      </c>
      <c r="F40" s="24" t="s">
        <v>62</v>
      </c>
      <c r="G40" s="24">
        <v>16.7</v>
      </c>
      <c r="H40" s="24">
        <v>3</v>
      </c>
      <c r="I40" s="24" t="s">
        <v>62</v>
      </c>
      <c r="J40" s="24">
        <v>13.7</v>
      </c>
    </row>
    <row r="41" spans="1:10" x14ac:dyDescent="0.25">
      <c r="A41" s="14" t="s">
        <v>41</v>
      </c>
      <c r="B41" s="24">
        <v>14.8</v>
      </c>
      <c r="C41" s="24" t="s">
        <v>62</v>
      </c>
      <c r="D41" s="24" t="s">
        <v>62</v>
      </c>
      <c r="E41" s="24">
        <v>0.4</v>
      </c>
      <c r="F41" s="24" t="s">
        <v>62</v>
      </c>
      <c r="G41" s="24">
        <v>14.4</v>
      </c>
      <c r="H41" s="24">
        <v>1.3</v>
      </c>
      <c r="I41" s="24" t="s">
        <v>62</v>
      </c>
      <c r="J41" s="24">
        <v>13.1</v>
      </c>
    </row>
    <row r="42" spans="1:10" x14ac:dyDescent="0.25">
      <c r="A42" s="14" t="s">
        <v>42</v>
      </c>
      <c r="B42" s="24">
        <v>17.3</v>
      </c>
      <c r="C42" s="24">
        <v>0.9</v>
      </c>
      <c r="D42" s="24" t="s">
        <v>62</v>
      </c>
      <c r="E42" s="24">
        <v>0.4</v>
      </c>
      <c r="F42" s="24" t="s">
        <v>62</v>
      </c>
      <c r="G42" s="24">
        <v>17.8</v>
      </c>
      <c r="H42" s="24">
        <v>7.7</v>
      </c>
      <c r="I42" s="24" t="s">
        <v>62</v>
      </c>
      <c r="J42" s="24">
        <v>10.1</v>
      </c>
    </row>
    <row r="43" spans="1:10" x14ac:dyDescent="0.25">
      <c r="A43" s="14" t="s">
        <v>43</v>
      </c>
      <c r="B43" s="24">
        <v>5.8</v>
      </c>
      <c r="C43" s="24">
        <v>0</v>
      </c>
      <c r="D43" s="24">
        <v>0</v>
      </c>
      <c r="E43" s="24">
        <v>0.2</v>
      </c>
      <c r="F43" s="24" t="s">
        <v>62</v>
      </c>
      <c r="G43" s="24">
        <v>5.6</v>
      </c>
      <c r="H43" s="24">
        <v>0.1</v>
      </c>
      <c r="I43" s="24" t="s">
        <v>62</v>
      </c>
      <c r="J43" s="24">
        <v>5.5</v>
      </c>
    </row>
    <row r="44" spans="1:10" x14ac:dyDescent="0.25">
      <c r="A44" s="14" t="s">
        <v>44</v>
      </c>
      <c r="B44" s="24">
        <v>8.8000000000000007</v>
      </c>
      <c r="C44" s="24">
        <v>0</v>
      </c>
      <c r="D44" s="24">
        <v>0.1</v>
      </c>
      <c r="E44" s="24">
        <v>0.3</v>
      </c>
      <c r="F44" s="24" t="s">
        <v>62</v>
      </c>
      <c r="G44" s="24">
        <v>8.4</v>
      </c>
      <c r="H44" s="24">
        <v>1.2</v>
      </c>
      <c r="I44" s="24" t="s">
        <v>62</v>
      </c>
      <c r="J44" s="24">
        <v>7.2</v>
      </c>
    </row>
    <row r="45" spans="1:10" x14ac:dyDescent="0.25">
      <c r="A45" s="33" t="s">
        <v>45</v>
      </c>
      <c r="B45" s="6" t="s">
        <v>63</v>
      </c>
      <c r="C45" s="15"/>
      <c r="D45" s="15"/>
      <c r="E45" s="6"/>
      <c r="F45" s="6"/>
      <c r="G45" s="15"/>
      <c r="H45" s="15"/>
      <c r="I45" s="6"/>
      <c r="J45" s="16"/>
    </row>
    <row r="46" spans="1:10" x14ac:dyDescent="0.25">
      <c r="A46" s="17" t="s">
        <v>46</v>
      </c>
      <c r="B46" s="18"/>
      <c r="C46" s="18"/>
      <c r="D46" s="18"/>
      <c r="E46" s="18"/>
      <c r="F46" s="18"/>
      <c r="G46" s="18"/>
      <c r="H46" s="18"/>
      <c r="I46" s="18"/>
      <c r="J46" s="19"/>
    </row>
    <row r="47" spans="1:10" x14ac:dyDescent="0.25">
      <c r="A47" s="17" t="s">
        <v>47</v>
      </c>
      <c r="B47" s="18"/>
      <c r="C47" s="18"/>
      <c r="D47" s="18"/>
      <c r="E47" s="18"/>
      <c r="F47" s="18"/>
      <c r="G47" s="18"/>
      <c r="H47" s="18"/>
      <c r="I47" s="18"/>
      <c r="J47" s="19"/>
    </row>
    <row r="48" spans="1:10" x14ac:dyDescent="0.25">
      <c r="A48" s="17" t="s">
        <v>48</v>
      </c>
      <c r="B48" s="18"/>
      <c r="C48" s="18"/>
      <c r="D48" s="18"/>
      <c r="E48" s="18"/>
      <c r="F48" s="18"/>
      <c r="G48" s="18"/>
      <c r="H48" s="18"/>
      <c r="I48" s="18"/>
      <c r="J48" s="19"/>
    </row>
    <row r="49" spans="1:10" x14ac:dyDescent="0.25">
      <c r="A49" s="17" t="s">
        <v>49</v>
      </c>
      <c r="B49" s="18"/>
      <c r="C49" s="18"/>
      <c r="D49" s="18"/>
      <c r="E49" s="18"/>
      <c r="F49" s="18"/>
      <c r="G49" s="18"/>
      <c r="H49" s="18"/>
      <c r="I49" s="18"/>
      <c r="J49" s="19"/>
    </row>
    <row r="50" spans="1:10" x14ac:dyDescent="0.25">
      <c r="A50" s="17" t="s">
        <v>50</v>
      </c>
      <c r="B50" s="18"/>
      <c r="C50" s="18"/>
      <c r="D50" s="18"/>
      <c r="E50" s="18"/>
      <c r="F50" s="18"/>
      <c r="G50" s="18"/>
      <c r="H50" s="18"/>
      <c r="I50" s="18"/>
      <c r="J50" s="19"/>
    </row>
    <row r="51" spans="1:10" x14ac:dyDescent="0.25">
      <c r="A51" s="38" t="s">
        <v>51</v>
      </c>
      <c r="B51" s="20"/>
      <c r="C51" s="20"/>
      <c r="D51" s="20"/>
      <c r="E51" s="20"/>
      <c r="F51" s="20"/>
      <c r="G51" s="20"/>
      <c r="H51" s="20"/>
      <c r="I51" s="20"/>
      <c r="J51" s="21"/>
    </row>
    <row r="52" spans="1:10" x14ac:dyDescent="0.25">
      <c r="A52" t="s">
        <v>52</v>
      </c>
    </row>
  </sheetData>
  <hyperlinks>
    <hyperlink ref="H1" r:id="rId1"/>
  </hyperlinks>
  <pageMargins left="0.7" right="0.7" top="0.78740157499999996" bottom="0.78740157499999996" header="0.3" footer="0.3"/>
  <pageSetup paperSize="9" orientation="portrait"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"/>
  <sheetViews>
    <sheetView zoomScale="80" zoomScaleNormal="80" workbookViewId="0">
      <selection activeCell="H1" sqref="H1"/>
    </sheetView>
  </sheetViews>
  <sheetFormatPr baseColWidth="10" defaultRowHeight="15" x14ac:dyDescent="0.25"/>
  <cols>
    <col min="1" max="1" width="20.42578125" customWidth="1"/>
    <col min="2" max="2" width="19" bestFit="1" customWidth="1"/>
    <col min="3" max="6" width="13.28515625" customWidth="1"/>
    <col min="7" max="7" width="12.42578125" customWidth="1"/>
    <col min="8" max="8" width="17.85546875" bestFit="1" customWidth="1"/>
    <col min="9" max="9" width="16.28515625" bestFit="1" customWidth="1"/>
    <col min="10" max="10" width="20.5703125" bestFit="1" customWidth="1"/>
  </cols>
  <sheetData>
    <row r="1" spans="1:10" x14ac:dyDescent="0.25">
      <c r="A1" s="4" t="s">
        <v>0</v>
      </c>
      <c r="B1" s="5"/>
      <c r="C1" s="5"/>
      <c r="D1" s="39" t="s">
        <v>144</v>
      </c>
      <c r="E1" s="6"/>
      <c r="F1" s="6"/>
      <c r="G1" s="6"/>
      <c r="H1" s="50" t="s">
        <v>375</v>
      </c>
      <c r="I1" s="6"/>
      <c r="J1" s="7"/>
    </row>
    <row r="2" spans="1:10" s="3" customFormat="1" ht="16.5" customHeight="1" x14ac:dyDescent="0.25">
      <c r="A2" s="25" t="s">
        <v>61</v>
      </c>
      <c r="B2" s="26"/>
      <c r="C2" s="26"/>
      <c r="D2" s="26"/>
      <c r="E2" s="27"/>
      <c r="F2" s="27"/>
      <c r="G2" s="27"/>
      <c r="H2" s="27"/>
      <c r="I2" s="27"/>
      <c r="J2" s="28"/>
    </row>
    <row r="3" spans="1:10" x14ac:dyDescent="0.25">
      <c r="A3" s="9" t="s">
        <v>2</v>
      </c>
      <c r="B3" s="10"/>
      <c r="C3" s="10"/>
      <c r="D3" s="10"/>
      <c r="E3" s="11"/>
      <c r="F3" s="11"/>
      <c r="G3" s="11"/>
      <c r="H3" s="11"/>
      <c r="I3" s="11"/>
      <c r="J3" s="12"/>
    </row>
    <row r="4" spans="1:10" s="1" customFormat="1" x14ac:dyDescent="0.25">
      <c r="A4" s="2"/>
      <c r="B4" s="22" t="s">
        <v>53</v>
      </c>
      <c r="C4" s="22" t="s">
        <v>54</v>
      </c>
      <c r="D4" s="22" t="s">
        <v>55</v>
      </c>
      <c r="E4" s="22" t="s">
        <v>56</v>
      </c>
      <c r="F4" s="22" t="s">
        <v>57</v>
      </c>
      <c r="G4" s="22" t="s">
        <v>3</v>
      </c>
      <c r="H4" s="22" t="s">
        <v>58</v>
      </c>
      <c r="I4" s="22" t="s">
        <v>59</v>
      </c>
      <c r="J4" s="22" t="s">
        <v>60</v>
      </c>
    </row>
    <row r="5" spans="1:10" x14ac:dyDescent="0.25">
      <c r="A5" s="13" t="s">
        <v>104</v>
      </c>
      <c r="B5" s="23">
        <v>0.5</v>
      </c>
      <c r="C5" s="23" t="s">
        <v>5</v>
      </c>
      <c r="D5" s="23" t="s">
        <v>5</v>
      </c>
      <c r="E5" s="23">
        <v>0</v>
      </c>
      <c r="F5" s="23" t="s">
        <v>5</v>
      </c>
      <c r="G5" s="23">
        <v>0.5</v>
      </c>
      <c r="H5" s="23">
        <v>0.2</v>
      </c>
      <c r="I5" s="23" t="s">
        <v>5</v>
      </c>
      <c r="J5" s="23">
        <v>0.3</v>
      </c>
    </row>
    <row r="6" spans="1:10" x14ac:dyDescent="0.25">
      <c r="A6" s="14" t="s">
        <v>105</v>
      </c>
      <c r="B6" s="24">
        <v>6.3</v>
      </c>
      <c r="C6" s="24">
        <v>0</v>
      </c>
      <c r="D6" s="24" t="s">
        <v>5</v>
      </c>
      <c r="E6" s="24">
        <v>0.1</v>
      </c>
      <c r="F6" s="24" t="s">
        <v>5</v>
      </c>
      <c r="G6" s="24">
        <v>6.3</v>
      </c>
      <c r="H6" s="24">
        <v>1.4</v>
      </c>
      <c r="I6" s="24" t="s">
        <v>5</v>
      </c>
      <c r="J6" s="24">
        <v>4.9000000000000004</v>
      </c>
    </row>
    <row r="7" spans="1:10" s="1" customFormat="1" x14ac:dyDescent="0.25">
      <c r="A7" s="40" t="s">
        <v>106</v>
      </c>
      <c r="B7" s="41">
        <v>7.8</v>
      </c>
      <c r="C7" s="41" t="s">
        <v>5</v>
      </c>
      <c r="D7" s="41" t="s">
        <v>5</v>
      </c>
      <c r="E7" s="41">
        <v>0</v>
      </c>
      <c r="F7" s="41" t="s">
        <v>5</v>
      </c>
      <c r="G7" s="41">
        <v>7.8</v>
      </c>
      <c r="H7" s="41">
        <v>1</v>
      </c>
      <c r="I7" s="41" t="s">
        <v>5</v>
      </c>
      <c r="J7" s="41">
        <v>6.8</v>
      </c>
    </row>
    <row r="8" spans="1:10" x14ac:dyDescent="0.25">
      <c r="A8" s="14" t="s">
        <v>107</v>
      </c>
      <c r="B8" s="24">
        <v>1.3</v>
      </c>
      <c r="C8" s="24" t="s">
        <v>5</v>
      </c>
      <c r="D8" s="24" t="s">
        <v>5</v>
      </c>
      <c r="E8" s="24">
        <v>0.1</v>
      </c>
      <c r="F8" s="24" t="s">
        <v>5</v>
      </c>
      <c r="G8" s="24">
        <v>1.2</v>
      </c>
      <c r="H8" s="24">
        <v>0.2</v>
      </c>
      <c r="I8" s="24" t="s">
        <v>5</v>
      </c>
      <c r="J8" s="24">
        <v>1</v>
      </c>
    </row>
    <row r="9" spans="1:10" x14ac:dyDescent="0.25">
      <c r="A9" s="14" t="s">
        <v>108</v>
      </c>
      <c r="B9" s="24">
        <v>3.2</v>
      </c>
      <c r="C9" s="24">
        <v>0.1</v>
      </c>
      <c r="D9" s="24" t="s">
        <v>5</v>
      </c>
      <c r="E9" s="24">
        <v>0.3</v>
      </c>
      <c r="F9" s="24" t="s">
        <v>5</v>
      </c>
      <c r="G9" s="24">
        <v>3</v>
      </c>
      <c r="H9" s="24">
        <v>0.8</v>
      </c>
      <c r="I9" s="24" t="s">
        <v>5</v>
      </c>
      <c r="J9" s="24">
        <v>2.2000000000000002</v>
      </c>
    </row>
    <row r="10" spans="1:10" x14ac:dyDescent="0.25">
      <c r="A10" s="14" t="s">
        <v>109</v>
      </c>
      <c r="B10" s="24">
        <v>6.5</v>
      </c>
      <c r="C10" s="24">
        <v>0</v>
      </c>
      <c r="D10" s="24">
        <v>0.1</v>
      </c>
      <c r="E10" s="24">
        <v>0</v>
      </c>
      <c r="F10" s="24" t="s">
        <v>5</v>
      </c>
      <c r="G10" s="24">
        <v>6.3</v>
      </c>
      <c r="H10" s="24">
        <v>1</v>
      </c>
      <c r="I10" s="24" t="s">
        <v>5</v>
      </c>
      <c r="J10" s="24">
        <v>5.3</v>
      </c>
    </row>
    <row r="11" spans="1:10" x14ac:dyDescent="0.25">
      <c r="A11" s="14" t="s">
        <v>110</v>
      </c>
      <c r="B11" s="24">
        <v>53.7</v>
      </c>
      <c r="C11" s="24" t="s">
        <v>5</v>
      </c>
      <c r="D11" s="24">
        <v>45.1</v>
      </c>
      <c r="E11" s="24">
        <v>0.3</v>
      </c>
      <c r="F11" s="24" t="s">
        <v>5</v>
      </c>
      <c r="G11" s="24">
        <v>8.3000000000000007</v>
      </c>
      <c r="H11" s="24">
        <v>2.7</v>
      </c>
      <c r="I11" s="24" t="s">
        <v>5</v>
      </c>
      <c r="J11" s="24">
        <v>5.6</v>
      </c>
    </row>
    <row r="12" spans="1:10" x14ac:dyDescent="0.25">
      <c r="A12" s="14" t="s">
        <v>111</v>
      </c>
      <c r="B12" s="24">
        <v>29.9</v>
      </c>
      <c r="C12" s="24" t="s">
        <v>5</v>
      </c>
      <c r="D12" s="24" t="s">
        <v>5</v>
      </c>
      <c r="E12" s="24">
        <v>0.5</v>
      </c>
      <c r="F12" s="24" t="s">
        <v>5</v>
      </c>
      <c r="G12" s="24">
        <v>29.4</v>
      </c>
      <c r="H12" s="24">
        <v>2.5</v>
      </c>
      <c r="I12" s="24" t="s">
        <v>5</v>
      </c>
      <c r="J12" s="24">
        <v>26.9</v>
      </c>
    </row>
    <row r="13" spans="1:10" x14ac:dyDescent="0.25">
      <c r="A13" s="14" t="s">
        <v>112</v>
      </c>
      <c r="B13" s="24">
        <v>7.7</v>
      </c>
      <c r="C13" s="24" t="s">
        <v>5</v>
      </c>
      <c r="D13" s="24" t="s">
        <v>5</v>
      </c>
      <c r="E13" s="24">
        <v>0.2</v>
      </c>
      <c r="F13" s="24" t="s">
        <v>5</v>
      </c>
      <c r="G13" s="24">
        <v>7.5</v>
      </c>
      <c r="H13" s="24">
        <v>0.2</v>
      </c>
      <c r="I13" s="24" t="s">
        <v>5</v>
      </c>
      <c r="J13" s="24">
        <v>7.3</v>
      </c>
    </row>
    <row r="14" spans="1:10" x14ac:dyDescent="0.25">
      <c r="A14" s="14" t="s">
        <v>113</v>
      </c>
      <c r="B14" s="24">
        <v>9.4</v>
      </c>
      <c r="C14" s="24">
        <v>0.8</v>
      </c>
      <c r="D14" s="24">
        <v>1</v>
      </c>
      <c r="E14" s="24">
        <v>0.2</v>
      </c>
      <c r="F14" s="24" t="s">
        <v>5</v>
      </c>
      <c r="G14" s="24">
        <v>9.1</v>
      </c>
      <c r="H14" s="24">
        <v>1.9</v>
      </c>
      <c r="I14" s="24" t="s">
        <v>5</v>
      </c>
      <c r="J14" s="24">
        <v>7.1</v>
      </c>
    </row>
    <row r="15" spans="1:10" x14ac:dyDescent="0.25">
      <c r="A15" s="14" t="s">
        <v>114</v>
      </c>
      <c r="B15" s="24">
        <v>114.9</v>
      </c>
      <c r="C15" s="24">
        <v>1.7</v>
      </c>
      <c r="D15" s="24">
        <v>0.5</v>
      </c>
      <c r="E15" s="24">
        <v>1.3</v>
      </c>
      <c r="F15" s="24" t="s">
        <v>5</v>
      </c>
      <c r="G15" s="24">
        <v>114.6</v>
      </c>
      <c r="H15" s="24">
        <v>31.4</v>
      </c>
      <c r="I15" s="24">
        <v>2</v>
      </c>
      <c r="J15" s="24">
        <v>81.3</v>
      </c>
    </row>
    <row r="16" spans="1:10" x14ac:dyDescent="0.25">
      <c r="A16" s="14" t="s">
        <v>115</v>
      </c>
      <c r="B16" s="24">
        <v>12.3</v>
      </c>
      <c r="C16" s="24">
        <v>0</v>
      </c>
      <c r="D16" s="24" t="s">
        <v>5</v>
      </c>
      <c r="E16" s="24">
        <v>0.3</v>
      </c>
      <c r="F16" s="24" t="s">
        <v>5</v>
      </c>
      <c r="G16" s="24">
        <v>12</v>
      </c>
      <c r="H16" s="24">
        <v>0.7</v>
      </c>
      <c r="I16" s="24" t="s">
        <v>5</v>
      </c>
      <c r="J16" s="24">
        <v>11.3</v>
      </c>
    </row>
    <row r="17" spans="1:10" s="1" customFormat="1" x14ac:dyDescent="0.25">
      <c r="A17" s="35" t="s">
        <v>116</v>
      </c>
      <c r="B17" s="36">
        <v>1006.9</v>
      </c>
      <c r="C17" s="36">
        <v>56.5</v>
      </c>
      <c r="D17" s="36">
        <v>52.5</v>
      </c>
      <c r="E17" s="36">
        <v>29.7</v>
      </c>
      <c r="F17" s="36">
        <v>0.4</v>
      </c>
      <c r="G17" s="36">
        <v>980.8</v>
      </c>
      <c r="H17" s="36">
        <v>164.3</v>
      </c>
      <c r="I17" s="36">
        <v>2.6</v>
      </c>
      <c r="J17" s="36">
        <v>813.8</v>
      </c>
    </row>
    <row r="18" spans="1:10" x14ac:dyDescent="0.25">
      <c r="A18" s="14" t="s">
        <v>117</v>
      </c>
      <c r="B18" s="24">
        <v>24.4</v>
      </c>
      <c r="C18" s="24" t="s">
        <v>5</v>
      </c>
      <c r="D18" s="24" t="s">
        <v>5</v>
      </c>
      <c r="E18" s="24">
        <v>1.6</v>
      </c>
      <c r="F18" s="24" t="s">
        <v>5</v>
      </c>
      <c r="G18" s="24">
        <v>22.8</v>
      </c>
      <c r="H18" s="24">
        <v>1.6</v>
      </c>
      <c r="I18" s="24" t="s">
        <v>5</v>
      </c>
      <c r="J18" s="24">
        <v>21.2</v>
      </c>
    </row>
    <row r="19" spans="1:10" x14ac:dyDescent="0.25">
      <c r="A19" s="14" t="s">
        <v>118</v>
      </c>
      <c r="B19" s="24">
        <v>3.4</v>
      </c>
      <c r="C19" s="24" t="s">
        <v>5</v>
      </c>
      <c r="D19" s="24" t="s">
        <v>5</v>
      </c>
      <c r="E19" s="24">
        <v>0.1</v>
      </c>
      <c r="F19" s="24" t="s">
        <v>5</v>
      </c>
      <c r="G19" s="24">
        <v>3.3</v>
      </c>
      <c r="H19" s="24">
        <v>0.2</v>
      </c>
      <c r="I19" s="24" t="s">
        <v>5</v>
      </c>
      <c r="J19" s="24">
        <v>3.1</v>
      </c>
    </row>
    <row r="20" spans="1:10" x14ac:dyDescent="0.25">
      <c r="A20" s="14" t="s">
        <v>119</v>
      </c>
      <c r="B20" s="24">
        <v>1.3</v>
      </c>
      <c r="C20" s="24">
        <v>0.2</v>
      </c>
      <c r="D20" s="24" t="s">
        <v>5</v>
      </c>
      <c r="E20" s="24">
        <v>0.1</v>
      </c>
      <c r="F20" s="24" t="s">
        <v>5</v>
      </c>
      <c r="G20" s="24">
        <v>1.4</v>
      </c>
      <c r="H20" s="24">
        <v>0.2</v>
      </c>
      <c r="I20" s="24" t="s">
        <v>5</v>
      </c>
      <c r="J20" s="24">
        <v>1.3</v>
      </c>
    </row>
    <row r="21" spans="1:10" x14ac:dyDescent="0.25">
      <c r="A21" s="14" t="s">
        <v>120</v>
      </c>
      <c r="B21" s="24">
        <v>792.4</v>
      </c>
      <c r="C21" s="24">
        <v>9.6999999999999993</v>
      </c>
      <c r="D21" s="24">
        <v>0.4</v>
      </c>
      <c r="E21" s="24">
        <v>55.9</v>
      </c>
      <c r="F21" s="24" t="s">
        <v>5</v>
      </c>
      <c r="G21" s="24">
        <v>745.9</v>
      </c>
      <c r="H21" s="24">
        <v>201.4</v>
      </c>
      <c r="I21" s="24" t="s">
        <v>5</v>
      </c>
      <c r="J21" s="24">
        <v>544.5</v>
      </c>
    </row>
    <row r="22" spans="1:10" x14ac:dyDescent="0.25">
      <c r="A22" s="14" t="s">
        <v>121</v>
      </c>
      <c r="B22" s="24">
        <v>142.19999999999999</v>
      </c>
      <c r="C22" s="24" t="s">
        <v>5</v>
      </c>
      <c r="D22" s="24" t="s">
        <v>5</v>
      </c>
      <c r="E22" s="24">
        <v>5.9</v>
      </c>
      <c r="F22" s="24" t="s">
        <v>5</v>
      </c>
      <c r="G22" s="24">
        <v>136.30000000000001</v>
      </c>
      <c r="H22" s="24">
        <v>15.1</v>
      </c>
      <c r="I22" s="24" t="s">
        <v>5</v>
      </c>
      <c r="J22" s="24">
        <v>121.2</v>
      </c>
    </row>
    <row r="23" spans="1:10" x14ac:dyDescent="0.25">
      <c r="A23" s="14" t="s">
        <v>122</v>
      </c>
      <c r="B23" s="24">
        <v>21.5</v>
      </c>
      <c r="C23" s="24" t="s">
        <v>5</v>
      </c>
      <c r="D23" s="24" t="s">
        <v>5</v>
      </c>
      <c r="E23" s="24">
        <v>2</v>
      </c>
      <c r="F23" s="24" t="s">
        <v>5</v>
      </c>
      <c r="G23" s="24">
        <v>19.5</v>
      </c>
      <c r="H23" s="24">
        <v>3.4</v>
      </c>
      <c r="I23" s="24" t="s">
        <v>5</v>
      </c>
      <c r="J23" s="24">
        <v>16.100000000000001</v>
      </c>
    </row>
    <row r="24" spans="1:10" x14ac:dyDescent="0.25">
      <c r="A24" s="14" t="s">
        <v>123</v>
      </c>
      <c r="B24" s="24">
        <v>101.3</v>
      </c>
      <c r="C24" s="24" t="s">
        <v>5</v>
      </c>
      <c r="D24" s="24">
        <v>2.2999999999999998</v>
      </c>
      <c r="E24" s="24">
        <v>1.9</v>
      </c>
      <c r="F24" s="24" t="s">
        <v>5</v>
      </c>
      <c r="G24" s="24">
        <v>97.2</v>
      </c>
      <c r="H24" s="24">
        <v>1.7</v>
      </c>
      <c r="I24" s="24" t="s">
        <v>5</v>
      </c>
      <c r="J24" s="24">
        <v>95.5</v>
      </c>
    </row>
    <row r="25" spans="1:10" x14ac:dyDescent="0.25">
      <c r="A25" s="14" t="s">
        <v>124</v>
      </c>
      <c r="B25" s="24">
        <v>3.8</v>
      </c>
      <c r="C25" s="24">
        <v>0.2</v>
      </c>
      <c r="D25" s="24">
        <v>0</v>
      </c>
      <c r="E25" s="24">
        <v>0.6</v>
      </c>
      <c r="F25" s="24" t="s">
        <v>5</v>
      </c>
      <c r="G25" s="24">
        <v>3.4</v>
      </c>
      <c r="H25" s="24">
        <v>0.4</v>
      </c>
      <c r="I25" s="24" t="s">
        <v>5</v>
      </c>
      <c r="J25" s="24">
        <v>3</v>
      </c>
    </row>
    <row r="26" spans="1:10" x14ac:dyDescent="0.25">
      <c r="A26" s="14" t="s">
        <v>125</v>
      </c>
      <c r="B26" s="24">
        <v>6.5</v>
      </c>
      <c r="C26" s="24" t="s">
        <v>5</v>
      </c>
      <c r="D26" s="24" t="s">
        <v>5</v>
      </c>
      <c r="E26" s="24">
        <v>0.1</v>
      </c>
      <c r="F26" s="24" t="s">
        <v>5</v>
      </c>
      <c r="G26" s="24">
        <v>6.4</v>
      </c>
      <c r="H26" s="24">
        <v>1.9</v>
      </c>
      <c r="I26" s="24" t="s">
        <v>5</v>
      </c>
      <c r="J26" s="24">
        <v>4.5</v>
      </c>
    </row>
    <row r="27" spans="1:10" x14ac:dyDescent="0.25">
      <c r="A27" s="14" t="s">
        <v>126</v>
      </c>
      <c r="B27" s="24">
        <v>2.8</v>
      </c>
      <c r="C27" s="24">
        <v>0.2</v>
      </c>
      <c r="D27" s="24">
        <v>0.1</v>
      </c>
      <c r="E27" s="24">
        <v>0.2</v>
      </c>
      <c r="F27" s="24" t="s">
        <v>5</v>
      </c>
      <c r="G27" s="24">
        <v>2.7</v>
      </c>
      <c r="H27" s="24">
        <v>0.6</v>
      </c>
      <c r="I27" s="24" t="s">
        <v>5</v>
      </c>
      <c r="J27" s="24">
        <v>2.1</v>
      </c>
    </row>
    <row r="28" spans="1:10" x14ac:dyDescent="0.25">
      <c r="A28" s="14" t="s">
        <v>127</v>
      </c>
      <c r="B28" s="24">
        <v>95.7</v>
      </c>
      <c r="C28" s="24" t="s">
        <v>5</v>
      </c>
      <c r="D28" s="24" t="s">
        <v>5</v>
      </c>
      <c r="E28" s="24">
        <v>3.7</v>
      </c>
      <c r="F28" s="24" t="s">
        <v>5</v>
      </c>
      <c r="G28" s="24">
        <v>92</v>
      </c>
      <c r="H28" s="24">
        <v>18.600000000000001</v>
      </c>
      <c r="I28" s="24" t="s">
        <v>5</v>
      </c>
      <c r="J28" s="24">
        <v>73.400000000000006</v>
      </c>
    </row>
    <row r="29" spans="1:10" x14ac:dyDescent="0.25">
      <c r="A29" s="14" t="s">
        <v>128</v>
      </c>
      <c r="B29" s="24">
        <v>59.6</v>
      </c>
      <c r="C29" s="24" t="s">
        <v>5</v>
      </c>
      <c r="D29" s="24" t="s">
        <v>5</v>
      </c>
      <c r="E29" s="24">
        <v>4</v>
      </c>
      <c r="F29" s="24" t="s">
        <v>5</v>
      </c>
      <c r="G29" s="24">
        <v>55.6</v>
      </c>
      <c r="H29" s="24">
        <v>7.6</v>
      </c>
      <c r="I29" s="24" t="s">
        <v>5</v>
      </c>
      <c r="J29" s="24">
        <v>48</v>
      </c>
    </row>
    <row r="30" spans="1:10" x14ac:dyDescent="0.25">
      <c r="A30" s="14" t="s">
        <v>129</v>
      </c>
      <c r="B30" s="24">
        <v>41.1</v>
      </c>
      <c r="C30" s="24" t="s">
        <v>5</v>
      </c>
      <c r="D30" s="24" t="s">
        <v>5</v>
      </c>
      <c r="E30" s="24">
        <v>1.6</v>
      </c>
      <c r="F30" s="24" t="s">
        <v>5</v>
      </c>
      <c r="G30" s="24">
        <v>39.5</v>
      </c>
      <c r="H30" s="24">
        <v>2.1</v>
      </c>
      <c r="I30" s="24">
        <v>2.2000000000000002</v>
      </c>
      <c r="J30" s="24">
        <v>35.200000000000003</v>
      </c>
    </row>
    <row r="31" spans="1:10" x14ac:dyDescent="0.25">
      <c r="A31" s="14" t="s">
        <v>130</v>
      </c>
      <c r="B31" s="24">
        <v>9.9</v>
      </c>
      <c r="C31" s="24" t="s">
        <v>5</v>
      </c>
      <c r="D31" s="24" t="s">
        <v>5</v>
      </c>
      <c r="E31" s="24">
        <v>0.1</v>
      </c>
      <c r="F31" s="24" t="s">
        <v>5</v>
      </c>
      <c r="G31" s="24">
        <v>9.8000000000000007</v>
      </c>
      <c r="H31" s="24">
        <v>1.6</v>
      </c>
      <c r="I31" s="24" t="s">
        <v>5</v>
      </c>
      <c r="J31" s="24">
        <v>8.1999999999999993</v>
      </c>
    </row>
    <row r="32" spans="1:10" x14ac:dyDescent="0.25">
      <c r="A32" s="14" t="s">
        <v>131</v>
      </c>
      <c r="B32" s="24">
        <v>243.1</v>
      </c>
      <c r="C32" s="24" t="s">
        <v>5</v>
      </c>
      <c r="D32" s="24" t="s">
        <v>5</v>
      </c>
      <c r="E32" s="24">
        <v>12</v>
      </c>
      <c r="F32" s="24">
        <v>4.4000000000000004</v>
      </c>
      <c r="G32" s="24">
        <v>226.7</v>
      </c>
      <c r="H32" s="24">
        <v>9.6</v>
      </c>
      <c r="I32" s="24">
        <v>4.4000000000000004</v>
      </c>
      <c r="J32" s="24">
        <v>212.7</v>
      </c>
    </row>
    <row r="33" spans="1:10" x14ac:dyDescent="0.25">
      <c r="A33" s="14" t="s">
        <v>132</v>
      </c>
      <c r="B33" s="24">
        <v>143.4</v>
      </c>
      <c r="C33" s="24">
        <v>4.5</v>
      </c>
      <c r="D33" s="24">
        <v>0.9</v>
      </c>
      <c r="E33" s="24">
        <v>4.5</v>
      </c>
      <c r="F33" s="24" t="s">
        <v>5</v>
      </c>
      <c r="G33" s="24">
        <v>142.4</v>
      </c>
      <c r="H33" s="24">
        <v>9.3000000000000007</v>
      </c>
      <c r="I33" s="24" t="s">
        <v>5</v>
      </c>
      <c r="J33" s="24">
        <v>133.19999999999999</v>
      </c>
    </row>
    <row r="34" spans="1:10" x14ac:dyDescent="0.25">
      <c r="A34" s="14" t="s">
        <v>133</v>
      </c>
      <c r="B34" s="24">
        <v>69.5</v>
      </c>
      <c r="C34" s="24" t="s">
        <v>5</v>
      </c>
      <c r="D34" s="24" t="s">
        <v>5</v>
      </c>
      <c r="E34" s="24">
        <v>0.9</v>
      </c>
      <c r="F34" s="24" t="s">
        <v>5</v>
      </c>
      <c r="G34" s="24">
        <v>68.599999999999994</v>
      </c>
      <c r="H34" s="24">
        <v>7.5</v>
      </c>
      <c r="I34" s="24" t="s">
        <v>5</v>
      </c>
      <c r="J34" s="24">
        <v>61.1</v>
      </c>
    </row>
    <row r="35" spans="1:10" x14ac:dyDescent="0.25">
      <c r="A35" s="14" t="s">
        <v>134</v>
      </c>
      <c r="B35" s="24">
        <v>18.3</v>
      </c>
      <c r="C35" s="24">
        <v>1.5</v>
      </c>
      <c r="D35" s="24">
        <v>5.6</v>
      </c>
      <c r="E35" s="24">
        <v>0.5</v>
      </c>
      <c r="F35" s="24" t="s">
        <v>5</v>
      </c>
      <c r="G35" s="24">
        <v>13.7</v>
      </c>
      <c r="H35" s="24">
        <v>0.1</v>
      </c>
      <c r="I35" s="24">
        <v>0.9</v>
      </c>
      <c r="J35" s="24">
        <v>12.8</v>
      </c>
    </row>
    <row r="36" spans="1:10" s="1" customFormat="1" x14ac:dyDescent="0.25">
      <c r="A36" s="35" t="s">
        <v>135</v>
      </c>
      <c r="B36" s="36">
        <v>1780.4</v>
      </c>
      <c r="C36" s="36">
        <v>16.2</v>
      </c>
      <c r="D36" s="36">
        <v>9.3000000000000007</v>
      </c>
      <c r="E36" s="36">
        <v>95.7</v>
      </c>
      <c r="F36" s="36">
        <v>4.4000000000000004</v>
      </c>
      <c r="G36" s="36">
        <v>1687.2</v>
      </c>
      <c r="H36" s="36">
        <v>282.60000000000002</v>
      </c>
      <c r="I36" s="36">
        <v>7.5</v>
      </c>
      <c r="J36" s="36">
        <v>1397</v>
      </c>
    </row>
    <row r="37" spans="1:10" x14ac:dyDescent="0.25">
      <c r="A37" s="14" t="s">
        <v>136</v>
      </c>
      <c r="B37" s="24">
        <v>3279.2</v>
      </c>
      <c r="C37" s="24">
        <v>4.3</v>
      </c>
      <c r="D37" s="24">
        <v>14.6</v>
      </c>
      <c r="E37" s="24">
        <v>258</v>
      </c>
      <c r="F37" s="41" t="s">
        <v>5</v>
      </c>
      <c r="G37" s="24">
        <v>3010.9</v>
      </c>
      <c r="H37" s="24">
        <v>196.2</v>
      </c>
      <c r="I37" s="24">
        <v>138.6</v>
      </c>
      <c r="J37" s="24">
        <v>2676</v>
      </c>
    </row>
    <row r="38" spans="1:10" s="1" customFormat="1" x14ac:dyDescent="0.25">
      <c r="A38" s="40" t="s">
        <v>137</v>
      </c>
      <c r="B38" s="41">
        <v>39</v>
      </c>
      <c r="C38" s="41">
        <v>11</v>
      </c>
      <c r="D38" s="41">
        <v>4</v>
      </c>
      <c r="E38" s="41" t="s">
        <v>5</v>
      </c>
      <c r="F38" s="41" t="s">
        <v>5</v>
      </c>
      <c r="G38" s="41">
        <v>45.9</v>
      </c>
      <c r="H38" s="41">
        <v>5</v>
      </c>
      <c r="I38" s="41" t="s">
        <v>5</v>
      </c>
      <c r="J38" s="41">
        <v>40.9</v>
      </c>
    </row>
    <row r="39" spans="1:10" s="1" customFormat="1" x14ac:dyDescent="0.25">
      <c r="A39" s="35" t="s">
        <v>138</v>
      </c>
      <c r="B39" s="36">
        <v>3318.2</v>
      </c>
      <c r="C39" s="36">
        <v>15.2</v>
      </c>
      <c r="D39" s="36">
        <v>18.600000000000001</v>
      </c>
      <c r="E39" s="36">
        <v>258</v>
      </c>
      <c r="F39" s="41" t="s">
        <v>5</v>
      </c>
      <c r="G39" s="36">
        <v>3056.8</v>
      </c>
      <c r="H39" s="36">
        <v>201.3</v>
      </c>
      <c r="I39" s="36">
        <v>138.6</v>
      </c>
      <c r="J39" s="36">
        <v>2716.9</v>
      </c>
    </row>
    <row r="40" spans="1:10" x14ac:dyDescent="0.25">
      <c r="A40" s="14" t="s">
        <v>139</v>
      </c>
      <c r="B40" s="24">
        <v>2.9</v>
      </c>
      <c r="C40" s="24">
        <v>2.8</v>
      </c>
      <c r="D40" s="24" t="s">
        <v>5</v>
      </c>
      <c r="E40" s="24">
        <v>0.1</v>
      </c>
      <c r="F40" s="24" t="s">
        <v>5</v>
      </c>
      <c r="G40" s="24">
        <v>5.6</v>
      </c>
      <c r="H40" s="24">
        <v>2</v>
      </c>
      <c r="I40" s="24" t="s">
        <v>5</v>
      </c>
      <c r="J40" s="24">
        <v>3.6</v>
      </c>
    </row>
    <row r="41" spans="1:10" s="37" customFormat="1" x14ac:dyDescent="0.25">
      <c r="A41" s="29" t="s">
        <v>140</v>
      </c>
      <c r="B41" s="30">
        <v>11.8</v>
      </c>
      <c r="C41" s="30">
        <v>3.7</v>
      </c>
      <c r="D41" s="30">
        <v>4.3</v>
      </c>
      <c r="E41" s="30">
        <v>1.3</v>
      </c>
      <c r="F41" s="30" t="s">
        <v>5</v>
      </c>
      <c r="G41" s="30">
        <v>9.9</v>
      </c>
      <c r="H41" s="30">
        <v>2.2000000000000002</v>
      </c>
      <c r="I41" s="30" t="s">
        <v>5</v>
      </c>
      <c r="J41" s="30">
        <v>7.7</v>
      </c>
    </row>
    <row r="42" spans="1:10" s="37" customFormat="1" x14ac:dyDescent="0.25">
      <c r="A42" s="14" t="s">
        <v>141</v>
      </c>
      <c r="B42" s="24">
        <v>43.3</v>
      </c>
      <c r="C42" s="24">
        <v>3.1</v>
      </c>
      <c r="D42" s="24">
        <v>7.5</v>
      </c>
      <c r="E42" s="24">
        <v>4.2</v>
      </c>
      <c r="F42" s="24">
        <v>0.5</v>
      </c>
      <c r="G42" s="24">
        <v>34</v>
      </c>
      <c r="H42" s="24">
        <v>4.7</v>
      </c>
      <c r="I42" s="24">
        <v>1.8</v>
      </c>
      <c r="J42" s="24">
        <v>27.5</v>
      </c>
    </row>
    <row r="43" spans="1:10" s="37" customFormat="1" x14ac:dyDescent="0.25">
      <c r="A43" s="14" t="s">
        <v>142</v>
      </c>
      <c r="B43" s="24">
        <v>12.2</v>
      </c>
      <c r="C43" s="24">
        <v>7.8</v>
      </c>
      <c r="D43" s="24">
        <v>1.5</v>
      </c>
      <c r="E43" s="24">
        <v>0.5</v>
      </c>
      <c r="F43" s="24">
        <v>0.2</v>
      </c>
      <c r="G43" s="24">
        <v>17.8</v>
      </c>
      <c r="H43" s="24">
        <v>2</v>
      </c>
      <c r="I43" s="24">
        <v>0.5</v>
      </c>
      <c r="J43" s="24">
        <v>15.4</v>
      </c>
    </row>
    <row r="44" spans="1:10" s="37" customFormat="1" x14ac:dyDescent="0.25">
      <c r="A44" s="14" t="s">
        <v>143</v>
      </c>
      <c r="B44" s="24">
        <v>4.9000000000000004</v>
      </c>
      <c r="C44" s="24" t="s">
        <v>5</v>
      </c>
      <c r="D44" s="24" t="s">
        <v>5</v>
      </c>
      <c r="E44" s="24">
        <v>0.3</v>
      </c>
      <c r="F44" s="24" t="s">
        <v>5</v>
      </c>
      <c r="G44" s="24">
        <v>4.5999999999999996</v>
      </c>
      <c r="H44" s="24">
        <v>0.2</v>
      </c>
      <c r="I44" s="24">
        <v>0</v>
      </c>
      <c r="J44" s="24">
        <v>4.4000000000000004</v>
      </c>
    </row>
    <row r="45" spans="1:10" x14ac:dyDescent="0.25">
      <c r="A45" s="33" t="s">
        <v>45</v>
      </c>
      <c r="B45" s="6" t="s">
        <v>63</v>
      </c>
      <c r="C45" s="15"/>
      <c r="D45" s="15"/>
      <c r="E45" s="6"/>
      <c r="F45" s="6"/>
      <c r="G45" s="15"/>
      <c r="H45" s="15"/>
      <c r="I45" s="6"/>
      <c r="J45" s="16"/>
    </row>
    <row r="46" spans="1:10" x14ac:dyDescent="0.25">
      <c r="A46" s="34"/>
      <c r="B46" s="8"/>
      <c r="C46" s="18"/>
      <c r="D46" s="18"/>
      <c r="E46" s="8"/>
      <c r="F46" s="8"/>
      <c r="G46" s="18"/>
      <c r="H46" s="18"/>
      <c r="I46" s="8"/>
      <c r="J46" s="19"/>
    </row>
    <row r="47" spans="1:10" x14ac:dyDescent="0.25">
      <c r="A47" s="17" t="s">
        <v>46</v>
      </c>
      <c r="B47" s="18"/>
      <c r="C47" s="18"/>
      <c r="D47" s="18"/>
      <c r="E47" s="18"/>
      <c r="F47" s="18"/>
      <c r="G47" s="18"/>
      <c r="H47" s="18"/>
      <c r="I47" s="18"/>
      <c r="J47" s="19"/>
    </row>
    <row r="48" spans="1:10" x14ac:dyDescent="0.25">
      <c r="A48" s="17" t="s">
        <v>47</v>
      </c>
      <c r="B48" s="18"/>
      <c r="C48" s="18"/>
      <c r="D48" s="18"/>
      <c r="E48" s="18"/>
      <c r="F48" s="18"/>
      <c r="G48" s="18"/>
      <c r="H48" s="18"/>
      <c r="I48" s="18"/>
      <c r="J48" s="19"/>
    </row>
    <row r="49" spans="1:10" x14ac:dyDescent="0.25">
      <c r="A49" s="17" t="s">
        <v>48</v>
      </c>
      <c r="B49" s="18"/>
      <c r="C49" s="18"/>
      <c r="D49" s="18"/>
      <c r="E49" s="18"/>
      <c r="F49" s="18"/>
      <c r="G49" s="18"/>
      <c r="H49" s="18"/>
      <c r="I49" s="18"/>
      <c r="J49" s="19"/>
    </row>
    <row r="50" spans="1:10" x14ac:dyDescent="0.25">
      <c r="A50" s="17" t="s">
        <v>49</v>
      </c>
      <c r="B50" s="18"/>
      <c r="C50" s="18"/>
      <c r="D50" s="18"/>
      <c r="E50" s="18"/>
      <c r="F50" s="18"/>
      <c r="G50" s="18"/>
      <c r="H50" s="18"/>
      <c r="I50" s="18"/>
      <c r="J50" s="19"/>
    </row>
    <row r="51" spans="1:10" x14ac:dyDescent="0.25">
      <c r="A51" s="17" t="s">
        <v>50</v>
      </c>
      <c r="B51" s="18"/>
      <c r="C51" s="18"/>
      <c r="D51" s="18"/>
      <c r="E51" s="18"/>
      <c r="F51" s="18"/>
      <c r="G51" s="18"/>
      <c r="H51" s="18"/>
      <c r="I51" s="18"/>
      <c r="J51" s="19"/>
    </row>
    <row r="52" spans="1:10" x14ac:dyDescent="0.25">
      <c r="A52" s="38" t="s">
        <v>51</v>
      </c>
      <c r="B52" s="20"/>
      <c r="C52" s="20"/>
      <c r="D52" s="20"/>
      <c r="E52" s="20"/>
      <c r="F52" s="20"/>
      <c r="G52" s="20"/>
      <c r="H52" s="20"/>
      <c r="I52" s="20"/>
      <c r="J52" s="21"/>
    </row>
    <row r="53" spans="1:10" x14ac:dyDescent="0.25">
      <c r="A53" t="s">
        <v>52</v>
      </c>
    </row>
  </sheetData>
  <hyperlinks>
    <hyperlink ref="H1" r:id="rId1"/>
  </hyperlinks>
  <pageMargins left="0.7" right="0.7" top="0.78740157499999996" bottom="0.78740157499999996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38" sqref="E38"/>
    </sheetView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"/>
  <sheetViews>
    <sheetView zoomScale="80" zoomScaleNormal="80" workbookViewId="0">
      <selection activeCell="H1" sqref="H1"/>
    </sheetView>
  </sheetViews>
  <sheetFormatPr baseColWidth="10" defaultRowHeight="15" x14ac:dyDescent="0.25"/>
  <cols>
    <col min="1" max="1" width="20.42578125" customWidth="1"/>
    <col min="2" max="2" width="19" bestFit="1" customWidth="1"/>
    <col min="3" max="6" width="13.28515625" customWidth="1"/>
    <col min="7" max="7" width="12.42578125" customWidth="1"/>
    <col min="8" max="8" width="17.85546875" bestFit="1" customWidth="1"/>
    <col min="9" max="9" width="16.28515625" bestFit="1" customWidth="1"/>
    <col min="10" max="10" width="20.5703125" bestFit="1" customWidth="1"/>
  </cols>
  <sheetData>
    <row r="1" spans="1:10" x14ac:dyDescent="0.25">
      <c r="A1" s="4" t="s">
        <v>0</v>
      </c>
      <c r="B1" s="5"/>
      <c r="C1" s="5"/>
      <c r="D1" s="39" t="s">
        <v>145</v>
      </c>
      <c r="E1" s="6"/>
      <c r="F1" s="6"/>
      <c r="G1" s="6"/>
      <c r="H1" s="50" t="s">
        <v>375</v>
      </c>
      <c r="I1" s="6"/>
      <c r="J1" s="7"/>
    </row>
    <row r="2" spans="1:10" s="3" customFormat="1" ht="16.5" customHeight="1" x14ac:dyDescent="0.25">
      <c r="A2" s="25" t="s">
        <v>61</v>
      </c>
      <c r="B2" s="26"/>
      <c r="C2" s="26"/>
      <c r="D2" s="26"/>
      <c r="E2" s="27"/>
      <c r="F2" s="27"/>
      <c r="G2" s="27"/>
      <c r="H2" s="27"/>
      <c r="I2" s="27"/>
      <c r="J2" s="28"/>
    </row>
    <row r="3" spans="1:10" x14ac:dyDescent="0.25">
      <c r="A3" s="9" t="s">
        <v>2</v>
      </c>
      <c r="B3" s="10"/>
      <c r="C3" s="10"/>
      <c r="D3" s="10"/>
      <c r="E3" s="11"/>
      <c r="F3" s="11"/>
      <c r="G3" s="11"/>
      <c r="H3" s="11"/>
      <c r="I3" s="11"/>
      <c r="J3" s="12"/>
    </row>
    <row r="4" spans="1:10" s="1" customFormat="1" x14ac:dyDescent="0.25">
      <c r="A4" s="2"/>
      <c r="B4" s="22" t="s">
        <v>53</v>
      </c>
      <c r="C4" s="22" t="s">
        <v>54</v>
      </c>
      <c r="D4" s="22" t="s">
        <v>55</v>
      </c>
      <c r="E4" s="22" t="s">
        <v>56</v>
      </c>
      <c r="F4" s="22" t="s">
        <v>57</v>
      </c>
      <c r="G4" s="22" t="s">
        <v>3</v>
      </c>
      <c r="H4" s="22" t="s">
        <v>58</v>
      </c>
      <c r="I4" s="22" t="s">
        <v>59</v>
      </c>
      <c r="J4" s="22" t="s">
        <v>60</v>
      </c>
    </row>
    <row r="5" spans="1:10" x14ac:dyDescent="0.25">
      <c r="A5" s="13" t="s">
        <v>146</v>
      </c>
      <c r="B5" s="23">
        <v>6.7</v>
      </c>
      <c r="C5" s="23">
        <v>2.5</v>
      </c>
      <c r="D5" s="23" t="s">
        <v>5</v>
      </c>
      <c r="E5" s="23">
        <v>0.8</v>
      </c>
      <c r="F5" s="23" t="s">
        <v>5</v>
      </c>
      <c r="G5" s="23">
        <v>8.5</v>
      </c>
      <c r="H5" s="23">
        <v>1.5</v>
      </c>
      <c r="I5" s="23">
        <v>0.2</v>
      </c>
      <c r="J5" s="23">
        <v>6.7</v>
      </c>
    </row>
    <row r="6" spans="1:10" x14ac:dyDescent="0.25">
      <c r="A6" s="14" t="s">
        <v>147</v>
      </c>
      <c r="B6" s="24">
        <v>0.2</v>
      </c>
      <c r="C6" s="24" t="s">
        <v>5</v>
      </c>
      <c r="D6" s="24" t="s">
        <v>5</v>
      </c>
      <c r="E6" s="24">
        <v>0</v>
      </c>
      <c r="F6" s="24" t="s">
        <v>5</v>
      </c>
      <c r="G6" s="24">
        <v>0.1</v>
      </c>
      <c r="H6" s="24" t="s">
        <v>5</v>
      </c>
      <c r="I6" s="24" t="s">
        <v>5</v>
      </c>
      <c r="J6" s="24">
        <v>0.1</v>
      </c>
    </row>
    <row r="7" spans="1:10" s="1" customFormat="1" x14ac:dyDescent="0.25">
      <c r="A7" s="40" t="s">
        <v>148</v>
      </c>
      <c r="B7" s="41">
        <v>2.2999999999999998</v>
      </c>
      <c r="C7" s="41" t="s">
        <v>5</v>
      </c>
      <c r="D7" s="41" t="s">
        <v>5</v>
      </c>
      <c r="E7" s="41">
        <v>0.1</v>
      </c>
      <c r="F7" s="41" t="s">
        <v>5</v>
      </c>
      <c r="G7" s="41">
        <v>2.2000000000000002</v>
      </c>
      <c r="H7" s="41">
        <v>0.3</v>
      </c>
      <c r="I7" s="41" t="s">
        <v>5</v>
      </c>
      <c r="J7" s="41">
        <v>1.9</v>
      </c>
    </row>
    <row r="8" spans="1:10" x14ac:dyDescent="0.25">
      <c r="A8" s="14" t="s">
        <v>149</v>
      </c>
      <c r="B8" s="24">
        <v>61.7</v>
      </c>
      <c r="C8" s="24">
        <v>1.3</v>
      </c>
      <c r="D8" s="24">
        <v>3.4</v>
      </c>
      <c r="E8" s="24">
        <v>5.5</v>
      </c>
      <c r="F8" s="24" t="s">
        <v>5</v>
      </c>
      <c r="G8" s="24">
        <v>54.1</v>
      </c>
      <c r="H8" s="24">
        <v>6.8</v>
      </c>
      <c r="I8" s="24">
        <v>6.4</v>
      </c>
      <c r="J8" s="24">
        <v>41</v>
      </c>
    </row>
    <row r="9" spans="1:10" x14ac:dyDescent="0.25">
      <c r="A9" s="14" t="s">
        <v>150</v>
      </c>
      <c r="B9" s="24">
        <v>36.5</v>
      </c>
      <c r="C9" s="24">
        <v>9.1</v>
      </c>
      <c r="D9" s="24">
        <v>9.1999999999999993</v>
      </c>
      <c r="E9" s="24">
        <v>2.4</v>
      </c>
      <c r="F9" s="24">
        <v>0.9</v>
      </c>
      <c r="G9" s="24">
        <v>33.1</v>
      </c>
      <c r="H9" s="24">
        <v>5.8</v>
      </c>
      <c r="I9" s="24">
        <v>0.9</v>
      </c>
      <c r="J9" s="24">
        <v>26.5</v>
      </c>
    </row>
    <row r="10" spans="1:10" x14ac:dyDescent="0.25">
      <c r="A10" s="14" t="s">
        <v>151</v>
      </c>
      <c r="B10" s="24">
        <v>15</v>
      </c>
      <c r="C10" s="24">
        <v>6.1</v>
      </c>
      <c r="D10" s="24">
        <v>5.9</v>
      </c>
      <c r="E10" s="24">
        <v>1</v>
      </c>
      <c r="F10" s="24" t="s">
        <v>5</v>
      </c>
      <c r="G10" s="24">
        <v>14.3</v>
      </c>
      <c r="H10" s="24">
        <v>0.9</v>
      </c>
      <c r="I10" s="24">
        <v>0.1</v>
      </c>
      <c r="J10" s="24">
        <v>13.3</v>
      </c>
    </row>
    <row r="11" spans="1:10" s="1" customFormat="1" x14ac:dyDescent="0.25">
      <c r="A11" s="35" t="s">
        <v>152</v>
      </c>
      <c r="B11" s="36">
        <v>197.5</v>
      </c>
      <c r="C11" s="36">
        <v>36.4</v>
      </c>
      <c r="D11" s="36">
        <v>31.8</v>
      </c>
      <c r="E11" s="36">
        <v>16.3</v>
      </c>
      <c r="F11" s="36">
        <v>1.6</v>
      </c>
      <c r="G11" s="36">
        <v>184.2</v>
      </c>
      <c r="H11" s="36">
        <v>26.3</v>
      </c>
      <c r="I11" s="36">
        <v>9.8000000000000007</v>
      </c>
      <c r="J11" s="36">
        <v>148</v>
      </c>
    </row>
    <row r="12" spans="1:10" x14ac:dyDescent="0.25">
      <c r="A12" s="14" t="s">
        <v>153</v>
      </c>
      <c r="B12" s="24">
        <v>5.9</v>
      </c>
      <c r="C12" s="24">
        <v>0.4</v>
      </c>
      <c r="D12" s="24">
        <v>0.3</v>
      </c>
      <c r="E12" s="24">
        <v>0.3</v>
      </c>
      <c r="F12" s="24" t="s">
        <v>5</v>
      </c>
      <c r="G12" s="24">
        <v>5.7</v>
      </c>
      <c r="H12" s="24">
        <v>0.8</v>
      </c>
      <c r="I12" s="24" t="s">
        <v>5</v>
      </c>
      <c r="J12" s="24">
        <v>4.9000000000000004</v>
      </c>
    </row>
    <row r="13" spans="1:10" x14ac:dyDescent="0.25">
      <c r="A13" s="14" t="s">
        <v>154</v>
      </c>
      <c r="B13" s="24">
        <v>24.2</v>
      </c>
      <c r="C13" s="24">
        <v>0.5</v>
      </c>
      <c r="D13" s="24">
        <v>0.8</v>
      </c>
      <c r="E13" s="24">
        <v>3.6</v>
      </c>
      <c r="F13" s="24" t="s">
        <v>5</v>
      </c>
      <c r="G13" s="24">
        <v>20.3</v>
      </c>
      <c r="H13" s="24">
        <v>3.4</v>
      </c>
      <c r="I13" s="24">
        <v>1.5</v>
      </c>
      <c r="J13" s="24">
        <v>15.4</v>
      </c>
    </row>
    <row r="14" spans="1:10" x14ac:dyDescent="0.25">
      <c r="A14" s="40" t="s">
        <v>155</v>
      </c>
      <c r="B14" s="41">
        <v>31.8</v>
      </c>
      <c r="C14" s="41">
        <v>9.4</v>
      </c>
      <c r="D14" s="41">
        <v>5.0999999999999996</v>
      </c>
      <c r="E14" s="41">
        <v>2.2999999999999998</v>
      </c>
      <c r="F14" s="41" t="s">
        <v>5</v>
      </c>
      <c r="G14" s="41">
        <v>33.9</v>
      </c>
      <c r="H14" s="41">
        <v>3.7</v>
      </c>
      <c r="I14" s="41">
        <v>1.5</v>
      </c>
      <c r="J14" s="41">
        <v>28.7</v>
      </c>
    </row>
    <row r="15" spans="1:10" x14ac:dyDescent="0.25">
      <c r="A15" s="40" t="s">
        <v>156</v>
      </c>
      <c r="B15" s="41">
        <v>12.2</v>
      </c>
      <c r="C15" s="41">
        <v>0.3</v>
      </c>
      <c r="D15" s="41">
        <v>2.8</v>
      </c>
      <c r="E15" s="41">
        <v>1.2</v>
      </c>
      <c r="F15" s="41">
        <v>0</v>
      </c>
      <c r="G15" s="41">
        <v>8.5</v>
      </c>
      <c r="H15" s="41">
        <v>1.4</v>
      </c>
      <c r="I15" s="41">
        <v>0.4</v>
      </c>
      <c r="J15" s="41">
        <v>6.8</v>
      </c>
    </row>
    <row r="16" spans="1:10" x14ac:dyDescent="0.25">
      <c r="A16" s="40" t="s">
        <v>157</v>
      </c>
      <c r="B16" s="41">
        <v>8.3000000000000007</v>
      </c>
      <c r="C16" s="41">
        <v>0.4</v>
      </c>
      <c r="D16" s="41">
        <v>0.6</v>
      </c>
      <c r="E16" s="41">
        <v>0.2</v>
      </c>
      <c r="F16" s="41" t="s">
        <v>5</v>
      </c>
      <c r="G16" s="41">
        <v>7.9</v>
      </c>
      <c r="H16" s="41">
        <v>1.1000000000000001</v>
      </c>
      <c r="I16" s="41">
        <v>1</v>
      </c>
      <c r="J16" s="41">
        <v>5.8</v>
      </c>
    </row>
    <row r="17" spans="1:10" s="1" customFormat="1" x14ac:dyDescent="0.25">
      <c r="A17" s="40" t="s">
        <v>158</v>
      </c>
      <c r="B17" s="41">
        <v>76.599999999999994</v>
      </c>
      <c r="C17" s="41">
        <v>3.3</v>
      </c>
      <c r="D17" s="41">
        <v>3.6</v>
      </c>
      <c r="E17" s="41">
        <v>12.6</v>
      </c>
      <c r="F17" s="41" t="s">
        <v>5</v>
      </c>
      <c r="G17" s="41">
        <v>63.7</v>
      </c>
      <c r="H17" s="41">
        <v>7.4</v>
      </c>
      <c r="I17" s="41">
        <v>4.9000000000000004</v>
      </c>
      <c r="J17" s="41">
        <v>51.4</v>
      </c>
    </row>
    <row r="18" spans="1:10" x14ac:dyDescent="0.25">
      <c r="A18" s="40" t="s">
        <v>159</v>
      </c>
      <c r="B18" s="41">
        <v>16.2</v>
      </c>
      <c r="C18" s="41" t="s">
        <v>5</v>
      </c>
      <c r="D18" s="41">
        <v>2.4</v>
      </c>
      <c r="E18" s="41" t="s">
        <v>5</v>
      </c>
      <c r="F18" s="41" t="s">
        <v>5</v>
      </c>
      <c r="G18" s="41">
        <v>13.9</v>
      </c>
      <c r="H18" s="41">
        <v>4.5999999999999996</v>
      </c>
      <c r="I18" s="41">
        <v>0.3</v>
      </c>
      <c r="J18" s="41">
        <v>8.9</v>
      </c>
    </row>
    <row r="19" spans="1:10" x14ac:dyDescent="0.25">
      <c r="A19" s="40" t="s">
        <v>160</v>
      </c>
      <c r="B19" s="41">
        <v>4.8</v>
      </c>
      <c r="C19" s="41">
        <v>5</v>
      </c>
      <c r="D19" s="41">
        <v>2</v>
      </c>
      <c r="E19" s="41">
        <v>0.2</v>
      </c>
      <c r="F19" s="41" t="s">
        <v>5</v>
      </c>
      <c r="G19" s="41">
        <v>7.6</v>
      </c>
      <c r="H19" s="41">
        <v>0.8</v>
      </c>
      <c r="I19" s="41">
        <v>0.2</v>
      </c>
      <c r="J19" s="41">
        <v>6.6</v>
      </c>
    </row>
    <row r="20" spans="1:10" x14ac:dyDescent="0.25">
      <c r="A20" s="40" t="s">
        <v>161</v>
      </c>
      <c r="B20" s="41">
        <v>14</v>
      </c>
      <c r="C20" s="41">
        <v>5.8</v>
      </c>
      <c r="D20" s="41">
        <v>7.2</v>
      </c>
      <c r="E20" s="41">
        <v>1.1000000000000001</v>
      </c>
      <c r="F20" s="41">
        <v>0.8</v>
      </c>
      <c r="G20" s="41">
        <v>10.8</v>
      </c>
      <c r="H20" s="41">
        <v>1.1000000000000001</v>
      </c>
      <c r="I20" s="41">
        <v>0.8</v>
      </c>
      <c r="J20" s="41">
        <v>8.9</v>
      </c>
    </row>
    <row r="21" spans="1:10" x14ac:dyDescent="0.25">
      <c r="A21" s="40" t="s">
        <v>162</v>
      </c>
      <c r="B21" s="41">
        <v>3.8</v>
      </c>
      <c r="C21" s="41">
        <v>2.9</v>
      </c>
      <c r="D21" s="41" t="s">
        <v>5</v>
      </c>
      <c r="E21" s="41">
        <v>0.3</v>
      </c>
      <c r="F21" s="41" t="s">
        <v>5</v>
      </c>
      <c r="G21" s="41">
        <v>6.5</v>
      </c>
      <c r="H21" s="41">
        <v>1.9</v>
      </c>
      <c r="I21" s="41">
        <v>0.4</v>
      </c>
      <c r="J21" s="41">
        <v>4.2</v>
      </c>
    </row>
    <row r="22" spans="1:10" x14ac:dyDescent="0.25">
      <c r="A22" s="40" t="s">
        <v>163</v>
      </c>
      <c r="B22" s="41">
        <v>1015.3</v>
      </c>
      <c r="C22" s="41">
        <v>5.7</v>
      </c>
      <c r="D22" s="41">
        <v>18.5</v>
      </c>
      <c r="E22" s="41">
        <v>74.3</v>
      </c>
      <c r="F22" s="41">
        <v>2.7</v>
      </c>
      <c r="G22" s="41">
        <v>925.6</v>
      </c>
      <c r="H22" s="41">
        <v>104.9</v>
      </c>
      <c r="I22" s="41">
        <v>119.8</v>
      </c>
      <c r="J22" s="41">
        <v>700.9</v>
      </c>
    </row>
    <row r="23" spans="1:10" x14ac:dyDescent="0.25">
      <c r="A23" s="40" t="s">
        <v>164</v>
      </c>
      <c r="B23" s="41">
        <v>17.5</v>
      </c>
      <c r="C23" s="41">
        <v>4.4000000000000004</v>
      </c>
      <c r="D23" s="41">
        <v>4.3</v>
      </c>
      <c r="E23" s="41">
        <v>0.1</v>
      </c>
      <c r="F23" s="41" t="s">
        <v>5</v>
      </c>
      <c r="G23" s="41">
        <v>17.5</v>
      </c>
      <c r="H23" s="41">
        <v>3</v>
      </c>
      <c r="I23" s="41">
        <v>0.1</v>
      </c>
      <c r="J23" s="41">
        <v>14.5</v>
      </c>
    </row>
    <row r="24" spans="1:10" x14ac:dyDescent="0.25">
      <c r="A24" s="40" t="s">
        <v>165</v>
      </c>
      <c r="B24" s="41">
        <v>14.9</v>
      </c>
      <c r="C24" s="41" t="s">
        <v>5</v>
      </c>
      <c r="D24" s="41">
        <v>1.5</v>
      </c>
      <c r="E24" s="41">
        <v>1.1000000000000001</v>
      </c>
      <c r="F24" s="41" t="s">
        <v>5</v>
      </c>
      <c r="G24" s="41">
        <v>12.3</v>
      </c>
      <c r="H24" s="41">
        <v>2.1</v>
      </c>
      <c r="I24" s="41">
        <v>1.6</v>
      </c>
      <c r="J24" s="41">
        <v>8.6999999999999993</v>
      </c>
    </row>
    <row r="25" spans="1:10" x14ac:dyDescent="0.25">
      <c r="A25" s="40" t="s">
        <v>166</v>
      </c>
      <c r="B25" s="41">
        <v>196.3</v>
      </c>
      <c r="C25" s="41">
        <v>3.4</v>
      </c>
      <c r="D25" s="41">
        <v>12.6</v>
      </c>
      <c r="E25" s="41">
        <v>15.2</v>
      </c>
      <c r="F25" s="41">
        <v>0.2</v>
      </c>
      <c r="G25" s="41">
        <v>171.7</v>
      </c>
      <c r="H25" s="41">
        <v>23</v>
      </c>
      <c r="I25" s="41">
        <v>13.7</v>
      </c>
      <c r="J25" s="41">
        <v>135</v>
      </c>
    </row>
    <row r="26" spans="1:10" x14ac:dyDescent="0.25">
      <c r="A26" s="40" t="s">
        <v>167</v>
      </c>
      <c r="B26" s="41">
        <v>49</v>
      </c>
      <c r="C26" s="41">
        <v>11.4</v>
      </c>
      <c r="D26" s="41">
        <v>11.4</v>
      </c>
      <c r="E26" s="41">
        <v>2.8</v>
      </c>
      <c r="F26" s="41" t="s">
        <v>5</v>
      </c>
      <c r="G26" s="41">
        <v>46.1</v>
      </c>
      <c r="H26" s="41">
        <v>4.3</v>
      </c>
      <c r="I26" s="41">
        <v>1.4</v>
      </c>
      <c r="J26" s="41">
        <v>40.4</v>
      </c>
    </row>
    <row r="27" spans="1:10" s="1" customFormat="1" x14ac:dyDescent="0.25">
      <c r="A27" s="35" t="s">
        <v>168</v>
      </c>
      <c r="B27" s="36">
        <v>1490.8</v>
      </c>
      <c r="C27" s="36">
        <v>52.9</v>
      </c>
      <c r="D27" s="36">
        <v>72.900000000000006</v>
      </c>
      <c r="E27" s="36">
        <v>115.3</v>
      </c>
      <c r="F27" s="36">
        <v>3.6</v>
      </c>
      <c r="G27" s="36">
        <v>1351.8</v>
      </c>
      <c r="H27" s="36">
        <v>163.30000000000001</v>
      </c>
      <c r="I27" s="36">
        <v>147.5</v>
      </c>
      <c r="J27" s="36">
        <v>1041</v>
      </c>
    </row>
    <row r="28" spans="1:10" x14ac:dyDescent="0.25">
      <c r="A28" s="40" t="s">
        <v>169</v>
      </c>
      <c r="B28" s="41">
        <v>10.9</v>
      </c>
      <c r="C28" s="41" t="s">
        <v>5</v>
      </c>
      <c r="D28" s="41" t="s">
        <v>5</v>
      </c>
      <c r="E28" s="41">
        <v>0.1</v>
      </c>
      <c r="F28" s="41" t="s">
        <v>5</v>
      </c>
      <c r="G28" s="41">
        <v>10.8</v>
      </c>
      <c r="H28" s="41">
        <v>0.2</v>
      </c>
      <c r="I28" s="41" t="s">
        <v>5</v>
      </c>
      <c r="J28" s="41">
        <v>10.7</v>
      </c>
    </row>
    <row r="29" spans="1:10" x14ac:dyDescent="0.25">
      <c r="A29" s="40" t="s">
        <v>170</v>
      </c>
      <c r="B29" s="41">
        <v>204</v>
      </c>
      <c r="C29" s="41">
        <v>1.8</v>
      </c>
      <c r="D29" s="41">
        <v>2.5</v>
      </c>
      <c r="E29" s="41">
        <v>8.1</v>
      </c>
      <c r="F29" s="41" t="s">
        <v>5</v>
      </c>
      <c r="G29" s="41">
        <v>195.2</v>
      </c>
      <c r="H29" s="41">
        <v>38.200000000000003</v>
      </c>
      <c r="I29" s="41">
        <v>1.9</v>
      </c>
      <c r="J29" s="41">
        <v>155.19999999999999</v>
      </c>
    </row>
    <row r="30" spans="1:10" x14ac:dyDescent="0.25">
      <c r="A30" s="40" t="s">
        <v>171</v>
      </c>
      <c r="B30" s="41">
        <v>33.200000000000003</v>
      </c>
      <c r="C30" s="41">
        <v>1.4</v>
      </c>
      <c r="D30" s="41" t="s">
        <v>5</v>
      </c>
      <c r="E30" s="41" t="s">
        <v>5</v>
      </c>
      <c r="F30" s="41" t="s">
        <v>5</v>
      </c>
      <c r="G30" s="41">
        <v>34.5</v>
      </c>
      <c r="H30" s="41">
        <v>2.2000000000000002</v>
      </c>
      <c r="I30" s="41" t="s">
        <v>5</v>
      </c>
      <c r="J30" s="41">
        <v>32.299999999999997</v>
      </c>
    </row>
    <row r="31" spans="1:10" x14ac:dyDescent="0.25">
      <c r="A31" s="40" t="s">
        <v>172</v>
      </c>
      <c r="B31" s="41">
        <v>54.8</v>
      </c>
      <c r="C31" s="41" t="s">
        <v>5</v>
      </c>
      <c r="D31" s="41">
        <v>2.1</v>
      </c>
      <c r="E31" s="41">
        <v>4.5</v>
      </c>
      <c r="F31" s="41" t="s">
        <v>5</v>
      </c>
      <c r="G31" s="41">
        <v>48.2</v>
      </c>
      <c r="H31" s="41">
        <v>1.4</v>
      </c>
      <c r="I31" s="41" t="s">
        <v>5</v>
      </c>
      <c r="J31" s="41">
        <v>46.8</v>
      </c>
    </row>
    <row r="32" spans="1:10" x14ac:dyDescent="0.25">
      <c r="A32" s="40" t="s">
        <v>173</v>
      </c>
      <c r="B32" s="41">
        <v>13</v>
      </c>
      <c r="C32" s="41">
        <v>0.2</v>
      </c>
      <c r="D32" s="41">
        <v>0.2</v>
      </c>
      <c r="E32" s="41">
        <v>0.6</v>
      </c>
      <c r="F32" s="41" t="s">
        <v>5</v>
      </c>
      <c r="G32" s="41">
        <v>12.4</v>
      </c>
      <c r="H32" s="41">
        <v>1.8</v>
      </c>
      <c r="I32" s="41">
        <v>0.1</v>
      </c>
      <c r="J32" s="41">
        <v>10.5</v>
      </c>
    </row>
    <row r="33" spans="1:10" x14ac:dyDescent="0.25">
      <c r="A33" s="40" t="s">
        <v>174</v>
      </c>
      <c r="B33" s="41">
        <v>48.8</v>
      </c>
      <c r="C33" s="41" t="s">
        <v>5</v>
      </c>
      <c r="D33" s="41" t="s">
        <v>5</v>
      </c>
      <c r="E33" s="41">
        <v>7</v>
      </c>
      <c r="F33" s="41" t="s">
        <v>5</v>
      </c>
      <c r="G33" s="41">
        <v>41.7</v>
      </c>
      <c r="H33" s="41">
        <v>5.6</v>
      </c>
      <c r="I33" s="41">
        <v>5.6</v>
      </c>
      <c r="J33" s="41">
        <v>30.6</v>
      </c>
    </row>
    <row r="34" spans="1:10" x14ac:dyDescent="0.25">
      <c r="A34" s="40" t="s">
        <v>175</v>
      </c>
      <c r="B34" s="41">
        <v>9.6</v>
      </c>
      <c r="C34" s="41">
        <v>1</v>
      </c>
      <c r="D34" s="41" t="s">
        <v>5</v>
      </c>
      <c r="E34" s="41" t="s">
        <v>5</v>
      </c>
      <c r="F34" s="41" t="s">
        <v>5</v>
      </c>
      <c r="G34" s="41">
        <v>10.5</v>
      </c>
      <c r="H34" s="41">
        <v>1.6</v>
      </c>
      <c r="I34" s="41" t="s">
        <v>5</v>
      </c>
      <c r="J34" s="41">
        <v>9</v>
      </c>
    </row>
    <row r="35" spans="1:10" x14ac:dyDescent="0.25">
      <c r="A35" s="40" t="s">
        <v>176</v>
      </c>
      <c r="B35" s="41">
        <v>14.4</v>
      </c>
      <c r="C35" s="41" t="s">
        <v>5</v>
      </c>
      <c r="D35" s="41" t="s">
        <v>5</v>
      </c>
      <c r="E35" s="41">
        <v>0.6</v>
      </c>
      <c r="F35" s="41" t="s">
        <v>5</v>
      </c>
      <c r="G35" s="41">
        <v>13.9</v>
      </c>
      <c r="H35" s="41">
        <v>2.2000000000000002</v>
      </c>
      <c r="I35" s="41" t="s">
        <v>5</v>
      </c>
      <c r="J35" s="41">
        <v>11.6</v>
      </c>
    </row>
    <row r="36" spans="1:10" s="1" customFormat="1" x14ac:dyDescent="0.25">
      <c r="A36" s="40" t="s">
        <v>177</v>
      </c>
      <c r="B36" s="41">
        <v>16.100000000000001</v>
      </c>
      <c r="C36" s="41" t="s">
        <v>5</v>
      </c>
      <c r="D36" s="41" t="s">
        <v>5</v>
      </c>
      <c r="E36" s="41">
        <v>1.5</v>
      </c>
      <c r="F36" s="41" t="s">
        <v>5</v>
      </c>
      <c r="G36" s="41">
        <v>14.5</v>
      </c>
      <c r="H36" s="41">
        <v>1.4</v>
      </c>
      <c r="I36" s="41" t="s">
        <v>5</v>
      </c>
      <c r="J36" s="41">
        <v>13.1</v>
      </c>
    </row>
    <row r="37" spans="1:10" x14ac:dyDescent="0.25">
      <c r="A37" s="40" t="s">
        <v>178</v>
      </c>
      <c r="B37" s="41">
        <v>189.1</v>
      </c>
      <c r="C37" s="41" t="s">
        <v>5</v>
      </c>
      <c r="D37" s="41" t="s">
        <v>5</v>
      </c>
      <c r="E37" s="41">
        <v>5.0999999999999996</v>
      </c>
      <c r="F37" s="41" t="s">
        <v>5</v>
      </c>
      <c r="G37" s="41">
        <v>184</v>
      </c>
      <c r="H37" s="41">
        <v>14</v>
      </c>
      <c r="I37" s="41">
        <v>13.3</v>
      </c>
      <c r="J37" s="41">
        <v>156.69999999999999</v>
      </c>
    </row>
    <row r="38" spans="1:10" s="1" customFormat="1" x14ac:dyDescent="0.25">
      <c r="A38" s="40" t="s">
        <v>179</v>
      </c>
      <c r="B38" s="41">
        <v>38.6</v>
      </c>
      <c r="C38" s="41" t="s">
        <v>5</v>
      </c>
      <c r="D38" s="41" t="s">
        <v>5</v>
      </c>
      <c r="E38" s="41">
        <v>4.4000000000000004</v>
      </c>
      <c r="F38" s="41" t="s">
        <v>5</v>
      </c>
      <c r="G38" s="41">
        <v>34.200000000000003</v>
      </c>
      <c r="H38" s="41">
        <v>9.1999999999999993</v>
      </c>
      <c r="I38" s="41" t="s">
        <v>5</v>
      </c>
      <c r="J38" s="41">
        <v>25.1</v>
      </c>
    </row>
    <row r="39" spans="1:10" s="1" customFormat="1" x14ac:dyDescent="0.25">
      <c r="A39" s="40" t="s">
        <v>180</v>
      </c>
      <c r="B39" s="41">
        <v>76.099999999999994</v>
      </c>
      <c r="C39" s="41" t="s">
        <v>5</v>
      </c>
      <c r="D39" s="41" t="s">
        <v>5</v>
      </c>
      <c r="E39" s="41">
        <v>3</v>
      </c>
      <c r="F39" s="41" t="s">
        <v>5</v>
      </c>
      <c r="G39" s="41">
        <v>73.099999999999994</v>
      </c>
      <c r="H39" s="41">
        <v>5.6</v>
      </c>
      <c r="I39" s="41" t="s">
        <v>5</v>
      </c>
      <c r="J39" s="41">
        <v>67.5</v>
      </c>
    </row>
    <row r="40" spans="1:10" x14ac:dyDescent="0.25">
      <c r="A40" s="40" t="s">
        <v>181</v>
      </c>
      <c r="B40" s="41">
        <v>6</v>
      </c>
      <c r="C40" s="41" t="s">
        <v>5</v>
      </c>
      <c r="D40" s="41" t="s">
        <v>5</v>
      </c>
      <c r="E40" s="41">
        <v>0.4</v>
      </c>
      <c r="F40" s="41" t="s">
        <v>5</v>
      </c>
      <c r="G40" s="41">
        <v>5.6</v>
      </c>
      <c r="H40" s="41">
        <v>1.5</v>
      </c>
      <c r="I40" s="41" t="s">
        <v>5</v>
      </c>
      <c r="J40" s="41">
        <v>4.0999999999999996</v>
      </c>
    </row>
    <row r="41" spans="1:10" s="1" customFormat="1" x14ac:dyDescent="0.25">
      <c r="A41" s="31" t="s">
        <v>182</v>
      </c>
      <c r="B41" s="32">
        <v>714.6</v>
      </c>
      <c r="C41" s="32">
        <v>4.4000000000000004</v>
      </c>
      <c r="D41" s="32">
        <v>4.8</v>
      </c>
      <c r="E41" s="32">
        <v>35.299999999999997</v>
      </c>
      <c r="F41" s="32" t="s">
        <v>5</v>
      </c>
      <c r="G41" s="32">
        <v>678.9</v>
      </c>
      <c r="H41" s="32">
        <v>84.9</v>
      </c>
      <c r="I41" s="32">
        <v>20.9</v>
      </c>
      <c r="J41" s="32">
        <v>573.1</v>
      </c>
    </row>
    <row r="42" spans="1:10" s="1" customFormat="1" x14ac:dyDescent="0.25">
      <c r="A42" s="35" t="s">
        <v>183</v>
      </c>
      <c r="B42" s="36">
        <v>9126.4</v>
      </c>
      <c r="C42" s="36">
        <v>215.5</v>
      </c>
      <c r="D42" s="36">
        <v>220.6</v>
      </c>
      <c r="E42" s="36">
        <v>579.1</v>
      </c>
      <c r="F42" s="36">
        <v>14.3</v>
      </c>
      <c r="G42" s="36">
        <v>8527.9</v>
      </c>
      <c r="H42" s="36">
        <v>990.4</v>
      </c>
      <c r="I42" s="36">
        <v>343.2</v>
      </c>
      <c r="J42" s="36">
        <v>7194.3</v>
      </c>
    </row>
    <row r="43" spans="1:10" x14ac:dyDescent="0.25">
      <c r="A43" s="33" t="s">
        <v>45</v>
      </c>
      <c r="B43" s="6" t="s">
        <v>63</v>
      </c>
      <c r="C43" s="15"/>
      <c r="D43" s="15"/>
      <c r="E43" s="6"/>
      <c r="F43" s="6"/>
      <c r="G43" s="15"/>
      <c r="H43" s="15"/>
      <c r="I43" s="6"/>
      <c r="J43" s="16"/>
    </row>
    <row r="44" spans="1:10" x14ac:dyDescent="0.25">
      <c r="A44" s="34"/>
      <c r="B44" s="8"/>
      <c r="C44" s="18"/>
      <c r="D44" s="18"/>
      <c r="E44" s="8"/>
      <c r="F44" s="8"/>
      <c r="G44" s="18"/>
      <c r="H44" s="18"/>
      <c r="I44" s="8"/>
      <c r="J44" s="19"/>
    </row>
    <row r="45" spans="1:10" x14ac:dyDescent="0.25">
      <c r="A45" s="17" t="s">
        <v>46</v>
      </c>
      <c r="B45" s="18"/>
      <c r="C45" s="18"/>
      <c r="D45" s="18"/>
      <c r="E45" s="18"/>
      <c r="F45" s="18"/>
      <c r="G45" s="18"/>
      <c r="H45" s="18"/>
      <c r="I45" s="18"/>
      <c r="J45" s="19"/>
    </row>
    <row r="46" spans="1:10" x14ac:dyDescent="0.25">
      <c r="A46" s="17" t="s">
        <v>47</v>
      </c>
      <c r="B46" s="18"/>
      <c r="C46" s="18"/>
      <c r="D46" s="18"/>
      <c r="E46" s="18"/>
      <c r="F46" s="18"/>
      <c r="G46" s="18"/>
      <c r="H46" s="18"/>
      <c r="I46" s="18"/>
      <c r="J46" s="19"/>
    </row>
    <row r="47" spans="1:10" x14ac:dyDescent="0.25">
      <c r="A47" s="17" t="s">
        <v>48</v>
      </c>
      <c r="B47" s="18"/>
      <c r="C47" s="18"/>
      <c r="D47" s="18"/>
      <c r="E47" s="18"/>
      <c r="F47" s="18"/>
      <c r="G47" s="18"/>
      <c r="H47" s="18"/>
      <c r="I47" s="18"/>
      <c r="J47" s="19"/>
    </row>
    <row r="48" spans="1:10" x14ac:dyDescent="0.25">
      <c r="A48" s="17" t="s">
        <v>49</v>
      </c>
      <c r="B48" s="18"/>
      <c r="C48" s="18"/>
      <c r="D48" s="18"/>
      <c r="E48" s="18"/>
      <c r="F48" s="18"/>
      <c r="G48" s="18"/>
      <c r="H48" s="18"/>
      <c r="I48" s="18"/>
      <c r="J48" s="19"/>
    </row>
    <row r="49" spans="1:10" x14ac:dyDescent="0.25">
      <c r="A49" s="17" t="s">
        <v>50</v>
      </c>
      <c r="B49" s="18"/>
      <c r="C49" s="18"/>
      <c r="D49" s="18"/>
      <c r="E49" s="18"/>
      <c r="F49" s="18"/>
      <c r="G49" s="18"/>
      <c r="H49" s="18"/>
      <c r="I49" s="18"/>
      <c r="J49" s="19"/>
    </row>
    <row r="50" spans="1:10" x14ac:dyDescent="0.25">
      <c r="A50" s="38" t="s">
        <v>51</v>
      </c>
      <c r="B50" s="20"/>
      <c r="C50" s="20"/>
      <c r="D50" s="20"/>
      <c r="E50" s="20"/>
      <c r="F50" s="20"/>
      <c r="G50" s="20"/>
      <c r="H50" s="20"/>
      <c r="I50" s="20"/>
      <c r="J50" s="21"/>
    </row>
    <row r="51" spans="1:10" x14ac:dyDescent="0.25">
      <c r="A51" t="s">
        <v>52</v>
      </c>
    </row>
  </sheetData>
  <hyperlinks>
    <hyperlink ref="H1" r:id="rId1"/>
  </hyperlinks>
  <pageMargins left="0.7" right="0.7" top="0.78740157499999996" bottom="0.78740157499999996" header="0.3" footer="0.3"/>
  <pageSetup paperSize="9" orientation="portrait"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"/>
  <sheetViews>
    <sheetView zoomScale="80" zoomScaleNormal="80" workbookViewId="0">
      <selection activeCell="G1" sqref="G1"/>
    </sheetView>
  </sheetViews>
  <sheetFormatPr baseColWidth="10" defaultRowHeight="15" x14ac:dyDescent="0.25"/>
  <cols>
    <col min="1" max="1" width="20.42578125" customWidth="1"/>
    <col min="2" max="6" width="19.28515625" customWidth="1"/>
    <col min="7" max="7" width="22" customWidth="1"/>
    <col min="8" max="8" width="19.28515625" customWidth="1"/>
  </cols>
  <sheetData>
    <row r="1" spans="1:8" x14ac:dyDescent="0.25">
      <c r="A1" s="4" t="s">
        <v>0</v>
      </c>
      <c r="B1" s="5"/>
      <c r="C1" s="5"/>
      <c r="D1" s="39" t="s">
        <v>184</v>
      </c>
      <c r="E1" s="6"/>
      <c r="F1" s="6"/>
      <c r="G1" s="50" t="s">
        <v>375</v>
      </c>
      <c r="H1" s="6"/>
    </row>
    <row r="2" spans="1:8" s="3" customFormat="1" ht="16.5" customHeight="1" x14ac:dyDescent="0.25">
      <c r="A2" s="25" t="s">
        <v>185</v>
      </c>
      <c r="B2" s="26"/>
      <c r="C2" s="26"/>
      <c r="D2" s="26"/>
      <c r="E2" s="27"/>
      <c r="F2" s="27"/>
      <c r="G2" s="27"/>
      <c r="H2" s="27"/>
    </row>
    <row r="3" spans="1:8" x14ac:dyDescent="0.25">
      <c r="A3" s="9" t="s">
        <v>2</v>
      </c>
      <c r="B3" s="10"/>
      <c r="C3" s="10"/>
      <c r="D3" s="10"/>
      <c r="E3" s="11"/>
      <c r="F3" s="11"/>
      <c r="G3" s="11"/>
      <c r="H3" s="11"/>
    </row>
    <row r="4" spans="1:8" s="1" customFormat="1" x14ac:dyDescent="0.25">
      <c r="A4" s="2"/>
      <c r="B4" s="22" t="s">
        <v>186</v>
      </c>
      <c r="C4" s="22" t="s">
        <v>187</v>
      </c>
      <c r="D4" s="22" t="s">
        <v>188</v>
      </c>
      <c r="E4" s="22" t="s">
        <v>189</v>
      </c>
      <c r="F4" s="22" t="s">
        <v>190</v>
      </c>
      <c r="G4" s="22" t="s">
        <v>191</v>
      </c>
      <c r="H4" s="22" t="s">
        <v>64</v>
      </c>
    </row>
    <row r="5" spans="1:8" x14ac:dyDescent="0.25">
      <c r="A5" s="42" t="s">
        <v>91</v>
      </c>
      <c r="B5" s="43">
        <v>2272.64</v>
      </c>
      <c r="C5" s="43">
        <v>1331.96</v>
      </c>
      <c r="D5" s="43">
        <v>40.21</v>
      </c>
      <c r="E5" s="43">
        <v>158.47999999999999</v>
      </c>
      <c r="F5" s="43">
        <v>6697.95</v>
      </c>
      <c r="G5" s="43">
        <v>217.26</v>
      </c>
      <c r="H5" s="43">
        <v>10718.49</v>
      </c>
    </row>
    <row r="6" spans="1:8" x14ac:dyDescent="0.25">
      <c r="A6" s="35" t="s">
        <v>92</v>
      </c>
      <c r="B6" s="44">
        <v>446.42</v>
      </c>
      <c r="C6" s="44">
        <v>1830.23</v>
      </c>
      <c r="D6" s="44">
        <v>21.61</v>
      </c>
      <c r="E6" s="44">
        <v>25.54</v>
      </c>
      <c r="F6" s="44">
        <v>6761.39</v>
      </c>
      <c r="G6" s="44">
        <v>41.24</v>
      </c>
      <c r="H6" s="44">
        <v>9126.43</v>
      </c>
    </row>
    <row r="7" spans="1:8" s="1" customFormat="1" x14ac:dyDescent="0.25">
      <c r="A7" s="35" t="s">
        <v>65</v>
      </c>
      <c r="B7" s="44">
        <v>2719.06</v>
      </c>
      <c r="C7" s="44">
        <v>3162.19</v>
      </c>
      <c r="D7" s="44">
        <v>61.82</v>
      </c>
      <c r="E7" s="44">
        <v>184.02</v>
      </c>
      <c r="F7" s="44">
        <v>13459.33</v>
      </c>
      <c r="G7" s="44">
        <v>258.5</v>
      </c>
      <c r="H7" s="44">
        <v>19844.919999999998</v>
      </c>
    </row>
    <row r="8" spans="1:8" x14ac:dyDescent="0.25">
      <c r="A8" s="40" t="s">
        <v>66</v>
      </c>
      <c r="B8" s="45" t="s">
        <v>5</v>
      </c>
      <c r="C8" s="45">
        <v>14.72</v>
      </c>
      <c r="D8" s="45" t="s">
        <v>5</v>
      </c>
      <c r="E8" s="45">
        <v>2.62</v>
      </c>
      <c r="F8" s="45">
        <v>235.59</v>
      </c>
      <c r="G8" s="45">
        <v>2.0299999999999998</v>
      </c>
      <c r="H8" s="45">
        <v>254.97</v>
      </c>
    </row>
    <row r="9" spans="1:8" x14ac:dyDescent="0.25">
      <c r="A9" s="40" t="s">
        <v>67</v>
      </c>
      <c r="B9" s="45" t="s">
        <v>5</v>
      </c>
      <c r="C9" s="45">
        <v>38.49</v>
      </c>
      <c r="D9" s="45">
        <v>0</v>
      </c>
      <c r="E9" s="45">
        <v>2.0499999999999998</v>
      </c>
      <c r="F9" s="45">
        <v>18.739999999999998</v>
      </c>
      <c r="G9" s="45">
        <v>4.1500000000000004</v>
      </c>
      <c r="H9" s="45">
        <v>63.43</v>
      </c>
    </row>
    <row r="10" spans="1:8" x14ac:dyDescent="0.25">
      <c r="A10" s="40" t="s">
        <v>68</v>
      </c>
      <c r="B10" s="45">
        <v>48.23</v>
      </c>
      <c r="C10" s="45">
        <v>1.68</v>
      </c>
      <c r="D10" s="45" t="s">
        <v>5</v>
      </c>
      <c r="E10" s="45">
        <v>0.74</v>
      </c>
      <c r="F10" s="45">
        <v>34.53</v>
      </c>
      <c r="G10" s="45">
        <v>3.64</v>
      </c>
      <c r="H10" s="45">
        <v>88.82</v>
      </c>
    </row>
    <row r="11" spans="1:8" s="1" customFormat="1" x14ac:dyDescent="0.25">
      <c r="A11" s="40" t="s">
        <v>69</v>
      </c>
      <c r="B11" s="45">
        <v>93.49</v>
      </c>
      <c r="C11" s="45">
        <v>368.52</v>
      </c>
      <c r="D11" s="45" t="s">
        <v>5</v>
      </c>
      <c r="E11" s="45">
        <v>3.08</v>
      </c>
      <c r="F11" s="45">
        <v>166.3</v>
      </c>
      <c r="G11" s="45">
        <v>8.4600000000000009</v>
      </c>
      <c r="H11" s="45">
        <v>639.84</v>
      </c>
    </row>
    <row r="12" spans="1:8" x14ac:dyDescent="0.25">
      <c r="A12" s="40" t="s">
        <v>93</v>
      </c>
      <c r="B12" s="45">
        <v>26.17</v>
      </c>
      <c r="C12" s="45">
        <v>2.52</v>
      </c>
      <c r="D12" s="45" t="s">
        <v>5</v>
      </c>
      <c r="E12" s="45">
        <v>0.13</v>
      </c>
      <c r="F12" s="45">
        <v>58.17</v>
      </c>
      <c r="G12" s="45">
        <v>1.2</v>
      </c>
      <c r="H12" s="45">
        <v>88.2</v>
      </c>
    </row>
    <row r="13" spans="1:8" x14ac:dyDescent="0.25">
      <c r="A13" s="40" t="s">
        <v>70</v>
      </c>
      <c r="B13" s="45" t="s">
        <v>5</v>
      </c>
      <c r="C13" s="45">
        <v>0.03</v>
      </c>
      <c r="D13" s="45" t="s">
        <v>5</v>
      </c>
      <c r="E13" s="45">
        <v>7.18</v>
      </c>
      <c r="F13" s="45">
        <v>28.09</v>
      </c>
      <c r="G13" s="45">
        <v>3.86</v>
      </c>
      <c r="H13" s="45">
        <v>39.15</v>
      </c>
    </row>
    <row r="14" spans="1:8" x14ac:dyDescent="0.25">
      <c r="A14" s="40" t="s">
        <v>71</v>
      </c>
      <c r="B14" s="45">
        <v>23.42</v>
      </c>
      <c r="C14" s="45">
        <v>14.18</v>
      </c>
      <c r="D14" s="45" t="s">
        <v>5</v>
      </c>
      <c r="E14" s="45">
        <v>0.57999999999999996</v>
      </c>
      <c r="F14" s="45">
        <v>32.97</v>
      </c>
      <c r="G14" s="45">
        <v>10.1</v>
      </c>
      <c r="H14" s="45">
        <v>81.25</v>
      </c>
    </row>
    <row r="15" spans="1:8" x14ac:dyDescent="0.25">
      <c r="A15" s="40" t="s">
        <v>72</v>
      </c>
      <c r="B15" s="45">
        <v>439.73</v>
      </c>
      <c r="C15" s="45">
        <v>63.66</v>
      </c>
      <c r="D15" s="45" t="s">
        <v>5</v>
      </c>
      <c r="E15" s="45">
        <v>4.59</v>
      </c>
      <c r="F15" s="45">
        <v>56.35</v>
      </c>
      <c r="G15" s="45">
        <v>5.51</v>
      </c>
      <c r="H15" s="45">
        <v>569.84</v>
      </c>
    </row>
    <row r="16" spans="1:8" x14ac:dyDescent="0.25">
      <c r="A16" s="40" t="s">
        <v>73</v>
      </c>
      <c r="B16" s="45">
        <v>140.53</v>
      </c>
      <c r="C16" s="45">
        <v>28.46</v>
      </c>
      <c r="D16" s="45" t="s">
        <v>5</v>
      </c>
      <c r="E16" s="45">
        <v>42.79</v>
      </c>
      <c r="F16" s="45">
        <v>394.56</v>
      </c>
      <c r="G16" s="45">
        <v>30.76</v>
      </c>
      <c r="H16" s="45">
        <v>637.1</v>
      </c>
    </row>
    <row r="17" spans="1:8" s="1" customFormat="1" x14ac:dyDescent="0.25">
      <c r="A17" s="40" t="s">
        <v>74</v>
      </c>
      <c r="B17" s="45" t="s">
        <v>5</v>
      </c>
      <c r="C17" s="45">
        <v>3.38</v>
      </c>
      <c r="D17" s="45" t="s">
        <v>5</v>
      </c>
      <c r="E17" s="45">
        <v>1.82</v>
      </c>
      <c r="F17" s="45">
        <v>58.09</v>
      </c>
      <c r="G17" s="45">
        <v>0.21</v>
      </c>
      <c r="H17" s="45">
        <v>63.5</v>
      </c>
    </row>
    <row r="18" spans="1:8" x14ac:dyDescent="0.25">
      <c r="A18" s="40" t="s">
        <v>75</v>
      </c>
      <c r="B18" s="45">
        <v>14.68</v>
      </c>
      <c r="C18" s="45">
        <v>0.21</v>
      </c>
      <c r="D18" s="45" t="s">
        <v>5</v>
      </c>
      <c r="E18" s="45">
        <v>0.11</v>
      </c>
      <c r="F18" s="45">
        <v>23.25</v>
      </c>
      <c r="G18" s="45">
        <v>1.71</v>
      </c>
      <c r="H18" s="45">
        <v>39.96</v>
      </c>
    </row>
    <row r="19" spans="1:8" x14ac:dyDescent="0.25">
      <c r="A19" s="40" t="s">
        <v>76</v>
      </c>
      <c r="B19" s="45" t="s">
        <v>5</v>
      </c>
      <c r="C19" s="45">
        <v>8.39</v>
      </c>
      <c r="D19" s="45">
        <v>3.58</v>
      </c>
      <c r="E19" s="45" t="s">
        <v>5</v>
      </c>
      <c r="F19" s="45">
        <v>0</v>
      </c>
      <c r="G19" s="45">
        <v>0</v>
      </c>
      <c r="H19" s="45">
        <v>11.98</v>
      </c>
    </row>
    <row r="20" spans="1:8" x14ac:dyDescent="0.25">
      <c r="A20" s="40" t="s">
        <v>77</v>
      </c>
      <c r="B20" s="45" t="s">
        <v>5</v>
      </c>
      <c r="C20" s="45">
        <v>1.02</v>
      </c>
      <c r="D20" s="45" t="s">
        <v>5</v>
      </c>
      <c r="E20" s="45">
        <v>1.96</v>
      </c>
      <c r="F20" s="45">
        <v>25.12</v>
      </c>
      <c r="G20" s="45">
        <v>0.13</v>
      </c>
      <c r="H20" s="45">
        <v>28.23</v>
      </c>
    </row>
    <row r="21" spans="1:8" x14ac:dyDescent="0.25">
      <c r="A21" s="40" t="s">
        <v>78</v>
      </c>
      <c r="B21" s="45" t="s">
        <v>5</v>
      </c>
      <c r="C21" s="45">
        <v>38.479999999999997</v>
      </c>
      <c r="D21" s="45">
        <v>5.57</v>
      </c>
      <c r="E21" s="45">
        <v>5.09</v>
      </c>
      <c r="F21" s="45">
        <v>257.79000000000002</v>
      </c>
      <c r="G21" s="45">
        <v>6.95</v>
      </c>
      <c r="H21" s="45">
        <v>313.89</v>
      </c>
    </row>
    <row r="22" spans="1:8" x14ac:dyDescent="0.25">
      <c r="A22" s="40" t="s">
        <v>79</v>
      </c>
      <c r="B22" s="45">
        <v>263.83</v>
      </c>
      <c r="C22" s="45">
        <v>84.23</v>
      </c>
      <c r="D22" s="45">
        <v>3.04</v>
      </c>
      <c r="E22" s="45">
        <v>2.63</v>
      </c>
      <c r="F22" s="45">
        <v>756.95</v>
      </c>
      <c r="G22" s="45">
        <v>23.02</v>
      </c>
      <c r="H22" s="45">
        <v>1133.71</v>
      </c>
    </row>
    <row r="23" spans="1:8" x14ac:dyDescent="0.25">
      <c r="A23" s="40" t="s">
        <v>80</v>
      </c>
      <c r="B23" s="45">
        <v>142.94</v>
      </c>
      <c r="C23" s="45">
        <v>5.04</v>
      </c>
      <c r="D23" s="45" t="s">
        <v>5</v>
      </c>
      <c r="E23" s="45">
        <v>0.52</v>
      </c>
      <c r="F23" s="45">
        <v>278.25</v>
      </c>
      <c r="G23" s="45">
        <v>0.56999999999999995</v>
      </c>
      <c r="H23" s="45">
        <v>427.32</v>
      </c>
    </row>
    <row r="24" spans="1:8" x14ac:dyDescent="0.25">
      <c r="A24" s="40" t="s">
        <v>81</v>
      </c>
      <c r="B24" s="45" t="s">
        <v>5</v>
      </c>
      <c r="C24" s="45">
        <v>0.92</v>
      </c>
      <c r="D24" s="45" t="s">
        <v>5</v>
      </c>
      <c r="E24" s="45">
        <v>0.09</v>
      </c>
      <c r="F24" s="45">
        <v>2.9</v>
      </c>
      <c r="G24" s="45">
        <v>0.1</v>
      </c>
      <c r="H24" s="45">
        <v>4</v>
      </c>
    </row>
    <row r="25" spans="1:8" x14ac:dyDescent="0.25">
      <c r="A25" s="40" t="s">
        <v>82</v>
      </c>
      <c r="B25" s="45">
        <v>10.42</v>
      </c>
      <c r="C25" s="45">
        <v>27.28</v>
      </c>
      <c r="D25" s="45">
        <v>7.4</v>
      </c>
      <c r="E25" s="45">
        <v>0.27</v>
      </c>
      <c r="F25" s="45">
        <v>209.43</v>
      </c>
      <c r="G25" s="45">
        <v>2.66</v>
      </c>
      <c r="H25" s="45">
        <v>257.45999999999998</v>
      </c>
    </row>
    <row r="26" spans="1:8" x14ac:dyDescent="0.25">
      <c r="A26" s="40" t="s">
        <v>83</v>
      </c>
      <c r="B26" s="45">
        <v>4.2</v>
      </c>
      <c r="C26" s="45">
        <v>0.11</v>
      </c>
      <c r="D26" s="45" t="s">
        <v>5</v>
      </c>
      <c r="E26" s="45">
        <v>3.65</v>
      </c>
      <c r="F26" s="45">
        <v>89.72</v>
      </c>
      <c r="G26" s="45">
        <v>5.57</v>
      </c>
      <c r="H26" s="45">
        <v>103.24</v>
      </c>
    </row>
    <row r="27" spans="1:8" s="1" customFormat="1" x14ac:dyDescent="0.25">
      <c r="A27" s="40" t="s">
        <v>94</v>
      </c>
      <c r="B27" s="45" t="s">
        <v>5</v>
      </c>
      <c r="C27" s="45">
        <v>23.52</v>
      </c>
      <c r="D27" s="45">
        <v>3.46</v>
      </c>
      <c r="E27" s="45">
        <v>0.98</v>
      </c>
      <c r="F27" s="45">
        <v>15.11</v>
      </c>
      <c r="G27" s="45">
        <v>0.78</v>
      </c>
      <c r="H27" s="45">
        <v>43.85</v>
      </c>
    </row>
    <row r="28" spans="1:8" x14ac:dyDescent="0.25">
      <c r="A28" s="40" t="s">
        <v>84</v>
      </c>
      <c r="B28" s="45" t="s">
        <v>5</v>
      </c>
      <c r="C28" s="45">
        <v>135.05000000000001</v>
      </c>
      <c r="D28" s="45" t="s">
        <v>5</v>
      </c>
      <c r="E28" s="45">
        <v>1.08</v>
      </c>
      <c r="F28" s="45">
        <v>0.9</v>
      </c>
      <c r="G28" s="45">
        <v>0.44</v>
      </c>
      <c r="H28" s="45">
        <v>137.47</v>
      </c>
    </row>
    <row r="29" spans="1:8" x14ac:dyDescent="0.25">
      <c r="A29" s="40" t="s">
        <v>85</v>
      </c>
      <c r="B29" s="45" t="s">
        <v>5</v>
      </c>
      <c r="C29" s="45">
        <v>2.94</v>
      </c>
      <c r="D29" s="45" t="s">
        <v>5</v>
      </c>
      <c r="E29" s="45">
        <v>0.52</v>
      </c>
      <c r="F29" s="45">
        <v>153</v>
      </c>
      <c r="G29" s="45">
        <v>2.89</v>
      </c>
      <c r="H29" s="45">
        <v>159.35</v>
      </c>
    </row>
    <row r="30" spans="1:8" x14ac:dyDescent="0.25">
      <c r="A30" s="40" t="s">
        <v>86</v>
      </c>
      <c r="B30" s="45" t="s">
        <v>5</v>
      </c>
      <c r="C30" s="45">
        <v>10.45</v>
      </c>
      <c r="D30" s="45">
        <v>0.2</v>
      </c>
      <c r="E30" s="45">
        <v>4.0599999999999996</v>
      </c>
      <c r="F30" s="45">
        <v>30.39</v>
      </c>
      <c r="G30" s="45">
        <v>2.15</v>
      </c>
      <c r="H30" s="45">
        <v>47.25</v>
      </c>
    </row>
    <row r="31" spans="1:8" x14ac:dyDescent="0.25">
      <c r="A31" s="40" t="s">
        <v>95</v>
      </c>
      <c r="B31" s="45">
        <v>15.33</v>
      </c>
      <c r="C31" s="45">
        <v>4.62</v>
      </c>
      <c r="D31" s="45" t="s">
        <v>5</v>
      </c>
      <c r="E31" s="45">
        <v>0.06</v>
      </c>
      <c r="F31" s="45">
        <v>7.55</v>
      </c>
      <c r="G31" s="45">
        <v>0.5</v>
      </c>
      <c r="H31" s="45">
        <v>28.06</v>
      </c>
    </row>
    <row r="32" spans="1:8" x14ac:dyDescent="0.25">
      <c r="A32" s="40" t="s">
        <v>87</v>
      </c>
      <c r="B32" s="45">
        <v>55.1</v>
      </c>
      <c r="C32" s="45">
        <v>30.81</v>
      </c>
      <c r="D32" s="45" t="s">
        <v>5</v>
      </c>
      <c r="E32" s="45">
        <v>28.34</v>
      </c>
      <c r="F32" s="45">
        <v>185.41</v>
      </c>
      <c r="G32" s="45">
        <v>3.64</v>
      </c>
      <c r="H32" s="45">
        <v>303.29000000000002</v>
      </c>
    </row>
    <row r="33" spans="1:8" x14ac:dyDescent="0.25">
      <c r="A33" s="40" t="s">
        <v>88</v>
      </c>
      <c r="B33" s="45">
        <v>66.97</v>
      </c>
      <c r="C33" s="45">
        <v>66.19</v>
      </c>
      <c r="D33" s="45" t="s">
        <v>5</v>
      </c>
      <c r="E33" s="45">
        <v>1.43</v>
      </c>
      <c r="F33" s="45">
        <v>3.61</v>
      </c>
      <c r="G33" s="45">
        <v>10.66</v>
      </c>
      <c r="H33" s="45">
        <v>148.85</v>
      </c>
    </row>
    <row r="34" spans="1:8" x14ac:dyDescent="0.25">
      <c r="A34" s="40" t="s">
        <v>89</v>
      </c>
      <c r="B34" s="45">
        <v>27.93</v>
      </c>
      <c r="C34" s="45">
        <v>36.74</v>
      </c>
      <c r="D34" s="45" t="s">
        <v>5</v>
      </c>
      <c r="E34" s="45">
        <v>0.04</v>
      </c>
      <c r="F34" s="45">
        <v>0.94</v>
      </c>
      <c r="G34" s="45">
        <v>2.31</v>
      </c>
      <c r="H34" s="45">
        <v>67.95</v>
      </c>
    </row>
    <row r="35" spans="1:8" x14ac:dyDescent="0.25">
      <c r="A35" s="40" t="s">
        <v>90</v>
      </c>
      <c r="B35" s="45" t="s">
        <v>5</v>
      </c>
      <c r="C35" s="45">
        <v>35.85</v>
      </c>
      <c r="D35" s="45">
        <v>0.16</v>
      </c>
      <c r="E35" s="45">
        <v>0.36</v>
      </c>
      <c r="F35" s="45">
        <v>154.97999999999999</v>
      </c>
      <c r="G35" s="45">
        <v>0.21</v>
      </c>
      <c r="H35" s="45">
        <v>191.56</v>
      </c>
    </row>
    <row r="36" spans="1:8" s="1" customFormat="1" x14ac:dyDescent="0.25">
      <c r="A36" s="40" t="s">
        <v>96</v>
      </c>
      <c r="B36" s="45">
        <v>63.03</v>
      </c>
      <c r="C36" s="45">
        <v>8.9499999999999993</v>
      </c>
      <c r="D36" s="45" t="s">
        <v>5</v>
      </c>
      <c r="E36" s="45">
        <v>5.29</v>
      </c>
      <c r="F36" s="45">
        <v>307.49</v>
      </c>
      <c r="G36" s="45">
        <v>11.4</v>
      </c>
      <c r="H36" s="45">
        <v>396.14</v>
      </c>
    </row>
    <row r="37" spans="1:8" x14ac:dyDescent="0.25">
      <c r="A37" s="40" t="s">
        <v>97</v>
      </c>
      <c r="B37" s="45">
        <v>836.63</v>
      </c>
      <c r="C37" s="45">
        <v>275.55</v>
      </c>
      <c r="D37" s="45">
        <v>16.8</v>
      </c>
      <c r="E37" s="45">
        <v>36.44</v>
      </c>
      <c r="F37" s="45">
        <v>3111.79</v>
      </c>
      <c r="G37" s="45">
        <v>71.650000000000006</v>
      </c>
      <c r="H37" s="45">
        <v>4348.8599999999997</v>
      </c>
    </row>
    <row r="38" spans="1:8" s="1" customFormat="1" x14ac:dyDescent="0.25">
      <c r="A38" s="35" t="s">
        <v>98</v>
      </c>
      <c r="B38" s="44">
        <v>2272.64</v>
      </c>
      <c r="C38" s="44">
        <v>1331.96</v>
      </c>
      <c r="D38" s="44">
        <v>40.21</v>
      </c>
      <c r="E38" s="44">
        <v>158.47999999999999</v>
      </c>
      <c r="F38" s="44">
        <v>6697.95</v>
      </c>
      <c r="G38" s="44">
        <v>217.26</v>
      </c>
      <c r="H38" s="44">
        <v>10718.49</v>
      </c>
    </row>
    <row r="39" spans="1:8" s="1" customFormat="1" x14ac:dyDescent="0.25">
      <c r="A39" s="35" t="s">
        <v>99</v>
      </c>
      <c r="B39" s="44">
        <v>925.32</v>
      </c>
      <c r="C39" s="44">
        <v>533.11</v>
      </c>
      <c r="D39" s="44">
        <v>9.51</v>
      </c>
      <c r="E39" s="44">
        <v>111.93</v>
      </c>
      <c r="F39" s="44">
        <v>1924.54</v>
      </c>
      <c r="G39" s="44">
        <v>108.09</v>
      </c>
      <c r="H39" s="44">
        <v>3612.5</v>
      </c>
    </row>
    <row r="40" spans="1:8" x14ac:dyDescent="0.25">
      <c r="A40" s="35" t="s">
        <v>100</v>
      </c>
      <c r="B40" s="44">
        <v>406.77</v>
      </c>
      <c r="C40" s="44">
        <v>127.52</v>
      </c>
      <c r="D40" s="44">
        <v>6.5</v>
      </c>
      <c r="E40" s="44">
        <v>6.76</v>
      </c>
      <c r="F40" s="44">
        <v>1285.9000000000001</v>
      </c>
      <c r="G40" s="44">
        <v>26.4</v>
      </c>
      <c r="H40" s="44">
        <v>1859.84</v>
      </c>
    </row>
    <row r="41" spans="1:8" s="1" customFormat="1" x14ac:dyDescent="0.25">
      <c r="A41" s="31" t="s">
        <v>101</v>
      </c>
      <c r="B41" s="46">
        <v>940.55</v>
      </c>
      <c r="C41" s="46">
        <v>671.34</v>
      </c>
      <c r="D41" s="46">
        <v>24.2</v>
      </c>
      <c r="E41" s="46">
        <v>39.79</v>
      </c>
      <c r="F41" s="46">
        <v>3487.51</v>
      </c>
      <c r="G41" s="46">
        <v>82.76</v>
      </c>
      <c r="H41" s="46">
        <v>5246.15</v>
      </c>
    </row>
    <row r="42" spans="1:8" x14ac:dyDescent="0.25">
      <c r="A42" s="33" t="s">
        <v>45</v>
      </c>
      <c r="B42" s="6" t="s">
        <v>63</v>
      </c>
      <c r="C42" s="15"/>
      <c r="D42" s="15"/>
      <c r="E42" s="6"/>
      <c r="F42" s="6"/>
      <c r="G42" s="15"/>
      <c r="H42" s="15"/>
    </row>
    <row r="43" spans="1:8" x14ac:dyDescent="0.25">
      <c r="A43" s="34"/>
      <c r="B43" s="8"/>
      <c r="C43" s="18"/>
      <c r="D43" s="18"/>
      <c r="E43" s="8"/>
      <c r="F43" s="8"/>
      <c r="G43" s="18"/>
      <c r="H43" s="18"/>
    </row>
    <row r="44" spans="1:8" x14ac:dyDescent="0.25">
      <c r="A44" s="17" t="s">
        <v>192</v>
      </c>
      <c r="B44" s="18"/>
      <c r="C44" s="18"/>
      <c r="D44" s="18"/>
      <c r="E44" s="18"/>
      <c r="F44" s="18"/>
      <c r="G44" s="18"/>
      <c r="H44" s="18"/>
    </row>
    <row r="45" spans="1:8" x14ac:dyDescent="0.25">
      <c r="A45" s="17" t="s">
        <v>193</v>
      </c>
      <c r="B45" s="18"/>
      <c r="C45" s="18"/>
      <c r="D45" s="18"/>
      <c r="E45" s="18"/>
      <c r="F45" s="18"/>
      <c r="G45" s="18"/>
      <c r="H45" s="18"/>
    </row>
    <row r="46" spans="1:8" x14ac:dyDescent="0.25">
      <c r="A46" s="17" t="s">
        <v>194</v>
      </c>
      <c r="B46" s="18"/>
      <c r="C46" s="18"/>
      <c r="D46" s="18"/>
      <c r="E46" s="18"/>
      <c r="F46" s="18"/>
      <c r="G46" s="18"/>
      <c r="H46" s="18"/>
    </row>
    <row r="47" spans="1:8" x14ac:dyDescent="0.25">
      <c r="A47" s="17" t="s">
        <v>195</v>
      </c>
      <c r="B47" s="18"/>
      <c r="C47" s="18"/>
      <c r="D47" s="18"/>
      <c r="E47" s="18"/>
      <c r="F47" s="18"/>
      <c r="G47" s="18"/>
      <c r="H47" s="18"/>
    </row>
    <row r="48" spans="1:8" x14ac:dyDescent="0.25">
      <c r="A48" s="17"/>
      <c r="B48" s="18"/>
      <c r="C48" s="18"/>
      <c r="D48" s="18"/>
      <c r="E48" s="18"/>
      <c r="F48" s="18"/>
      <c r="G48" s="18"/>
      <c r="H48" s="18"/>
    </row>
    <row r="49" spans="1:8" x14ac:dyDescent="0.25">
      <c r="A49" s="38" t="s">
        <v>51</v>
      </c>
      <c r="B49" s="20"/>
      <c r="C49" s="20"/>
      <c r="D49" s="20"/>
      <c r="E49" s="20"/>
      <c r="F49" s="20"/>
      <c r="G49" s="20"/>
      <c r="H49" s="20"/>
    </row>
    <row r="50" spans="1:8" x14ac:dyDescent="0.25">
      <c r="A50" t="s">
        <v>52</v>
      </c>
    </row>
  </sheetData>
  <hyperlinks>
    <hyperlink ref="G1" r:id="rId1"/>
  </hyperlinks>
  <pageMargins left="0.7" right="0.7" top="0.78740157499999996" bottom="0.78740157499999996" header="0.3" footer="0.3"/>
  <pageSetup paperSize="9" orientation="portrait"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zoomScale="80" zoomScaleNormal="80" workbookViewId="0">
      <selection activeCell="F1" sqref="F1"/>
    </sheetView>
  </sheetViews>
  <sheetFormatPr baseColWidth="10" defaultRowHeight="15" x14ac:dyDescent="0.25"/>
  <cols>
    <col min="1" max="1" width="20.42578125" customWidth="1"/>
    <col min="2" max="6" width="19.28515625" customWidth="1"/>
    <col min="7" max="7" width="22" customWidth="1"/>
    <col min="8" max="8" width="19.28515625" customWidth="1"/>
  </cols>
  <sheetData>
    <row r="1" spans="1:8" x14ac:dyDescent="0.25">
      <c r="A1" s="4" t="s">
        <v>0</v>
      </c>
      <c r="B1" s="5"/>
      <c r="C1" s="5"/>
      <c r="D1" s="39" t="s">
        <v>196</v>
      </c>
      <c r="E1" s="6"/>
      <c r="F1" s="50" t="s">
        <v>375</v>
      </c>
      <c r="G1" s="6"/>
      <c r="H1" s="6"/>
    </row>
    <row r="2" spans="1:8" s="3" customFormat="1" ht="16.5" customHeight="1" x14ac:dyDescent="0.25">
      <c r="A2" s="25" t="s">
        <v>197</v>
      </c>
      <c r="B2" s="26"/>
      <c r="C2" s="26"/>
      <c r="D2" s="26"/>
      <c r="E2" s="27"/>
      <c r="F2" s="27"/>
      <c r="G2" s="27"/>
      <c r="H2" s="27"/>
    </row>
    <row r="3" spans="1:8" x14ac:dyDescent="0.25">
      <c r="A3" s="9" t="s">
        <v>2</v>
      </c>
      <c r="B3" s="10"/>
      <c r="C3" s="10"/>
      <c r="D3" s="10"/>
      <c r="E3" s="11"/>
      <c r="F3" s="11"/>
      <c r="G3" s="11"/>
      <c r="H3" s="11"/>
    </row>
    <row r="4" spans="1:8" s="1" customFormat="1" x14ac:dyDescent="0.25">
      <c r="A4" s="2"/>
      <c r="B4" s="22" t="s">
        <v>186</v>
      </c>
      <c r="C4" s="22" t="s">
        <v>187</v>
      </c>
      <c r="D4" s="22" t="s">
        <v>188</v>
      </c>
      <c r="E4" s="22" t="s">
        <v>189</v>
      </c>
      <c r="F4" s="22" t="s">
        <v>190</v>
      </c>
      <c r="G4" s="22" t="s">
        <v>191</v>
      </c>
      <c r="H4" s="22" t="s">
        <v>64</v>
      </c>
    </row>
    <row r="5" spans="1:8" x14ac:dyDescent="0.25">
      <c r="A5" s="47" t="s">
        <v>4</v>
      </c>
      <c r="B5" s="48" t="s">
        <v>5</v>
      </c>
      <c r="C5" s="48">
        <v>0.23</v>
      </c>
      <c r="D5" s="48" t="s">
        <v>5</v>
      </c>
      <c r="E5" s="48" t="s">
        <v>5</v>
      </c>
      <c r="F5" s="48">
        <v>36.97</v>
      </c>
      <c r="G5" s="48" t="s">
        <v>5</v>
      </c>
      <c r="H5" s="48">
        <v>37.200000000000003</v>
      </c>
    </row>
    <row r="6" spans="1:8" x14ac:dyDescent="0.25">
      <c r="A6" s="40" t="s">
        <v>6</v>
      </c>
      <c r="B6" s="45" t="s">
        <v>5</v>
      </c>
      <c r="C6" s="45">
        <v>3.2</v>
      </c>
      <c r="D6" s="45" t="s">
        <v>5</v>
      </c>
      <c r="E6" s="45" t="s">
        <v>5</v>
      </c>
      <c r="F6" s="45">
        <v>0.59</v>
      </c>
      <c r="G6" s="45" t="s">
        <v>5</v>
      </c>
      <c r="H6" s="45">
        <v>3.79</v>
      </c>
    </row>
    <row r="7" spans="1:8" s="1" customFormat="1" x14ac:dyDescent="0.25">
      <c r="A7" s="40" t="s">
        <v>7</v>
      </c>
      <c r="B7" s="45" t="s">
        <v>5</v>
      </c>
      <c r="C7" s="45">
        <v>0</v>
      </c>
      <c r="D7" s="45" t="s">
        <v>5</v>
      </c>
      <c r="E7" s="45" t="s">
        <v>5</v>
      </c>
      <c r="F7" s="45">
        <v>0.13</v>
      </c>
      <c r="G7" s="45" t="s">
        <v>5</v>
      </c>
      <c r="H7" s="45">
        <v>0.13</v>
      </c>
    </row>
    <row r="8" spans="1:8" x14ac:dyDescent="0.25">
      <c r="A8" s="40" t="s">
        <v>8</v>
      </c>
      <c r="B8" s="45" t="s">
        <v>5</v>
      </c>
      <c r="C8" s="45" t="s">
        <v>5</v>
      </c>
      <c r="D8" s="45" t="s">
        <v>5</v>
      </c>
      <c r="E8" s="45" t="s">
        <v>5</v>
      </c>
      <c r="F8" s="45">
        <v>1.1200000000000001</v>
      </c>
      <c r="G8" s="45" t="s">
        <v>5</v>
      </c>
      <c r="H8" s="45">
        <v>1.1200000000000001</v>
      </c>
    </row>
    <row r="9" spans="1:8" x14ac:dyDescent="0.25">
      <c r="A9" s="40" t="s">
        <v>9</v>
      </c>
      <c r="B9" s="45" t="s">
        <v>5</v>
      </c>
      <c r="C9" s="45">
        <v>3.85</v>
      </c>
      <c r="D9" s="45" t="s">
        <v>5</v>
      </c>
      <c r="E9" s="45" t="s">
        <v>5</v>
      </c>
      <c r="F9" s="45">
        <v>1.91</v>
      </c>
      <c r="G9" s="45" t="s">
        <v>5</v>
      </c>
      <c r="H9" s="45">
        <v>5.75</v>
      </c>
    </row>
    <row r="10" spans="1:8" x14ac:dyDescent="0.25">
      <c r="A10" s="40" t="s">
        <v>10</v>
      </c>
      <c r="B10" s="45" t="s">
        <v>5</v>
      </c>
      <c r="C10" s="45">
        <v>0.34</v>
      </c>
      <c r="D10" s="45" t="s">
        <v>5</v>
      </c>
      <c r="E10" s="45" t="s">
        <v>5</v>
      </c>
      <c r="F10" s="45">
        <v>7.0000000000000007E-2</v>
      </c>
      <c r="G10" s="45" t="s">
        <v>5</v>
      </c>
      <c r="H10" s="45">
        <v>0.41</v>
      </c>
    </row>
    <row r="11" spans="1:8" s="1" customFormat="1" x14ac:dyDescent="0.25">
      <c r="A11" s="40" t="s">
        <v>11</v>
      </c>
      <c r="B11" s="45" t="s">
        <v>5</v>
      </c>
      <c r="C11" s="45">
        <v>8.2799999999999994</v>
      </c>
      <c r="D11" s="45" t="s">
        <v>5</v>
      </c>
      <c r="E11" s="45" t="s">
        <v>5</v>
      </c>
      <c r="F11" s="45">
        <v>0.03</v>
      </c>
      <c r="G11" s="45" t="s">
        <v>5</v>
      </c>
      <c r="H11" s="45">
        <v>8.3000000000000007</v>
      </c>
    </row>
    <row r="12" spans="1:8" x14ac:dyDescent="0.25">
      <c r="A12" s="40" t="s">
        <v>12</v>
      </c>
      <c r="B12" s="45" t="s">
        <v>5</v>
      </c>
      <c r="C12" s="45">
        <v>1.8</v>
      </c>
      <c r="D12" s="45" t="s">
        <v>5</v>
      </c>
      <c r="E12" s="45" t="s">
        <v>5</v>
      </c>
      <c r="F12" s="45">
        <v>3.72</v>
      </c>
      <c r="G12" s="45">
        <v>0.12</v>
      </c>
      <c r="H12" s="45">
        <v>5.63</v>
      </c>
    </row>
    <row r="13" spans="1:8" x14ac:dyDescent="0.25">
      <c r="A13" s="40" t="s">
        <v>13</v>
      </c>
      <c r="B13" s="45" t="s">
        <v>5</v>
      </c>
      <c r="C13" s="45">
        <v>15.51</v>
      </c>
      <c r="D13" s="45" t="s">
        <v>5</v>
      </c>
      <c r="E13" s="45">
        <v>0.83</v>
      </c>
      <c r="F13" s="45">
        <v>108.79</v>
      </c>
      <c r="G13" s="45" t="s">
        <v>5</v>
      </c>
      <c r="H13" s="45">
        <v>125.13</v>
      </c>
    </row>
    <row r="14" spans="1:8" x14ac:dyDescent="0.25">
      <c r="A14" s="40" t="s">
        <v>14</v>
      </c>
      <c r="B14" s="45" t="s">
        <v>5</v>
      </c>
      <c r="C14" s="45" t="s">
        <v>5</v>
      </c>
      <c r="D14" s="45" t="s">
        <v>5</v>
      </c>
      <c r="E14" s="45">
        <v>0</v>
      </c>
      <c r="F14" s="45">
        <v>0.28999999999999998</v>
      </c>
      <c r="G14" s="45" t="s">
        <v>5</v>
      </c>
      <c r="H14" s="45">
        <v>0.28999999999999998</v>
      </c>
    </row>
    <row r="15" spans="1:8" x14ac:dyDescent="0.25">
      <c r="A15" s="40" t="s">
        <v>15</v>
      </c>
      <c r="B15" s="45" t="s">
        <v>5</v>
      </c>
      <c r="C15" s="45">
        <v>3.37</v>
      </c>
      <c r="D15" s="45" t="s">
        <v>5</v>
      </c>
      <c r="E15" s="45" t="s">
        <v>5</v>
      </c>
      <c r="F15" s="45">
        <v>0.13</v>
      </c>
      <c r="G15" s="45" t="s">
        <v>5</v>
      </c>
      <c r="H15" s="45">
        <v>3.5</v>
      </c>
    </row>
    <row r="16" spans="1:8" x14ac:dyDescent="0.25">
      <c r="A16" s="40" t="s">
        <v>16</v>
      </c>
      <c r="B16" s="45" t="s">
        <v>5</v>
      </c>
      <c r="C16" s="45">
        <v>0.8</v>
      </c>
      <c r="D16" s="45" t="s">
        <v>5</v>
      </c>
      <c r="E16" s="45" t="s">
        <v>5</v>
      </c>
      <c r="F16" s="45">
        <v>1.04</v>
      </c>
      <c r="G16" s="45">
        <v>0.01</v>
      </c>
      <c r="H16" s="45">
        <v>1.84</v>
      </c>
    </row>
    <row r="17" spans="1:8" s="1" customFormat="1" x14ac:dyDescent="0.25">
      <c r="A17" s="40" t="s">
        <v>17</v>
      </c>
      <c r="B17" s="45" t="s">
        <v>5</v>
      </c>
      <c r="C17" s="45">
        <v>3.73</v>
      </c>
      <c r="D17" s="45" t="s">
        <v>5</v>
      </c>
      <c r="E17" s="45" t="s">
        <v>5</v>
      </c>
      <c r="F17" s="45">
        <v>3.25</v>
      </c>
      <c r="G17" s="45" t="s">
        <v>5</v>
      </c>
      <c r="H17" s="45">
        <v>6.98</v>
      </c>
    </row>
    <row r="18" spans="1:8" x14ac:dyDescent="0.25">
      <c r="A18" s="40" t="s">
        <v>18</v>
      </c>
      <c r="B18" s="45" t="s">
        <v>5</v>
      </c>
      <c r="C18" s="45">
        <v>3.48</v>
      </c>
      <c r="D18" s="45">
        <v>1.02</v>
      </c>
      <c r="E18" s="45" t="s">
        <v>5</v>
      </c>
      <c r="F18" s="45">
        <v>1.95</v>
      </c>
      <c r="G18" s="45">
        <v>0.32</v>
      </c>
      <c r="H18" s="45">
        <v>6.77</v>
      </c>
    </row>
    <row r="19" spans="1:8" x14ac:dyDescent="0.25">
      <c r="A19" s="40" t="s">
        <v>19</v>
      </c>
      <c r="B19" s="45" t="s">
        <v>5</v>
      </c>
      <c r="C19" s="45" t="s">
        <v>5</v>
      </c>
      <c r="D19" s="45" t="s">
        <v>5</v>
      </c>
      <c r="E19" s="45" t="s">
        <v>5</v>
      </c>
      <c r="F19" s="45">
        <v>25.69</v>
      </c>
      <c r="G19" s="45" t="s">
        <v>5</v>
      </c>
      <c r="H19" s="45">
        <v>25.69</v>
      </c>
    </row>
    <row r="20" spans="1:8" x14ac:dyDescent="0.25">
      <c r="A20" s="40" t="s">
        <v>20</v>
      </c>
      <c r="B20" s="45" t="s">
        <v>5</v>
      </c>
      <c r="C20" s="45">
        <v>1.33</v>
      </c>
      <c r="D20" s="45" t="s">
        <v>5</v>
      </c>
      <c r="E20" s="45">
        <v>0.28000000000000003</v>
      </c>
      <c r="F20" s="45">
        <v>21.25</v>
      </c>
      <c r="G20" s="45" t="s">
        <v>5</v>
      </c>
      <c r="H20" s="45">
        <v>22.86</v>
      </c>
    </row>
    <row r="21" spans="1:8" x14ac:dyDescent="0.25">
      <c r="A21" s="40" t="s">
        <v>21</v>
      </c>
      <c r="B21" s="45" t="s">
        <v>5</v>
      </c>
      <c r="C21" s="45">
        <v>16.059999999999999</v>
      </c>
      <c r="D21" s="45" t="s">
        <v>5</v>
      </c>
      <c r="E21" s="45" t="s">
        <v>5</v>
      </c>
      <c r="F21" s="45">
        <v>0.01</v>
      </c>
      <c r="G21" s="45" t="s">
        <v>5</v>
      </c>
      <c r="H21" s="45">
        <v>16.079999999999998</v>
      </c>
    </row>
    <row r="22" spans="1:8" x14ac:dyDescent="0.25">
      <c r="A22" s="40" t="s">
        <v>22</v>
      </c>
      <c r="B22" s="45" t="s">
        <v>5</v>
      </c>
      <c r="C22" s="45">
        <v>1.56</v>
      </c>
      <c r="D22" s="45" t="s">
        <v>5</v>
      </c>
      <c r="E22" s="45" t="s">
        <v>5</v>
      </c>
      <c r="F22" s="45">
        <v>0.13</v>
      </c>
      <c r="G22" s="45" t="s">
        <v>5</v>
      </c>
      <c r="H22" s="45">
        <v>1.69</v>
      </c>
    </row>
    <row r="23" spans="1:8" x14ac:dyDescent="0.25">
      <c r="A23" s="40" t="s">
        <v>23</v>
      </c>
      <c r="B23" s="45" t="s">
        <v>5</v>
      </c>
      <c r="C23" s="45">
        <v>6.41</v>
      </c>
      <c r="D23" s="45" t="s">
        <v>5</v>
      </c>
      <c r="E23" s="45" t="s">
        <v>5</v>
      </c>
      <c r="F23" s="45">
        <v>16.57</v>
      </c>
      <c r="G23" s="45" t="s">
        <v>5</v>
      </c>
      <c r="H23" s="45">
        <v>22.98</v>
      </c>
    </row>
    <row r="24" spans="1:8" x14ac:dyDescent="0.25">
      <c r="A24" s="40" t="s">
        <v>24</v>
      </c>
      <c r="B24" s="45" t="s">
        <v>5</v>
      </c>
      <c r="C24" s="45">
        <v>0.22</v>
      </c>
      <c r="D24" s="45" t="s">
        <v>5</v>
      </c>
      <c r="E24" s="45">
        <v>0.03</v>
      </c>
      <c r="F24" s="45">
        <v>1.72</v>
      </c>
      <c r="G24" s="45">
        <v>0.05</v>
      </c>
      <c r="H24" s="45">
        <v>2.02</v>
      </c>
    </row>
    <row r="25" spans="1:8" x14ac:dyDescent="0.25">
      <c r="A25" s="40" t="s">
        <v>25</v>
      </c>
      <c r="B25" s="45">
        <v>11.32</v>
      </c>
      <c r="C25" s="45">
        <v>3.91</v>
      </c>
      <c r="D25" s="45" t="s">
        <v>5</v>
      </c>
      <c r="E25" s="45">
        <v>0.05</v>
      </c>
      <c r="F25" s="45">
        <v>247.94</v>
      </c>
      <c r="G25" s="45">
        <v>0.26</v>
      </c>
      <c r="H25" s="45">
        <v>263.48</v>
      </c>
    </row>
    <row r="26" spans="1:8" x14ac:dyDescent="0.25">
      <c r="A26" s="40" t="s">
        <v>26</v>
      </c>
      <c r="B26" s="45" t="s">
        <v>5</v>
      </c>
      <c r="C26" s="45">
        <v>1.45</v>
      </c>
      <c r="D26" s="45" t="s">
        <v>5</v>
      </c>
      <c r="E26" s="45" t="s">
        <v>5</v>
      </c>
      <c r="F26" s="45">
        <v>3.09</v>
      </c>
      <c r="G26" s="45" t="s">
        <v>5</v>
      </c>
      <c r="H26" s="45">
        <v>4.54</v>
      </c>
    </row>
    <row r="27" spans="1:8" s="1" customFormat="1" x14ac:dyDescent="0.25">
      <c r="A27" s="40" t="s">
        <v>27</v>
      </c>
      <c r="B27" s="45" t="s">
        <v>5</v>
      </c>
      <c r="C27" s="45">
        <v>2.5099999999999998</v>
      </c>
      <c r="D27" s="45" t="s">
        <v>5</v>
      </c>
      <c r="E27" s="45" t="s">
        <v>5</v>
      </c>
      <c r="F27" s="45">
        <v>1.66</v>
      </c>
      <c r="G27" s="45" t="s">
        <v>5</v>
      </c>
      <c r="H27" s="45">
        <v>4.18</v>
      </c>
    </row>
    <row r="28" spans="1:8" x14ac:dyDescent="0.25">
      <c r="A28" s="40" t="s">
        <v>28</v>
      </c>
      <c r="B28" s="45" t="s">
        <v>5</v>
      </c>
      <c r="C28" s="45">
        <v>0.09</v>
      </c>
      <c r="D28" s="45" t="s">
        <v>5</v>
      </c>
      <c r="E28" s="45" t="s">
        <v>5</v>
      </c>
      <c r="F28" s="45">
        <v>0.09</v>
      </c>
      <c r="G28" s="45">
        <v>0.01</v>
      </c>
      <c r="H28" s="45">
        <v>0.2</v>
      </c>
    </row>
    <row r="29" spans="1:8" x14ac:dyDescent="0.25">
      <c r="A29" s="40" t="s">
        <v>29</v>
      </c>
      <c r="B29" s="45" t="s">
        <v>5</v>
      </c>
      <c r="C29" s="45">
        <v>0.05</v>
      </c>
      <c r="D29" s="45" t="s">
        <v>5</v>
      </c>
      <c r="E29" s="45">
        <v>0.04</v>
      </c>
      <c r="F29" s="45">
        <v>14.57</v>
      </c>
      <c r="G29" s="45" t="s">
        <v>5</v>
      </c>
      <c r="H29" s="45">
        <v>14.66</v>
      </c>
    </row>
    <row r="30" spans="1:8" x14ac:dyDescent="0.25">
      <c r="A30" s="40" t="s">
        <v>30</v>
      </c>
      <c r="B30" s="45" t="s">
        <v>5</v>
      </c>
      <c r="C30" s="45">
        <v>9.8000000000000007</v>
      </c>
      <c r="D30" s="45" t="s">
        <v>5</v>
      </c>
      <c r="E30" s="45" t="s">
        <v>5</v>
      </c>
      <c r="F30" s="45">
        <v>0.06</v>
      </c>
      <c r="G30" s="45" t="s">
        <v>5</v>
      </c>
      <c r="H30" s="45">
        <v>9.85</v>
      </c>
    </row>
    <row r="31" spans="1:8" x14ac:dyDescent="0.25">
      <c r="A31" s="40" t="s">
        <v>31</v>
      </c>
      <c r="B31" s="45" t="s">
        <v>5</v>
      </c>
      <c r="C31" s="45">
        <v>5.21</v>
      </c>
      <c r="D31" s="45" t="s">
        <v>5</v>
      </c>
      <c r="E31" s="45" t="s">
        <v>5</v>
      </c>
      <c r="F31" s="45">
        <v>3.97</v>
      </c>
      <c r="G31" s="45" t="s">
        <v>5</v>
      </c>
      <c r="H31" s="45">
        <v>9.18</v>
      </c>
    </row>
    <row r="32" spans="1:8" x14ac:dyDescent="0.25">
      <c r="A32" s="40" t="s">
        <v>32</v>
      </c>
      <c r="B32" s="45" t="s">
        <v>5</v>
      </c>
      <c r="C32" s="45">
        <v>5.45</v>
      </c>
      <c r="D32" s="45" t="s">
        <v>5</v>
      </c>
      <c r="E32" s="45">
        <v>0.01</v>
      </c>
      <c r="F32" s="45">
        <v>8.36</v>
      </c>
      <c r="G32" s="45" t="s">
        <v>5</v>
      </c>
      <c r="H32" s="45">
        <v>13.82</v>
      </c>
    </row>
    <row r="33" spans="1:8" x14ac:dyDescent="0.25">
      <c r="A33" s="35" t="s">
        <v>33</v>
      </c>
      <c r="B33" s="44">
        <v>11.32</v>
      </c>
      <c r="C33" s="44">
        <v>98.63</v>
      </c>
      <c r="D33" s="44">
        <v>1.02</v>
      </c>
      <c r="E33" s="44">
        <v>1.25</v>
      </c>
      <c r="F33" s="44">
        <v>505.09</v>
      </c>
      <c r="G33" s="44">
        <v>0.76</v>
      </c>
      <c r="H33" s="44">
        <v>618.07000000000005</v>
      </c>
    </row>
    <row r="34" spans="1:8" x14ac:dyDescent="0.25">
      <c r="A34" s="40" t="s">
        <v>34</v>
      </c>
      <c r="B34" s="45">
        <v>7.22</v>
      </c>
      <c r="C34" s="45">
        <v>30.73</v>
      </c>
      <c r="D34" s="45" t="s">
        <v>5</v>
      </c>
      <c r="E34" s="45">
        <v>0.06</v>
      </c>
      <c r="F34" s="45">
        <v>75.81</v>
      </c>
      <c r="G34" s="45">
        <v>1.48</v>
      </c>
      <c r="H34" s="45">
        <v>115.3</v>
      </c>
    </row>
    <row r="35" spans="1:8" x14ac:dyDescent="0.25">
      <c r="A35" s="40" t="s">
        <v>35</v>
      </c>
      <c r="B35" s="45" t="s">
        <v>5</v>
      </c>
      <c r="C35" s="45">
        <v>2.3199999999999998</v>
      </c>
      <c r="D35" s="45" t="s">
        <v>5</v>
      </c>
      <c r="E35" s="45" t="s">
        <v>5</v>
      </c>
      <c r="F35" s="45">
        <v>3.24</v>
      </c>
      <c r="G35" s="45">
        <v>0.17</v>
      </c>
      <c r="H35" s="45">
        <v>5.73</v>
      </c>
    </row>
    <row r="36" spans="1:8" s="1" customFormat="1" x14ac:dyDescent="0.25">
      <c r="A36" s="40" t="s">
        <v>36</v>
      </c>
      <c r="B36" s="45">
        <v>12.35</v>
      </c>
      <c r="C36" s="45">
        <v>374.02</v>
      </c>
      <c r="D36" s="45" t="s">
        <v>5</v>
      </c>
      <c r="E36" s="45">
        <v>2</v>
      </c>
      <c r="F36" s="45">
        <v>39.380000000000003</v>
      </c>
      <c r="G36" s="45">
        <v>17.399999999999999</v>
      </c>
      <c r="H36" s="45">
        <v>445.14</v>
      </c>
    </row>
    <row r="37" spans="1:8" x14ac:dyDescent="0.25">
      <c r="A37" s="40" t="s">
        <v>37</v>
      </c>
      <c r="B37" s="45" t="s">
        <v>5</v>
      </c>
      <c r="C37" s="45">
        <v>23.13</v>
      </c>
      <c r="D37" s="45" t="s">
        <v>5</v>
      </c>
      <c r="E37" s="45">
        <v>0.01</v>
      </c>
      <c r="F37" s="45">
        <v>32.29</v>
      </c>
      <c r="G37" s="45">
        <v>3.08</v>
      </c>
      <c r="H37" s="45">
        <v>58.51</v>
      </c>
    </row>
    <row r="38" spans="1:8" s="1" customFormat="1" x14ac:dyDescent="0.25">
      <c r="A38" s="40" t="s">
        <v>38</v>
      </c>
      <c r="B38" s="45" t="s">
        <v>5</v>
      </c>
      <c r="C38" s="45">
        <v>44.45</v>
      </c>
      <c r="D38" s="45" t="s">
        <v>5</v>
      </c>
      <c r="E38" s="45">
        <v>0.05</v>
      </c>
      <c r="F38" s="45">
        <v>10.24</v>
      </c>
      <c r="G38" s="45">
        <v>0.59</v>
      </c>
      <c r="H38" s="45">
        <v>55.31</v>
      </c>
    </row>
    <row r="39" spans="1:8" s="1" customFormat="1" x14ac:dyDescent="0.25">
      <c r="A39" s="40" t="s">
        <v>39</v>
      </c>
      <c r="B39" s="45" t="s">
        <v>5</v>
      </c>
      <c r="C39" s="45">
        <v>6.77</v>
      </c>
      <c r="D39" s="45">
        <v>1.24</v>
      </c>
      <c r="E39" s="45">
        <v>0.24</v>
      </c>
      <c r="F39" s="45">
        <v>0.72</v>
      </c>
      <c r="G39" s="45">
        <v>0.08</v>
      </c>
      <c r="H39" s="45">
        <v>9.0500000000000007</v>
      </c>
    </row>
    <row r="40" spans="1:8" x14ac:dyDescent="0.25">
      <c r="A40" s="40" t="s">
        <v>40</v>
      </c>
      <c r="B40" s="45" t="s">
        <v>5</v>
      </c>
      <c r="C40" s="45">
        <v>0.12</v>
      </c>
      <c r="D40" s="45" t="s">
        <v>5</v>
      </c>
      <c r="E40" s="45" t="s">
        <v>5</v>
      </c>
      <c r="F40" s="45">
        <v>17.170000000000002</v>
      </c>
      <c r="G40" s="45">
        <v>0.33</v>
      </c>
      <c r="H40" s="45">
        <v>17.62</v>
      </c>
    </row>
    <row r="41" spans="1:8" s="1" customFormat="1" x14ac:dyDescent="0.25">
      <c r="A41" s="29" t="s">
        <v>41</v>
      </c>
      <c r="B41" s="49" t="s">
        <v>5</v>
      </c>
      <c r="C41" s="49">
        <v>1.4</v>
      </c>
      <c r="D41" s="49" t="s">
        <v>5</v>
      </c>
      <c r="E41" s="49" t="s">
        <v>5</v>
      </c>
      <c r="F41" s="49">
        <v>13.4</v>
      </c>
      <c r="G41" s="49">
        <v>0.04</v>
      </c>
      <c r="H41" s="49">
        <v>14.84</v>
      </c>
    </row>
    <row r="42" spans="1:8" s="1" customFormat="1" x14ac:dyDescent="0.25">
      <c r="A42" s="29" t="s">
        <v>42</v>
      </c>
      <c r="B42" s="49" t="s">
        <v>5</v>
      </c>
      <c r="C42" s="49">
        <v>9.0399999999999991</v>
      </c>
      <c r="D42" s="49" t="s">
        <v>5</v>
      </c>
      <c r="E42" s="49" t="s">
        <v>5</v>
      </c>
      <c r="F42" s="49">
        <v>8.3000000000000007</v>
      </c>
      <c r="G42" s="49" t="s">
        <v>5</v>
      </c>
      <c r="H42" s="49">
        <v>17.34</v>
      </c>
    </row>
    <row r="43" spans="1:8" s="1" customFormat="1" x14ac:dyDescent="0.25">
      <c r="A43" s="29" t="s">
        <v>43</v>
      </c>
      <c r="B43" s="49" t="s">
        <v>5</v>
      </c>
      <c r="C43" s="49">
        <v>1.74</v>
      </c>
      <c r="D43" s="49">
        <v>1.38</v>
      </c>
      <c r="E43" s="49" t="s">
        <v>5</v>
      </c>
      <c r="F43" s="49">
        <v>2.65</v>
      </c>
      <c r="G43" s="49">
        <v>0.03</v>
      </c>
      <c r="H43" s="49">
        <v>5.81</v>
      </c>
    </row>
    <row r="44" spans="1:8" s="1" customFormat="1" x14ac:dyDescent="0.25">
      <c r="A44" s="29" t="s">
        <v>44</v>
      </c>
      <c r="B44" s="49" t="s">
        <v>5</v>
      </c>
      <c r="C44" s="49">
        <v>3.63</v>
      </c>
      <c r="D44" s="49" t="s">
        <v>5</v>
      </c>
      <c r="E44" s="49" t="s">
        <v>5</v>
      </c>
      <c r="F44" s="49">
        <v>3.75</v>
      </c>
      <c r="G44" s="49">
        <v>1.37</v>
      </c>
      <c r="H44" s="49">
        <v>8.76</v>
      </c>
    </row>
    <row r="45" spans="1:8" x14ac:dyDescent="0.25">
      <c r="A45" s="33" t="s">
        <v>45</v>
      </c>
      <c r="B45" s="6" t="s">
        <v>63</v>
      </c>
      <c r="C45" s="15"/>
      <c r="D45" s="15"/>
      <c r="E45" s="6"/>
      <c r="F45" s="6"/>
      <c r="G45" s="15"/>
      <c r="H45" s="16"/>
    </row>
    <row r="46" spans="1:8" x14ac:dyDescent="0.25">
      <c r="A46" s="34"/>
      <c r="B46" s="8"/>
      <c r="C46" s="18"/>
      <c r="D46" s="18"/>
      <c r="E46" s="8"/>
      <c r="F46" s="8"/>
      <c r="G46" s="18"/>
      <c r="H46" s="19"/>
    </row>
    <row r="47" spans="1:8" x14ac:dyDescent="0.25">
      <c r="A47" s="17" t="s">
        <v>192</v>
      </c>
      <c r="B47" s="18"/>
      <c r="C47" s="18"/>
      <c r="D47" s="18"/>
      <c r="E47" s="18"/>
      <c r="F47" s="18"/>
      <c r="G47" s="18"/>
      <c r="H47" s="19"/>
    </row>
    <row r="48" spans="1:8" x14ac:dyDescent="0.25">
      <c r="A48" s="17" t="s">
        <v>193</v>
      </c>
      <c r="B48" s="18"/>
      <c r="C48" s="18"/>
      <c r="D48" s="18"/>
      <c r="E48" s="18"/>
      <c r="F48" s="18"/>
      <c r="G48" s="18"/>
      <c r="H48" s="19"/>
    </row>
    <row r="49" spans="1:8" x14ac:dyDescent="0.25">
      <c r="A49" s="17" t="s">
        <v>194</v>
      </c>
      <c r="B49" s="18"/>
      <c r="C49" s="18"/>
      <c r="D49" s="18"/>
      <c r="E49" s="18"/>
      <c r="F49" s="18"/>
      <c r="G49" s="18"/>
      <c r="H49" s="19"/>
    </row>
    <row r="50" spans="1:8" x14ac:dyDescent="0.25">
      <c r="A50" s="17" t="s">
        <v>195</v>
      </c>
      <c r="B50" s="18"/>
      <c r="C50" s="18"/>
      <c r="D50" s="18"/>
      <c r="E50" s="18"/>
      <c r="F50" s="18"/>
      <c r="G50" s="18"/>
      <c r="H50" s="19"/>
    </row>
    <row r="51" spans="1:8" x14ac:dyDescent="0.25">
      <c r="A51" s="17"/>
      <c r="B51" s="18"/>
      <c r="C51" s="18"/>
      <c r="D51" s="18"/>
      <c r="E51" s="18"/>
      <c r="F51" s="18"/>
      <c r="G51" s="18"/>
      <c r="H51" s="19"/>
    </row>
    <row r="52" spans="1:8" x14ac:dyDescent="0.25">
      <c r="A52" s="38" t="s">
        <v>51</v>
      </c>
      <c r="B52" s="20"/>
      <c r="C52" s="20"/>
      <c r="D52" s="20"/>
      <c r="E52" s="20"/>
      <c r="F52" s="20"/>
      <c r="G52" s="20"/>
      <c r="H52" s="21"/>
    </row>
    <row r="53" spans="1:8" x14ac:dyDescent="0.25">
      <c r="A53" t="s">
        <v>52</v>
      </c>
    </row>
  </sheetData>
  <hyperlinks>
    <hyperlink ref="F1" r:id="rId1"/>
  </hyperlinks>
  <pageMargins left="0.7" right="0.7" top="0.78740157499999996" bottom="0.78740157499999996" header="0.3" footer="0.3"/>
  <pageSetup paperSize="9" orientation="portrait"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zoomScale="80" zoomScaleNormal="80" workbookViewId="0">
      <selection activeCell="F1" sqref="F1"/>
    </sheetView>
  </sheetViews>
  <sheetFormatPr baseColWidth="10" defaultRowHeight="15" x14ac:dyDescent="0.25"/>
  <cols>
    <col min="1" max="1" width="20.42578125" customWidth="1"/>
    <col min="2" max="6" width="19.28515625" customWidth="1"/>
    <col min="7" max="7" width="22" customWidth="1"/>
    <col min="8" max="8" width="19.28515625" customWidth="1"/>
  </cols>
  <sheetData>
    <row r="1" spans="1:8" x14ac:dyDescent="0.25">
      <c r="A1" s="4" t="s">
        <v>0</v>
      </c>
      <c r="B1" s="5"/>
      <c r="C1" s="5"/>
      <c r="D1" s="39" t="s">
        <v>198</v>
      </c>
      <c r="E1" s="6"/>
      <c r="F1" s="50" t="s">
        <v>375</v>
      </c>
      <c r="G1" s="6"/>
      <c r="H1" s="6"/>
    </row>
    <row r="2" spans="1:8" s="3" customFormat="1" ht="16.5" customHeight="1" x14ac:dyDescent="0.25">
      <c r="A2" s="25" t="s">
        <v>197</v>
      </c>
      <c r="B2" s="26"/>
      <c r="C2" s="26"/>
      <c r="D2" s="26"/>
      <c r="E2" s="27"/>
      <c r="F2" s="27"/>
      <c r="G2" s="27"/>
      <c r="H2" s="27"/>
    </row>
    <row r="3" spans="1:8" x14ac:dyDescent="0.25">
      <c r="A3" s="9" t="s">
        <v>2</v>
      </c>
      <c r="B3" s="10"/>
      <c r="C3" s="10"/>
      <c r="D3" s="10"/>
      <c r="E3" s="11"/>
      <c r="F3" s="11"/>
      <c r="G3" s="11"/>
      <c r="H3" s="11"/>
    </row>
    <row r="4" spans="1:8" s="1" customFormat="1" x14ac:dyDescent="0.25">
      <c r="A4" s="2"/>
      <c r="B4" s="22" t="s">
        <v>186</v>
      </c>
      <c r="C4" s="22" t="s">
        <v>187</v>
      </c>
      <c r="D4" s="22" t="s">
        <v>188</v>
      </c>
      <c r="E4" s="22" t="s">
        <v>189</v>
      </c>
      <c r="F4" s="22" t="s">
        <v>190</v>
      </c>
      <c r="G4" s="22" t="s">
        <v>191</v>
      </c>
      <c r="H4" s="22" t="s">
        <v>64</v>
      </c>
    </row>
    <row r="5" spans="1:8" x14ac:dyDescent="0.25">
      <c r="A5" s="47" t="s">
        <v>104</v>
      </c>
      <c r="B5" s="48" t="s">
        <v>5</v>
      </c>
      <c r="C5" s="48">
        <v>0.15</v>
      </c>
      <c r="D5" s="48" t="s">
        <v>5</v>
      </c>
      <c r="E5" s="48" t="s">
        <v>5</v>
      </c>
      <c r="F5" s="48">
        <v>0.32</v>
      </c>
      <c r="G5" s="48" t="s">
        <v>5</v>
      </c>
      <c r="H5" s="48">
        <v>0.47</v>
      </c>
    </row>
    <row r="6" spans="1:8" x14ac:dyDescent="0.25">
      <c r="A6" s="40" t="s">
        <v>105</v>
      </c>
      <c r="B6" s="45" t="s">
        <v>5</v>
      </c>
      <c r="C6" s="45">
        <v>2.21</v>
      </c>
      <c r="D6" s="45" t="s">
        <v>5</v>
      </c>
      <c r="E6" s="45" t="s">
        <v>5</v>
      </c>
      <c r="F6" s="45">
        <v>3.93</v>
      </c>
      <c r="G6" s="45">
        <v>0.17</v>
      </c>
      <c r="H6" s="45">
        <v>6.32</v>
      </c>
    </row>
    <row r="7" spans="1:8" s="1" customFormat="1" x14ac:dyDescent="0.25">
      <c r="A7" s="40" t="s">
        <v>106</v>
      </c>
      <c r="B7" s="45" t="s">
        <v>5</v>
      </c>
      <c r="C7" s="45">
        <v>0.16</v>
      </c>
      <c r="D7" s="45" t="s">
        <v>5</v>
      </c>
      <c r="E7" s="45">
        <v>0.05</v>
      </c>
      <c r="F7" s="45">
        <v>7.46</v>
      </c>
      <c r="G7" s="45">
        <v>0.11</v>
      </c>
      <c r="H7" s="45">
        <v>7.78</v>
      </c>
    </row>
    <row r="8" spans="1:8" x14ac:dyDescent="0.25">
      <c r="A8" s="40" t="s">
        <v>107</v>
      </c>
      <c r="B8" s="45" t="s">
        <v>5</v>
      </c>
      <c r="C8" s="45" t="s">
        <v>5</v>
      </c>
      <c r="D8" s="45" t="s">
        <v>5</v>
      </c>
      <c r="E8" s="45" t="s">
        <v>5</v>
      </c>
      <c r="F8" s="45">
        <v>1.29</v>
      </c>
      <c r="G8" s="45" t="s">
        <v>5</v>
      </c>
      <c r="H8" s="45">
        <v>1.29</v>
      </c>
    </row>
    <row r="9" spans="1:8" x14ac:dyDescent="0.25">
      <c r="A9" s="40" t="s">
        <v>108</v>
      </c>
      <c r="B9" s="45" t="s">
        <v>5</v>
      </c>
      <c r="C9" s="45">
        <v>0.31</v>
      </c>
      <c r="D9" s="45">
        <v>0.24</v>
      </c>
      <c r="E9" s="45" t="s">
        <v>5</v>
      </c>
      <c r="F9" s="45">
        <v>2.2799999999999998</v>
      </c>
      <c r="G9" s="45">
        <v>0.38</v>
      </c>
      <c r="H9" s="45">
        <v>3.21</v>
      </c>
    </row>
    <row r="10" spans="1:8" x14ac:dyDescent="0.25">
      <c r="A10" s="40" t="s">
        <v>109</v>
      </c>
      <c r="B10" s="45" t="s">
        <v>5</v>
      </c>
      <c r="C10" s="45">
        <v>3.67</v>
      </c>
      <c r="D10" s="45" t="s">
        <v>5</v>
      </c>
      <c r="E10" s="45" t="s">
        <v>5</v>
      </c>
      <c r="F10" s="45">
        <v>2.79</v>
      </c>
      <c r="G10" s="45">
        <v>0.02</v>
      </c>
      <c r="H10" s="45">
        <v>6.48</v>
      </c>
    </row>
    <row r="11" spans="1:8" s="1" customFormat="1" x14ac:dyDescent="0.25">
      <c r="A11" s="40" t="s">
        <v>110</v>
      </c>
      <c r="B11" s="45" t="s">
        <v>5</v>
      </c>
      <c r="C11" s="45">
        <v>53.73</v>
      </c>
      <c r="D11" s="45" t="s">
        <v>5</v>
      </c>
      <c r="E11" s="45" t="s">
        <v>5</v>
      </c>
      <c r="F11" s="45" t="s">
        <v>5</v>
      </c>
      <c r="G11" s="45" t="s">
        <v>5</v>
      </c>
      <c r="H11" s="45">
        <v>53.73</v>
      </c>
    </row>
    <row r="12" spans="1:8" x14ac:dyDescent="0.25">
      <c r="A12" s="40" t="s">
        <v>111</v>
      </c>
      <c r="B12" s="45" t="s">
        <v>5</v>
      </c>
      <c r="C12" s="45">
        <v>19.55</v>
      </c>
      <c r="D12" s="45" t="s">
        <v>5</v>
      </c>
      <c r="E12" s="45">
        <v>0</v>
      </c>
      <c r="F12" s="45">
        <v>9.93</v>
      </c>
      <c r="G12" s="45">
        <v>0.45</v>
      </c>
      <c r="H12" s="45">
        <v>29.93</v>
      </c>
    </row>
    <row r="13" spans="1:8" x14ac:dyDescent="0.25">
      <c r="A13" s="40" t="s">
        <v>112</v>
      </c>
      <c r="B13" s="45" t="s">
        <v>5</v>
      </c>
      <c r="C13" s="45" t="s">
        <v>5</v>
      </c>
      <c r="D13" s="45" t="s">
        <v>5</v>
      </c>
      <c r="E13" s="45" t="s">
        <v>5</v>
      </c>
      <c r="F13" s="45">
        <v>7.65</v>
      </c>
      <c r="G13" s="45">
        <v>0.01</v>
      </c>
      <c r="H13" s="45">
        <v>7.66</v>
      </c>
    </row>
    <row r="14" spans="1:8" x14ac:dyDescent="0.25">
      <c r="A14" s="40" t="s">
        <v>113</v>
      </c>
      <c r="B14" s="45" t="s">
        <v>5</v>
      </c>
      <c r="C14" s="45">
        <v>8.07</v>
      </c>
      <c r="D14" s="45" t="s">
        <v>5</v>
      </c>
      <c r="E14" s="45" t="s">
        <v>5</v>
      </c>
      <c r="F14" s="45">
        <v>1.22</v>
      </c>
      <c r="G14" s="45">
        <v>0.13</v>
      </c>
      <c r="H14" s="45">
        <v>9.43</v>
      </c>
    </row>
    <row r="15" spans="1:8" x14ac:dyDescent="0.25">
      <c r="A15" s="40" t="s">
        <v>114</v>
      </c>
      <c r="B15" s="45" t="s">
        <v>5</v>
      </c>
      <c r="C15" s="45">
        <v>83.06</v>
      </c>
      <c r="D15" s="45" t="s">
        <v>5</v>
      </c>
      <c r="E15" s="45" t="s">
        <v>5</v>
      </c>
      <c r="F15" s="45">
        <v>31.79</v>
      </c>
      <c r="G15" s="45" t="s">
        <v>5</v>
      </c>
      <c r="H15" s="45">
        <v>114.85</v>
      </c>
    </row>
    <row r="16" spans="1:8" x14ac:dyDescent="0.25">
      <c r="A16" s="40" t="s">
        <v>115</v>
      </c>
      <c r="B16" s="45" t="s">
        <v>5</v>
      </c>
      <c r="C16" s="45">
        <v>1.04</v>
      </c>
      <c r="D16" s="45" t="s">
        <v>5</v>
      </c>
      <c r="E16" s="45" t="s">
        <v>5</v>
      </c>
      <c r="F16" s="45">
        <v>11.19</v>
      </c>
      <c r="G16" s="45">
        <v>0.1</v>
      </c>
      <c r="H16" s="45">
        <v>12.34</v>
      </c>
    </row>
    <row r="17" spans="1:8" s="1" customFormat="1" x14ac:dyDescent="0.25">
      <c r="A17" s="35" t="s">
        <v>116</v>
      </c>
      <c r="B17" s="44">
        <v>19.57</v>
      </c>
      <c r="C17" s="44">
        <v>669.28</v>
      </c>
      <c r="D17" s="44">
        <v>2.86</v>
      </c>
      <c r="E17" s="44">
        <v>2.41</v>
      </c>
      <c r="F17" s="44">
        <v>286.81</v>
      </c>
      <c r="G17" s="44">
        <v>25.95</v>
      </c>
      <c r="H17" s="44">
        <v>1006.88</v>
      </c>
    </row>
    <row r="18" spans="1:8" x14ac:dyDescent="0.25">
      <c r="A18" s="40" t="s">
        <v>117</v>
      </c>
      <c r="B18" s="45" t="s">
        <v>5</v>
      </c>
      <c r="C18" s="45">
        <v>1.39</v>
      </c>
      <c r="D18" s="45" t="s">
        <v>5</v>
      </c>
      <c r="E18" s="45" t="s">
        <v>5</v>
      </c>
      <c r="F18" s="45">
        <v>22.99</v>
      </c>
      <c r="G18" s="45" t="s">
        <v>5</v>
      </c>
      <c r="H18" s="45">
        <v>24.38</v>
      </c>
    </row>
    <row r="19" spans="1:8" x14ac:dyDescent="0.25">
      <c r="A19" s="40" t="s">
        <v>118</v>
      </c>
      <c r="B19" s="45" t="s">
        <v>5</v>
      </c>
      <c r="C19" s="45" t="s">
        <v>5</v>
      </c>
      <c r="D19" s="45" t="s">
        <v>5</v>
      </c>
      <c r="E19" s="45" t="s">
        <v>5</v>
      </c>
      <c r="F19" s="45">
        <v>3.4</v>
      </c>
      <c r="G19" s="45" t="s">
        <v>5</v>
      </c>
      <c r="H19" s="45">
        <v>3.4</v>
      </c>
    </row>
    <row r="20" spans="1:8" x14ac:dyDescent="0.25">
      <c r="A20" s="40" t="s">
        <v>119</v>
      </c>
      <c r="B20" s="45" t="s">
        <v>5</v>
      </c>
      <c r="C20" s="45">
        <v>0.05</v>
      </c>
      <c r="D20" s="45" t="s">
        <v>5</v>
      </c>
      <c r="E20" s="45" t="s">
        <v>5</v>
      </c>
      <c r="F20" s="45">
        <v>1.29</v>
      </c>
      <c r="G20" s="45">
        <v>0.01</v>
      </c>
      <c r="H20" s="45">
        <v>1.35</v>
      </c>
    </row>
    <row r="21" spans="1:8" x14ac:dyDescent="0.25">
      <c r="A21" s="40" t="s">
        <v>120</v>
      </c>
      <c r="B21" s="45">
        <v>16.78</v>
      </c>
      <c r="C21" s="45">
        <v>123.83</v>
      </c>
      <c r="D21" s="45" t="s">
        <v>5</v>
      </c>
      <c r="E21" s="45">
        <v>11.67</v>
      </c>
      <c r="F21" s="45">
        <v>638.20000000000005</v>
      </c>
      <c r="G21" s="45">
        <v>1.95</v>
      </c>
      <c r="H21" s="45">
        <v>792.42</v>
      </c>
    </row>
    <row r="22" spans="1:8" x14ac:dyDescent="0.25">
      <c r="A22" s="40" t="s">
        <v>121</v>
      </c>
      <c r="B22" s="45" t="s">
        <v>5</v>
      </c>
      <c r="C22" s="45">
        <v>11.29</v>
      </c>
      <c r="D22" s="45">
        <v>7.02</v>
      </c>
      <c r="E22" s="45" t="s">
        <v>5</v>
      </c>
      <c r="F22" s="45">
        <v>123.93</v>
      </c>
      <c r="G22" s="45" t="s">
        <v>5</v>
      </c>
      <c r="H22" s="45">
        <v>142.24</v>
      </c>
    </row>
    <row r="23" spans="1:8" x14ac:dyDescent="0.25">
      <c r="A23" s="40" t="s">
        <v>122</v>
      </c>
      <c r="B23" s="45" t="s">
        <v>5</v>
      </c>
      <c r="C23" s="45">
        <v>13.28</v>
      </c>
      <c r="D23" s="45" t="s">
        <v>5</v>
      </c>
      <c r="E23" s="45" t="s">
        <v>5</v>
      </c>
      <c r="F23" s="45">
        <v>8.24</v>
      </c>
      <c r="G23" s="45" t="s">
        <v>5</v>
      </c>
      <c r="H23" s="45">
        <v>21.52</v>
      </c>
    </row>
    <row r="24" spans="1:8" x14ac:dyDescent="0.25">
      <c r="A24" s="40" t="s">
        <v>123</v>
      </c>
      <c r="B24" s="45" t="s">
        <v>5</v>
      </c>
      <c r="C24" s="45">
        <v>6.49</v>
      </c>
      <c r="D24" s="45" t="s">
        <v>5</v>
      </c>
      <c r="E24" s="45">
        <v>0</v>
      </c>
      <c r="F24" s="45">
        <v>94.83</v>
      </c>
      <c r="G24" s="45" t="s">
        <v>5</v>
      </c>
      <c r="H24" s="45">
        <v>101.33</v>
      </c>
    </row>
    <row r="25" spans="1:8" x14ac:dyDescent="0.25">
      <c r="A25" s="40" t="s">
        <v>124</v>
      </c>
      <c r="B25" s="45" t="s">
        <v>5</v>
      </c>
      <c r="C25" s="45" t="s">
        <v>5</v>
      </c>
      <c r="D25" s="45" t="s">
        <v>5</v>
      </c>
      <c r="E25" s="45" t="s">
        <v>5</v>
      </c>
      <c r="F25" s="45">
        <v>3.83</v>
      </c>
      <c r="G25" s="45" t="s">
        <v>5</v>
      </c>
      <c r="H25" s="45">
        <v>3.83</v>
      </c>
    </row>
    <row r="26" spans="1:8" x14ac:dyDescent="0.25">
      <c r="A26" s="40" t="s">
        <v>125</v>
      </c>
      <c r="B26" s="45" t="s">
        <v>5</v>
      </c>
      <c r="C26" s="45">
        <v>3.51</v>
      </c>
      <c r="D26" s="45" t="s">
        <v>5</v>
      </c>
      <c r="E26" s="45" t="s">
        <v>5</v>
      </c>
      <c r="F26" s="45">
        <v>3</v>
      </c>
      <c r="G26" s="45" t="s">
        <v>5</v>
      </c>
      <c r="H26" s="45">
        <v>6.5</v>
      </c>
    </row>
    <row r="27" spans="1:8" s="1" customFormat="1" x14ac:dyDescent="0.25">
      <c r="A27" s="40" t="s">
        <v>126</v>
      </c>
      <c r="B27" s="45" t="s">
        <v>5</v>
      </c>
      <c r="C27" s="45">
        <v>2.8</v>
      </c>
      <c r="D27" s="45" t="s">
        <v>5</v>
      </c>
      <c r="E27" s="45" t="s">
        <v>5</v>
      </c>
      <c r="F27" s="45">
        <v>0.01</v>
      </c>
      <c r="G27" s="45" t="s">
        <v>5</v>
      </c>
      <c r="H27" s="45">
        <v>2.81</v>
      </c>
    </row>
    <row r="28" spans="1:8" x14ac:dyDescent="0.25">
      <c r="A28" s="40" t="s">
        <v>127</v>
      </c>
      <c r="B28" s="45">
        <v>3.08</v>
      </c>
      <c r="C28" s="45">
        <v>28.71</v>
      </c>
      <c r="D28" s="45" t="s">
        <v>5</v>
      </c>
      <c r="E28" s="45" t="s">
        <v>5</v>
      </c>
      <c r="F28" s="45">
        <v>63.91</v>
      </c>
      <c r="G28" s="45" t="s">
        <v>5</v>
      </c>
      <c r="H28" s="45">
        <v>95.69</v>
      </c>
    </row>
    <row r="29" spans="1:8" x14ac:dyDescent="0.25">
      <c r="A29" s="40" t="s">
        <v>128</v>
      </c>
      <c r="B29" s="45" t="s">
        <v>5</v>
      </c>
      <c r="C29" s="45">
        <v>8.56</v>
      </c>
      <c r="D29" s="45">
        <v>10.220000000000001</v>
      </c>
      <c r="E29" s="45">
        <v>0.06</v>
      </c>
      <c r="F29" s="45">
        <v>40.770000000000003</v>
      </c>
      <c r="G29" s="45" t="s">
        <v>5</v>
      </c>
      <c r="H29" s="45">
        <v>59.61</v>
      </c>
    </row>
    <row r="30" spans="1:8" x14ac:dyDescent="0.25">
      <c r="A30" s="40" t="s">
        <v>129</v>
      </c>
      <c r="B30" s="45" t="s">
        <v>5</v>
      </c>
      <c r="C30" s="45" t="s">
        <v>5</v>
      </c>
      <c r="D30" s="45" t="s">
        <v>5</v>
      </c>
      <c r="E30" s="45" t="s">
        <v>5</v>
      </c>
      <c r="F30" s="45">
        <v>41.13</v>
      </c>
      <c r="G30" s="45" t="s">
        <v>5</v>
      </c>
      <c r="H30" s="45">
        <v>41.13</v>
      </c>
    </row>
    <row r="31" spans="1:8" x14ac:dyDescent="0.25">
      <c r="A31" s="40" t="s">
        <v>130</v>
      </c>
      <c r="B31" s="45" t="s">
        <v>5</v>
      </c>
      <c r="C31" s="45">
        <v>3.95</v>
      </c>
      <c r="D31" s="45" t="s">
        <v>5</v>
      </c>
      <c r="E31" s="45">
        <v>0.02</v>
      </c>
      <c r="F31" s="45">
        <v>5.94</v>
      </c>
      <c r="G31" s="45">
        <v>0</v>
      </c>
      <c r="H31" s="45">
        <v>9.9</v>
      </c>
    </row>
    <row r="32" spans="1:8" x14ac:dyDescent="0.25">
      <c r="A32" s="40" t="s">
        <v>131</v>
      </c>
      <c r="B32" s="45">
        <v>40.54</v>
      </c>
      <c r="C32" s="45">
        <v>8.35</v>
      </c>
      <c r="D32" s="45" t="s">
        <v>5</v>
      </c>
      <c r="E32" s="45">
        <v>0.45</v>
      </c>
      <c r="F32" s="45">
        <v>190.09</v>
      </c>
      <c r="G32" s="45">
        <v>3.69</v>
      </c>
      <c r="H32" s="45">
        <v>243.12</v>
      </c>
    </row>
    <row r="33" spans="1:8" x14ac:dyDescent="0.25">
      <c r="A33" s="40" t="s">
        <v>132</v>
      </c>
      <c r="B33" s="45" t="s">
        <v>5</v>
      </c>
      <c r="C33" s="45">
        <v>8.11</v>
      </c>
      <c r="D33" s="45">
        <v>0</v>
      </c>
      <c r="E33" s="45" t="s">
        <v>5</v>
      </c>
      <c r="F33" s="45">
        <v>131.07</v>
      </c>
      <c r="G33" s="45">
        <v>4.1900000000000004</v>
      </c>
      <c r="H33" s="45">
        <v>143.38</v>
      </c>
    </row>
    <row r="34" spans="1:8" x14ac:dyDescent="0.25">
      <c r="A34" s="40" t="s">
        <v>133</v>
      </c>
      <c r="B34" s="45" t="s">
        <v>5</v>
      </c>
      <c r="C34" s="45">
        <v>29.88</v>
      </c>
      <c r="D34" s="45" t="s">
        <v>5</v>
      </c>
      <c r="E34" s="45" t="s">
        <v>5</v>
      </c>
      <c r="F34" s="45">
        <v>39.6</v>
      </c>
      <c r="G34" s="45" t="s">
        <v>5</v>
      </c>
      <c r="H34" s="45">
        <v>69.489999999999995</v>
      </c>
    </row>
    <row r="35" spans="1:8" x14ac:dyDescent="0.25">
      <c r="A35" s="40" t="s">
        <v>134</v>
      </c>
      <c r="B35" s="45" t="s">
        <v>5</v>
      </c>
      <c r="C35" s="45">
        <v>9.8000000000000007</v>
      </c>
      <c r="D35" s="45" t="s">
        <v>5</v>
      </c>
      <c r="E35" s="45" t="s">
        <v>5</v>
      </c>
      <c r="F35" s="45">
        <v>8.48</v>
      </c>
      <c r="G35" s="45" t="s">
        <v>5</v>
      </c>
      <c r="H35" s="45">
        <v>18.28</v>
      </c>
    </row>
    <row r="36" spans="1:8" s="1" customFormat="1" x14ac:dyDescent="0.25">
      <c r="A36" s="35" t="s">
        <v>135</v>
      </c>
      <c r="B36" s="44">
        <v>60.39</v>
      </c>
      <c r="C36" s="44">
        <v>259.99</v>
      </c>
      <c r="D36" s="44">
        <v>17.239999999999998</v>
      </c>
      <c r="E36" s="44">
        <v>12.2</v>
      </c>
      <c r="F36" s="44">
        <v>1420.72</v>
      </c>
      <c r="G36" s="44">
        <v>9.84</v>
      </c>
      <c r="H36" s="44">
        <v>1780.36</v>
      </c>
    </row>
    <row r="37" spans="1:8" x14ac:dyDescent="0.25">
      <c r="A37" s="40" t="s">
        <v>136</v>
      </c>
      <c r="B37" s="45">
        <v>62.13</v>
      </c>
      <c r="C37" s="45">
        <v>485.26</v>
      </c>
      <c r="D37" s="45" t="s">
        <v>5</v>
      </c>
      <c r="E37" s="45">
        <v>8.91</v>
      </c>
      <c r="F37" s="45">
        <v>2720.62</v>
      </c>
      <c r="G37" s="45">
        <v>2.31</v>
      </c>
      <c r="H37" s="45">
        <v>3279.23</v>
      </c>
    </row>
    <row r="38" spans="1:8" s="1" customFormat="1" x14ac:dyDescent="0.25">
      <c r="A38" s="40" t="s">
        <v>137</v>
      </c>
      <c r="B38" s="45" t="s">
        <v>5</v>
      </c>
      <c r="C38" s="45" t="s">
        <v>5</v>
      </c>
      <c r="D38" s="45" t="s">
        <v>5</v>
      </c>
      <c r="E38" s="45">
        <v>0</v>
      </c>
      <c r="F38" s="45">
        <v>38.950000000000003</v>
      </c>
      <c r="G38" s="45" t="s">
        <v>5</v>
      </c>
      <c r="H38" s="45">
        <v>38.950000000000003</v>
      </c>
    </row>
    <row r="39" spans="1:8" s="1" customFormat="1" x14ac:dyDescent="0.25">
      <c r="A39" s="35" t="s">
        <v>138</v>
      </c>
      <c r="B39" s="44">
        <v>62.13</v>
      </c>
      <c r="C39" s="44">
        <v>485.26</v>
      </c>
      <c r="D39" s="44" t="s">
        <v>5</v>
      </c>
      <c r="E39" s="44">
        <v>8.91</v>
      </c>
      <c r="F39" s="44">
        <v>2759.57</v>
      </c>
      <c r="G39" s="44">
        <v>2.31</v>
      </c>
      <c r="H39" s="44">
        <v>3318.19</v>
      </c>
    </row>
    <row r="40" spans="1:8" x14ac:dyDescent="0.25">
      <c r="A40" s="40" t="s">
        <v>139</v>
      </c>
      <c r="B40" s="45" t="s">
        <v>5</v>
      </c>
      <c r="C40" s="45">
        <v>2.79</v>
      </c>
      <c r="D40" s="45" t="s">
        <v>5</v>
      </c>
      <c r="E40" s="45" t="s">
        <v>5</v>
      </c>
      <c r="F40" s="45">
        <v>7.0000000000000007E-2</v>
      </c>
      <c r="G40" s="45" t="s">
        <v>5</v>
      </c>
      <c r="H40" s="45">
        <v>2.86</v>
      </c>
    </row>
    <row r="41" spans="1:8" s="1" customFormat="1" x14ac:dyDescent="0.25">
      <c r="A41" s="29" t="s">
        <v>140</v>
      </c>
      <c r="B41" s="49" t="s">
        <v>5</v>
      </c>
      <c r="C41" s="49">
        <v>4</v>
      </c>
      <c r="D41" s="49" t="s">
        <v>5</v>
      </c>
      <c r="E41" s="49" t="s">
        <v>5</v>
      </c>
      <c r="F41" s="49">
        <v>7.82</v>
      </c>
      <c r="G41" s="49" t="s">
        <v>5</v>
      </c>
      <c r="H41" s="49">
        <v>11.82</v>
      </c>
    </row>
    <row r="42" spans="1:8" s="1" customFormat="1" x14ac:dyDescent="0.25">
      <c r="A42" s="29" t="s">
        <v>141</v>
      </c>
      <c r="B42" s="49">
        <v>14.64</v>
      </c>
      <c r="C42" s="49">
        <v>3.23</v>
      </c>
      <c r="D42" s="49" t="s">
        <v>5</v>
      </c>
      <c r="E42" s="49">
        <v>0.05</v>
      </c>
      <c r="F42" s="49">
        <v>25.37</v>
      </c>
      <c r="G42" s="49">
        <v>0.01</v>
      </c>
      <c r="H42" s="49">
        <v>43.3</v>
      </c>
    </row>
    <row r="43" spans="1:8" s="1" customFormat="1" x14ac:dyDescent="0.25">
      <c r="A43" s="29" t="s">
        <v>142</v>
      </c>
      <c r="B43" s="49" t="s">
        <v>5</v>
      </c>
      <c r="C43" s="49">
        <v>4.4000000000000004</v>
      </c>
      <c r="D43" s="49" t="s">
        <v>5</v>
      </c>
      <c r="E43" s="49">
        <v>0.04</v>
      </c>
      <c r="F43" s="49">
        <v>7.8</v>
      </c>
      <c r="G43" s="49">
        <v>0.01</v>
      </c>
      <c r="H43" s="49">
        <v>12.25</v>
      </c>
    </row>
    <row r="44" spans="1:8" s="1" customFormat="1" x14ac:dyDescent="0.25">
      <c r="A44" s="29" t="s">
        <v>143</v>
      </c>
      <c r="B44" s="49" t="s">
        <v>5</v>
      </c>
      <c r="C44" s="49" t="s">
        <v>5</v>
      </c>
      <c r="D44" s="49" t="s">
        <v>5</v>
      </c>
      <c r="E44" s="49">
        <v>0</v>
      </c>
      <c r="F44" s="49">
        <v>4.87</v>
      </c>
      <c r="G44" s="49" t="s">
        <v>5</v>
      </c>
      <c r="H44" s="49">
        <v>4.87</v>
      </c>
    </row>
    <row r="45" spans="1:8" x14ac:dyDescent="0.25">
      <c r="A45" s="33" t="s">
        <v>45</v>
      </c>
      <c r="B45" s="6" t="s">
        <v>63</v>
      </c>
      <c r="C45" s="15"/>
      <c r="D45" s="15"/>
      <c r="E45" s="6"/>
      <c r="F45" s="6"/>
      <c r="G45" s="15"/>
      <c r="H45" s="16"/>
    </row>
    <row r="46" spans="1:8" x14ac:dyDescent="0.25">
      <c r="A46" s="34"/>
      <c r="B46" s="8"/>
      <c r="C46" s="18"/>
      <c r="D46" s="18"/>
      <c r="E46" s="8"/>
      <c r="F46" s="8"/>
      <c r="G46" s="18"/>
      <c r="H46" s="19"/>
    </row>
    <row r="47" spans="1:8" x14ac:dyDescent="0.25">
      <c r="A47" s="17" t="s">
        <v>192</v>
      </c>
      <c r="B47" s="18"/>
      <c r="C47" s="18"/>
      <c r="D47" s="18"/>
      <c r="E47" s="18"/>
      <c r="F47" s="18"/>
      <c r="G47" s="18"/>
      <c r="H47" s="19"/>
    </row>
    <row r="48" spans="1:8" x14ac:dyDescent="0.25">
      <c r="A48" s="17" t="s">
        <v>193</v>
      </c>
      <c r="B48" s="18"/>
      <c r="C48" s="18"/>
      <c r="D48" s="18"/>
      <c r="E48" s="18"/>
      <c r="F48" s="18"/>
      <c r="G48" s="18"/>
      <c r="H48" s="19"/>
    </row>
    <row r="49" spans="1:8" x14ac:dyDescent="0.25">
      <c r="A49" s="17" t="s">
        <v>194</v>
      </c>
      <c r="B49" s="18"/>
      <c r="C49" s="18"/>
      <c r="D49" s="18"/>
      <c r="E49" s="18"/>
      <c r="F49" s="18"/>
      <c r="G49" s="18"/>
      <c r="H49" s="19"/>
    </row>
    <row r="50" spans="1:8" x14ac:dyDescent="0.25">
      <c r="A50" s="17" t="s">
        <v>195</v>
      </c>
      <c r="B50" s="18"/>
      <c r="C50" s="18"/>
      <c r="D50" s="18"/>
      <c r="E50" s="18"/>
      <c r="F50" s="18"/>
      <c r="G50" s="18"/>
      <c r="H50" s="19"/>
    </row>
    <row r="51" spans="1:8" x14ac:dyDescent="0.25">
      <c r="A51" s="17"/>
      <c r="B51" s="18"/>
      <c r="C51" s="18"/>
      <c r="D51" s="18"/>
      <c r="E51" s="18"/>
      <c r="F51" s="18"/>
      <c r="G51" s="18"/>
      <c r="H51" s="19"/>
    </row>
    <row r="52" spans="1:8" x14ac:dyDescent="0.25">
      <c r="A52" s="38" t="s">
        <v>51</v>
      </c>
      <c r="B52" s="20"/>
      <c r="C52" s="20"/>
      <c r="D52" s="20"/>
      <c r="E52" s="20"/>
      <c r="F52" s="20"/>
      <c r="G52" s="20"/>
      <c r="H52" s="21"/>
    </row>
    <row r="53" spans="1:8" x14ac:dyDescent="0.25">
      <c r="A53" t="s">
        <v>52</v>
      </c>
    </row>
  </sheetData>
  <hyperlinks>
    <hyperlink ref="F1" r:id="rId1"/>
  </hyperlinks>
  <pageMargins left="0.7" right="0.7" top="0.78740157499999996" bottom="0.78740157499999996" header="0.3" footer="0.3"/>
  <pageSetup paperSize="9" orientation="portrait"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"/>
  <sheetViews>
    <sheetView zoomScale="80" zoomScaleNormal="80" workbookViewId="0">
      <selection activeCell="F1" sqref="F1"/>
    </sheetView>
  </sheetViews>
  <sheetFormatPr baseColWidth="10" defaultRowHeight="15" x14ac:dyDescent="0.25"/>
  <cols>
    <col min="1" max="1" width="20.42578125" customWidth="1"/>
    <col min="2" max="6" width="19.28515625" customWidth="1"/>
    <col min="7" max="7" width="22" customWidth="1"/>
    <col min="8" max="8" width="19.28515625" customWidth="1"/>
  </cols>
  <sheetData>
    <row r="1" spans="1:8" x14ac:dyDescent="0.25">
      <c r="A1" s="4" t="s">
        <v>0</v>
      </c>
      <c r="B1" s="5"/>
      <c r="C1" s="5"/>
      <c r="D1" s="39" t="s">
        <v>199</v>
      </c>
      <c r="E1" s="6"/>
      <c r="F1" s="50" t="s">
        <v>375</v>
      </c>
      <c r="G1" s="6"/>
      <c r="H1" s="6"/>
    </row>
    <row r="2" spans="1:8" s="3" customFormat="1" ht="16.5" customHeight="1" x14ac:dyDescent="0.25">
      <c r="A2" s="25" t="s">
        <v>197</v>
      </c>
      <c r="B2" s="26"/>
      <c r="C2" s="26"/>
      <c r="D2" s="26"/>
      <c r="E2" s="27"/>
      <c r="F2" s="27"/>
      <c r="G2" s="27"/>
      <c r="H2" s="27"/>
    </row>
    <row r="3" spans="1:8" x14ac:dyDescent="0.25">
      <c r="A3" s="9" t="s">
        <v>2</v>
      </c>
      <c r="B3" s="10"/>
      <c r="C3" s="10"/>
      <c r="D3" s="10"/>
      <c r="E3" s="11"/>
      <c r="F3" s="11"/>
      <c r="G3" s="11"/>
      <c r="H3" s="11"/>
    </row>
    <row r="4" spans="1:8" s="1" customFormat="1" x14ac:dyDescent="0.25">
      <c r="A4" s="2"/>
      <c r="B4" s="22" t="s">
        <v>186</v>
      </c>
      <c r="C4" s="22" t="s">
        <v>187</v>
      </c>
      <c r="D4" s="22" t="s">
        <v>188</v>
      </c>
      <c r="E4" s="22" t="s">
        <v>189</v>
      </c>
      <c r="F4" s="22" t="s">
        <v>190</v>
      </c>
      <c r="G4" s="22" t="s">
        <v>191</v>
      </c>
      <c r="H4" s="22" t="s">
        <v>64</v>
      </c>
    </row>
    <row r="5" spans="1:8" x14ac:dyDescent="0.25">
      <c r="A5" s="47" t="s">
        <v>146</v>
      </c>
      <c r="B5" s="48" t="s">
        <v>5</v>
      </c>
      <c r="C5" s="48">
        <v>1.01</v>
      </c>
      <c r="D5" s="48" t="s">
        <v>5</v>
      </c>
      <c r="E5" s="48" t="s">
        <v>5</v>
      </c>
      <c r="F5" s="48">
        <v>5.72</v>
      </c>
      <c r="G5" s="48" t="s">
        <v>5</v>
      </c>
      <c r="H5" s="48">
        <v>6.73</v>
      </c>
    </row>
    <row r="6" spans="1:8" x14ac:dyDescent="0.25">
      <c r="A6" s="40" t="s">
        <v>147</v>
      </c>
      <c r="B6" s="45" t="s">
        <v>5</v>
      </c>
      <c r="C6" s="45" t="s">
        <v>5</v>
      </c>
      <c r="D6" s="45" t="s">
        <v>5</v>
      </c>
      <c r="E6" s="45" t="s">
        <v>5</v>
      </c>
      <c r="F6" s="45">
        <v>0.16</v>
      </c>
      <c r="G6" s="45" t="s">
        <v>5</v>
      </c>
      <c r="H6" s="45">
        <v>0.16</v>
      </c>
    </row>
    <row r="7" spans="1:8" s="1" customFormat="1" x14ac:dyDescent="0.25">
      <c r="A7" s="40" t="s">
        <v>148</v>
      </c>
      <c r="B7" s="45" t="s">
        <v>5</v>
      </c>
      <c r="C7" s="45" t="s">
        <v>5</v>
      </c>
      <c r="D7" s="45" t="s">
        <v>5</v>
      </c>
      <c r="E7" s="45" t="s">
        <v>5</v>
      </c>
      <c r="F7" s="45">
        <v>2.2999999999999998</v>
      </c>
      <c r="G7" s="45" t="s">
        <v>5</v>
      </c>
      <c r="H7" s="45">
        <v>2.2999999999999998</v>
      </c>
    </row>
    <row r="8" spans="1:8" x14ac:dyDescent="0.25">
      <c r="A8" s="40" t="s">
        <v>149</v>
      </c>
      <c r="B8" s="45">
        <v>7.71</v>
      </c>
      <c r="C8" s="45">
        <v>15.97</v>
      </c>
      <c r="D8" s="45" t="s">
        <v>5</v>
      </c>
      <c r="E8" s="45">
        <v>0</v>
      </c>
      <c r="F8" s="45">
        <v>37.96</v>
      </c>
      <c r="G8" s="45">
        <v>0.04</v>
      </c>
      <c r="H8" s="45">
        <v>61.67</v>
      </c>
    </row>
    <row r="9" spans="1:8" x14ac:dyDescent="0.25">
      <c r="A9" s="40" t="s">
        <v>150</v>
      </c>
      <c r="B9" s="45" t="s">
        <v>5</v>
      </c>
      <c r="C9" s="45">
        <v>10.039999999999999</v>
      </c>
      <c r="D9" s="45" t="s">
        <v>5</v>
      </c>
      <c r="E9" s="45" t="s">
        <v>5</v>
      </c>
      <c r="F9" s="45">
        <v>26.49</v>
      </c>
      <c r="G9" s="45" t="s">
        <v>5</v>
      </c>
      <c r="H9" s="45">
        <v>36.520000000000003</v>
      </c>
    </row>
    <row r="10" spans="1:8" x14ac:dyDescent="0.25">
      <c r="A10" s="40" t="s">
        <v>151</v>
      </c>
      <c r="B10" s="45">
        <v>5.7</v>
      </c>
      <c r="C10" s="45">
        <v>3.27</v>
      </c>
      <c r="D10" s="45" t="s">
        <v>5</v>
      </c>
      <c r="E10" s="45" t="s">
        <v>5</v>
      </c>
      <c r="F10" s="45">
        <v>5.97</v>
      </c>
      <c r="G10" s="45">
        <v>0.12</v>
      </c>
      <c r="H10" s="45">
        <v>15.04</v>
      </c>
    </row>
    <row r="11" spans="1:8" s="1" customFormat="1" x14ac:dyDescent="0.25">
      <c r="A11" s="35" t="s">
        <v>152</v>
      </c>
      <c r="B11" s="44">
        <v>28.05</v>
      </c>
      <c r="C11" s="44">
        <v>44.7</v>
      </c>
      <c r="D11" s="44" t="s">
        <v>5</v>
      </c>
      <c r="E11" s="44">
        <v>0.09</v>
      </c>
      <c r="F11" s="44">
        <v>124.51</v>
      </c>
      <c r="G11" s="44">
        <v>0.17</v>
      </c>
      <c r="H11" s="44">
        <v>197.52</v>
      </c>
    </row>
    <row r="12" spans="1:8" x14ac:dyDescent="0.25">
      <c r="A12" s="40" t="s">
        <v>153</v>
      </c>
      <c r="B12" s="45">
        <v>2.5499999999999998</v>
      </c>
      <c r="C12" s="45">
        <v>1.85</v>
      </c>
      <c r="D12" s="45" t="s">
        <v>5</v>
      </c>
      <c r="E12" s="45">
        <v>0</v>
      </c>
      <c r="F12" s="45">
        <v>1.49</v>
      </c>
      <c r="G12" s="45" t="s">
        <v>5</v>
      </c>
      <c r="H12" s="45">
        <v>5.9</v>
      </c>
    </row>
    <row r="13" spans="1:8" x14ac:dyDescent="0.25">
      <c r="A13" s="40" t="s">
        <v>154</v>
      </c>
      <c r="B13" s="45" t="s">
        <v>5</v>
      </c>
      <c r="C13" s="45">
        <v>2.36</v>
      </c>
      <c r="D13" s="45" t="s">
        <v>5</v>
      </c>
      <c r="E13" s="45" t="s">
        <v>5</v>
      </c>
      <c r="F13" s="45">
        <v>21.85</v>
      </c>
      <c r="G13" s="45" t="s">
        <v>5</v>
      </c>
      <c r="H13" s="45">
        <v>24.21</v>
      </c>
    </row>
    <row r="14" spans="1:8" x14ac:dyDescent="0.25">
      <c r="A14" s="40" t="s">
        <v>155</v>
      </c>
      <c r="B14" s="45" t="s">
        <v>5</v>
      </c>
      <c r="C14" s="45">
        <v>0.04</v>
      </c>
      <c r="D14" s="45" t="s">
        <v>5</v>
      </c>
      <c r="E14" s="45">
        <v>0</v>
      </c>
      <c r="F14" s="45">
        <v>31.71</v>
      </c>
      <c r="G14" s="45">
        <v>0.09</v>
      </c>
      <c r="H14" s="45">
        <v>31.83</v>
      </c>
    </row>
    <row r="15" spans="1:8" x14ac:dyDescent="0.25">
      <c r="A15" s="40" t="s">
        <v>156</v>
      </c>
      <c r="B15" s="45" t="s">
        <v>5</v>
      </c>
      <c r="C15" s="45">
        <v>0.02</v>
      </c>
      <c r="D15" s="45" t="s">
        <v>5</v>
      </c>
      <c r="E15" s="45">
        <v>0.09</v>
      </c>
      <c r="F15" s="45">
        <v>12.05</v>
      </c>
      <c r="G15" s="45">
        <v>0.03</v>
      </c>
      <c r="H15" s="45">
        <v>12.19</v>
      </c>
    </row>
    <row r="16" spans="1:8" x14ac:dyDescent="0.25">
      <c r="A16" s="40" t="s">
        <v>157</v>
      </c>
      <c r="B16" s="45" t="s">
        <v>5</v>
      </c>
      <c r="C16" s="45">
        <v>6.82</v>
      </c>
      <c r="D16" s="45" t="s">
        <v>5</v>
      </c>
      <c r="E16" s="45" t="s">
        <v>5</v>
      </c>
      <c r="F16" s="45">
        <v>1.51</v>
      </c>
      <c r="G16" s="45" t="s">
        <v>5</v>
      </c>
      <c r="H16" s="45">
        <v>8.33</v>
      </c>
    </row>
    <row r="17" spans="1:8" s="1" customFormat="1" x14ac:dyDescent="0.25">
      <c r="A17" s="40" t="s">
        <v>158</v>
      </c>
      <c r="B17" s="45" t="s">
        <v>5</v>
      </c>
      <c r="C17" s="45">
        <v>8.17</v>
      </c>
      <c r="D17" s="45" t="s">
        <v>5</v>
      </c>
      <c r="E17" s="45" t="s">
        <v>5</v>
      </c>
      <c r="F17" s="45">
        <v>68.430000000000007</v>
      </c>
      <c r="G17" s="45" t="s">
        <v>5</v>
      </c>
      <c r="H17" s="45">
        <v>76.599999999999994</v>
      </c>
    </row>
    <row r="18" spans="1:8" x14ac:dyDescent="0.25">
      <c r="A18" s="40" t="s">
        <v>159</v>
      </c>
      <c r="B18" s="45" t="s">
        <v>5</v>
      </c>
      <c r="C18" s="45">
        <v>13.95</v>
      </c>
      <c r="D18" s="45" t="s">
        <v>5</v>
      </c>
      <c r="E18" s="45" t="s">
        <v>5</v>
      </c>
      <c r="F18" s="45">
        <v>2.29</v>
      </c>
      <c r="G18" s="45" t="s">
        <v>5</v>
      </c>
      <c r="H18" s="45">
        <v>16.239999999999998</v>
      </c>
    </row>
    <row r="19" spans="1:8" x14ac:dyDescent="0.25">
      <c r="A19" s="40" t="s">
        <v>160</v>
      </c>
      <c r="B19" s="45" t="s">
        <v>5</v>
      </c>
      <c r="C19" s="45">
        <v>2.73</v>
      </c>
      <c r="D19" s="45" t="s">
        <v>5</v>
      </c>
      <c r="E19" s="45">
        <v>0.05</v>
      </c>
      <c r="F19" s="45">
        <v>1.94</v>
      </c>
      <c r="G19" s="45">
        <v>0.04</v>
      </c>
      <c r="H19" s="45">
        <v>4.7699999999999996</v>
      </c>
    </row>
    <row r="20" spans="1:8" x14ac:dyDescent="0.25">
      <c r="A20" s="40" t="s">
        <v>161</v>
      </c>
      <c r="B20" s="45">
        <v>9.83</v>
      </c>
      <c r="C20" s="45">
        <v>0.96</v>
      </c>
      <c r="D20" s="45" t="s">
        <v>5</v>
      </c>
      <c r="E20" s="45">
        <v>0.34</v>
      </c>
      <c r="F20" s="45">
        <v>2.83</v>
      </c>
      <c r="G20" s="45">
        <v>0.05</v>
      </c>
      <c r="H20" s="45">
        <v>14.01</v>
      </c>
    </row>
    <row r="21" spans="1:8" x14ac:dyDescent="0.25">
      <c r="A21" s="40" t="s">
        <v>162</v>
      </c>
      <c r="B21" s="45" t="s">
        <v>5</v>
      </c>
      <c r="C21" s="45">
        <v>0.03</v>
      </c>
      <c r="D21" s="45" t="s">
        <v>5</v>
      </c>
      <c r="E21" s="45" t="s">
        <v>5</v>
      </c>
      <c r="F21" s="45">
        <v>3.81</v>
      </c>
      <c r="G21" s="45" t="s">
        <v>5</v>
      </c>
      <c r="H21" s="45">
        <v>3.85</v>
      </c>
    </row>
    <row r="22" spans="1:8" x14ac:dyDescent="0.25">
      <c r="A22" s="40" t="s">
        <v>163</v>
      </c>
      <c r="B22" s="45">
        <v>160.04</v>
      </c>
      <c r="C22" s="45">
        <v>178.98</v>
      </c>
      <c r="D22" s="45">
        <v>0.49</v>
      </c>
      <c r="E22" s="45">
        <v>0.01</v>
      </c>
      <c r="F22" s="45">
        <v>673.82</v>
      </c>
      <c r="G22" s="45">
        <v>2</v>
      </c>
      <c r="H22" s="45">
        <v>1015.33</v>
      </c>
    </row>
    <row r="23" spans="1:8" x14ac:dyDescent="0.25">
      <c r="A23" s="40" t="s">
        <v>164</v>
      </c>
      <c r="B23" s="45" t="s">
        <v>5</v>
      </c>
      <c r="C23" s="45">
        <v>17.11</v>
      </c>
      <c r="D23" s="45" t="s">
        <v>5</v>
      </c>
      <c r="E23" s="45" t="s">
        <v>5</v>
      </c>
      <c r="F23" s="45">
        <v>0.38</v>
      </c>
      <c r="G23" s="45" t="s">
        <v>5</v>
      </c>
      <c r="H23" s="45">
        <v>17.489999999999998</v>
      </c>
    </row>
    <row r="24" spans="1:8" x14ac:dyDescent="0.25">
      <c r="A24" s="40" t="s">
        <v>165</v>
      </c>
      <c r="B24" s="45" t="s">
        <v>5</v>
      </c>
      <c r="C24" s="45">
        <v>0</v>
      </c>
      <c r="D24" s="45" t="s">
        <v>5</v>
      </c>
      <c r="E24" s="45" t="s">
        <v>5</v>
      </c>
      <c r="F24" s="45">
        <v>14.88</v>
      </c>
      <c r="G24" s="45" t="s">
        <v>5</v>
      </c>
      <c r="H24" s="45">
        <v>14.88</v>
      </c>
    </row>
    <row r="25" spans="1:8" x14ac:dyDescent="0.25">
      <c r="A25" s="40" t="s">
        <v>166</v>
      </c>
      <c r="B25" s="45">
        <v>92.54</v>
      </c>
      <c r="C25" s="45">
        <v>10.26</v>
      </c>
      <c r="D25" s="45" t="s">
        <v>5</v>
      </c>
      <c r="E25" s="45">
        <v>0.05</v>
      </c>
      <c r="F25" s="45">
        <v>93.41</v>
      </c>
      <c r="G25" s="45" t="s">
        <v>5</v>
      </c>
      <c r="H25" s="45">
        <v>196.25</v>
      </c>
    </row>
    <row r="26" spans="1:8" x14ac:dyDescent="0.25">
      <c r="A26" s="40" t="s">
        <v>167</v>
      </c>
      <c r="B26" s="45" t="s">
        <v>5</v>
      </c>
      <c r="C26" s="45">
        <v>6.4</v>
      </c>
      <c r="D26" s="45" t="s">
        <v>5</v>
      </c>
      <c r="E26" s="45" t="s">
        <v>5</v>
      </c>
      <c r="F26" s="45">
        <v>42.55</v>
      </c>
      <c r="G26" s="45" t="s">
        <v>5</v>
      </c>
      <c r="H26" s="45">
        <v>48.95</v>
      </c>
    </row>
    <row r="27" spans="1:8" s="1" customFormat="1" x14ac:dyDescent="0.25">
      <c r="A27" s="35" t="s">
        <v>168</v>
      </c>
      <c r="B27" s="44">
        <v>264.97000000000003</v>
      </c>
      <c r="C27" s="44">
        <v>249.69</v>
      </c>
      <c r="D27" s="44">
        <v>0.49</v>
      </c>
      <c r="E27" s="44">
        <v>0.54</v>
      </c>
      <c r="F27" s="44">
        <v>972.93</v>
      </c>
      <c r="G27" s="44">
        <v>2.21</v>
      </c>
      <c r="H27" s="44">
        <v>1490.82</v>
      </c>
    </row>
    <row r="28" spans="1:8" x14ac:dyDescent="0.25">
      <c r="A28" s="40" t="s">
        <v>169</v>
      </c>
      <c r="B28" s="45" t="s">
        <v>5</v>
      </c>
      <c r="C28" s="45" t="s">
        <v>5</v>
      </c>
      <c r="D28" s="45" t="s">
        <v>5</v>
      </c>
      <c r="E28" s="45" t="s">
        <v>5</v>
      </c>
      <c r="F28" s="45">
        <v>10.91</v>
      </c>
      <c r="G28" s="45" t="s">
        <v>5</v>
      </c>
      <c r="H28" s="45">
        <v>10.91</v>
      </c>
    </row>
    <row r="29" spans="1:8" x14ac:dyDescent="0.25">
      <c r="A29" s="40" t="s">
        <v>170</v>
      </c>
      <c r="B29" s="45" t="s">
        <v>5</v>
      </c>
      <c r="C29" s="45">
        <v>17.989999999999998</v>
      </c>
      <c r="D29" s="45" t="s">
        <v>5</v>
      </c>
      <c r="E29" s="45">
        <v>0.14000000000000001</v>
      </c>
      <c r="F29" s="45">
        <v>185.86</v>
      </c>
      <c r="G29" s="45" t="s">
        <v>5</v>
      </c>
      <c r="H29" s="45">
        <v>203.99</v>
      </c>
    </row>
    <row r="30" spans="1:8" x14ac:dyDescent="0.25">
      <c r="A30" s="40" t="s">
        <v>171</v>
      </c>
      <c r="B30" s="45" t="s">
        <v>5</v>
      </c>
      <c r="C30" s="45">
        <v>0.51</v>
      </c>
      <c r="D30" s="45" t="s">
        <v>5</v>
      </c>
      <c r="E30" s="45" t="s">
        <v>5</v>
      </c>
      <c r="F30" s="45">
        <v>32.68</v>
      </c>
      <c r="G30" s="45" t="s">
        <v>5</v>
      </c>
      <c r="H30" s="45">
        <v>33.18</v>
      </c>
    </row>
    <row r="31" spans="1:8" x14ac:dyDescent="0.25">
      <c r="A31" s="40" t="s">
        <v>172</v>
      </c>
      <c r="B31" s="45" t="s">
        <v>5</v>
      </c>
      <c r="C31" s="45">
        <v>0.03</v>
      </c>
      <c r="D31" s="45" t="s">
        <v>5</v>
      </c>
      <c r="E31" s="45">
        <v>0.01</v>
      </c>
      <c r="F31" s="45">
        <v>54.78</v>
      </c>
      <c r="G31" s="45" t="s">
        <v>5</v>
      </c>
      <c r="H31" s="45">
        <v>54.82</v>
      </c>
    </row>
    <row r="32" spans="1:8" x14ac:dyDescent="0.25">
      <c r="A32" s="40" t="s">
        <v>173</v>
      </c>
      <c r="B32" s="45" t="s">
        <v>5</v>
      </c>
      <c r="C32" s="45">
        <v>0.06</v>
      </c>
      <c r="D32" s="45" t="s">
        <v>5</v>
      </c>
      <c r="E32" s="45">
        <v>0</v>
      </c>
      <c r="F32" s="45">
        <v>12.93</v>
      </c>
      <c r="G32" s="45">
        <v>0.01</v>
      </c>
      <c r="H32" s="45">
        <v>13</v>
      </c>
    </row>
    <row r="33" spans="1:8" x14ac:dyDescent="0.25">
      <c r="A33" s="40" t="s">
        <v>174</v>
      </c>
      <c r="B33" s="45" t="s">
        <v>5</v>
      </c>
      <c r="C33" s="45" t="s">
        <v>5</v>
      </c>
      <c r="D33" s="45" t="s">
        <v>5</v>
      </c>
      <c r="E33" s="45" t="s">
        <v>5</v>
      </c>
      <c r="F33" s="45">
        <v>48.75</v>
      </c>
      <c r="G33" s="45" t="s">
        <v>5</v>
      </c>
      <c r="H33" s="45">
        <v>48.75</v>
      </c>
    </row>
    <row r="34" spans="1:8" x14ac:dyDescent="0.25">
      <c r="A34" s="40" t="s">
        <v>175</v>
      </c>
      <c r="B34" s="45" t="s">
        <v>5</v>
      </c>
      <c r="C34" s="45">
        <v>0.59</v>
      </c>
      <c r="D34" s="45" t="s">
        <v>5</v>
      </c>
      <c r="E34" s="45" t="s">
        <v>5</v>
      </c>
      <c r="F34" s="45">
        <v>8.99</v>
      </c>
      <c r="G34" s="45" t="s">
        <v>5</v>
      </c>
      <c r="H34" s="45">
        <v>9.58</v>
      </c>
    </row>
    <row r="35" spans="1:8" x14ac:dyDescent="0.25">
      <c r="A35" s="40" t="s">
        <v>176</v>
      </c>
      <c r="B35" s="45" t="s">
        <v>5</v>
      </c>
      <c r="C35" s="45" t="s">
        <v>5</v>
      </c>
      <c r="D35" s="45" t="s">
        <v>5</v>
      </c>
      <c r="E35" s="45" t="s">
        <v>5</v>
      </c>
      <c r="F35" s="45">
        <v>14.44</v>
      </c>
      <c r="G35" s="45" t="s">
        <v>5</v>
      </c>
      <c r="H35" s="45">
        <v>14.44</v>
      </c>
    </row>
    <row r="36" spans="1:8" s="1" customFormat="1" x14ac:dyDescent="0.25">
      <c r="A36" s="40" t="s">
        <v>177</v>
      </c>
      <c r="B36" s="45" t="s">
        <v>5</v>
      </c>
      <c r="C36" s="45" t="s">
        <v>5</v>
      </c>
      <c r="D36" s="45" t="s">
        <v>5</v>
      </c>
      <c r="E36" s="45" t="s">
        <v>5</v>
      </c>
      <c r="F36" s="45">
        <v>16.079999999999998</v>
      </c>
      <c r="G36" s="45" t="s">
        <v>5</v>
      </c>
      <c r="H36" s="45">
        <v>16.079999999999998</v>
      </c>
    </row>
    <row r="37" spans="1:8" x14ac:dyDescent="0.25">
      <c r="A37" s="40" t="s">
        <v>178</v>
      </c>
      <c r="B37" s="45" t="s">
        <v>5</v>
      </c>
      <c r="C37" s="45" t="s">
        <v>5</v>
      </c>
      <c r="D37" s="45" t="s">
        <v>5</v>
      </c>
      <c r="E37" s="45" t="s">
        <v>5</v>
      </c>
      <c r="F37" s="45">
        <v>189.08</v>
      </c>
      <c r="G37" s="45" t="s">
        <v>5</v>
      </c>
      <c r="H37" s="45">
        <v>189.08</v>
      </c>
    </row>
    <row r="38" spans="1:8" s="1" customFormat="1" x14ac:dyDescent="0.25">
      <c r="A38" s="40" t="s">
        <v>179</v>
      </c>
      <c r="B38" s="45" t="s">
        <v>5</v>
      </c>
      <c r="C38" s="45">
        <v>3.52</v>
      </c>
      <c r="D38" s="45" t="s">
        <v>5</v>
      </c>
      <c r="E38" s="45" t="s">
        <v>5</v>
      </c>
      <c r="F38" s="45">
        <v>35.119999999999997</v>
      </c>
      <c r="G38" s="45" t="s">
        <v>5</v>
      </c>
      <c r="H38" s="45">
        <v>38.64</v>
      </c>
    </row>
    <row r="39" spans="1:8" s="1" customFormat="1" x14ac:dyDescent="0.25">
      <c r="A39" s="40" t="s">
        <v>180</v>
      </c>
      <c r="B39" s="45" t="s">
        <v>5</v>
      </c>
      <c r="C39" s="45" t="s">
        <v>5</v>
      </c>
      <c r="D39" s="45" t="s">
        <v>5</v>
      </c>
      <c r="E39" s="45" t="s">
        <v>5</v>
      </c>
      <c r="F39" s="45">
        <v>76.11</v>
      </c>
      <c r="G39" s="45" t="s">
        <v>5</v>
      </c>
      <c r="H39" s="45">
        <v>76.11</v>
      </c>
    </row>
    <row r="40" spans="1:8" x14ac:dyDescent="0.25">
      <c r="A40" s="40" t="s">
        <v>181</v>
      </c>
      <c r="B40" s="45" t="s">
        <v>5</v>
      </c>
      <c r="C40" s="45" t="s">
        <v>5</v>
      </c>
      <c r="D40" s="45" t="s">
        <v>5</v>
      </c>
      <c r="E40" s="45" t="s">
        <v>5</v>
      </c>
      <c r="F40" s="45">
        <v>6.03</v>
      </c>
      <c r="G40" s="45" t="s">
        <v>5</v>
      </c>
      <c r="H40" s="45">
        <v>6.03</v>
      </c>
    </row>
    <row r="41" spans="1:8" s="1" customFormat="1" x14ac:dyDescent="0.25">
      <c r="A41" s="31" t="s">
        <v>182</v>
      </c>
      <c r="B41" s="46" t="s">
        <v>5</v>
      </c>
      <c r="C41" s="46">
        <v>22.69</v>
      </c>
      <c r="D41" s="46" t="s">
        <v>5</v>
      </c>
      <c r="E41" s="46">
        <v>0.16</v>
      </c>
      <c r="F41" s="46">
        <v>691.75</v>
      </c>
      <c r="G41" s="46">
        <v>0.01</v>
      </c>
      <c r="H41" s="46">
        <v>714.6</v>
      </c>
    </row>
    <row r="42" spans="1:8" s="1" customFormat="1" x14ac:dyDescent="0.25">
      <c r="A42" s="31" t="s">
        <v>183</v>
      </c>
      <c r="B42" s="46">
        <v>446.42</v>
      </c>
      <c r="C42" s="46">
        <v>1830.23</v>
      </c>
      <c r="D42" s="46">
        <v>21.61</v>
      </c>
      <c r="E42" s="46">
        <v>25.54</v>
      </c>
      <c r="F42" s="46">
        <v>6761.39</v>
      </c>
      <c r="G42" s="46">
        <v>41.24</v>
      </c>
      <c r="H42" s="46">
        <v>9126.43</v>
      </c>
    </row>
    <row r="43" spans="1:8" x14ac:dyDescent="0.25">
      <c r="A43" s="33" t="s">
        <v>45</v>
      </c>
      <c r="B43" s="6" t="s">
        <v>63</v>
      </c>
      <c r="C43" s="15"/>
      <c r="D43" s="15"/>
      <c r="E43" s="6"/>
      <c r="F43" s="6"/>
      <c r="G43" s="15"/>
      <c r="H43" s="16"/>
    </row>
    <row r="44" spans="1:8" x14ac:dyDescent="0.25">
      <c r="A44" s="34"/>
      <c r="B44" s="8"/>
      <c r="C44" s="18"/>
      <c r="D44" s="18"/>
      <c r="E44" s="8"/>
      <c r="F44" s="8"/>
      <c r="G44" s="18"/>
      <c r="H44" s="19"/>
    </row>
    <row r="45" spans="1:8" x14ac:dyDescent="0.25">
      <c r="A45" s="17" t="s">
        <v>192</v>
      </c>
      <c r="B45" s="18"/>
      <c r="C45" s="18"/>
      <c r="D45" s="18"/>
      <c r="E45" s="18"/>
      <c r="F45" s="18"/>
      <c r="G45" s="18"/>
      <c r="H45" s="19"/>
    </row>
    <row r="46" spans="1:8" x14ac:dyDescent="0.25">
      <c r="A46" s="17" t="s">
        <v>193</v>
      </c>
      <c r="B46" s="18"/>
      <c r="C46" s="18"/>
      <c r="D46" s="18"/>
      <c r="E46" s="18"/>
      <c r="F46" s="18"/>
      <c r="G46" s="18"/>
      <c r="H46" s="19"/>
    </row>
    <row r="47" spans="1:8" x14ac:dyDescent="0.25">
      <c r="A47" s="17" t="s">
        <v>194</v>
      </c>
      <c r="B47" s="18"/>
      <c r="C47" s="18"/>
      <c r="D47" s="18"/>
      <c r="E47" s="18"/>
      <c r="F47" s="18"/>
      <c r="G47" s="18"/>
      <c r="H47" s="19"/>
    </row>
    <row r="48" spans="1:8" x14ac:dyDescent="0.25">
      <c r="A48" s="17" t="s">
        <v>195</v>
      </c>
      <c r="B48" s="18"/>
      <c r="C48" s="18"/>
      <c r="D48" s="18"/>
      <c r="E48" s="18"/>
      <c r="F48" s="18"/>
      <c r="G48" s="18"/>
      <c r="H48" s="19"/>
    </row>
    <row r="49" spans="1:8" x14ac:dyDescent="0.25">
      <c r="A49" s="17"/>
      <c r="B49" s="18"/>
      <c r="C49" s="18"/>
      <c r="D49" s="18"/>
      <c r="E49" s="18"/>
      <c r="F49" s="18"/>
      <c r="G49" s="18"/>
      <c r="H49" s="19"/>
    </row>
    <row r="50" spans="1:8" x14ac:dyDescent="0.25">
      <c r="A50" s="38" t="s">
        <v>51</v>
      </c>
      <c r="B50" s="20"/>
      <c r="C50" s="20"/>
      <c r="D50" s="20"/>
      <c r="E50" s="20"/>
      <c r="F50" s="20"/>
      <c r="G50" s="20"/>
      <c r="H50" s="21"/>
    </row>
    <row r="51" spans="1:8" x14ac:dyDescent="0.25">
      <c r="A51" t="s">
        <v>52</v>
      </c>
    </row>
  </sheetData>
  <hyperlinks>
    <hyperlink ref="F1" r:id="rId1"/>
  </hyperlinks>
  <pageMargins left="0.7" right="0.7" top="0.78740157499999996" bottom="0.78740157499999996" header="0.3" footer="0.3"/>
  <pageSetup paperSize="9" orientation="portrait"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5"/>
  <sheetViews>
    <sheetView zoomScale="80" zoomScaleNormal="80" workbookViewId="0">
      <selection activeCell="H1" sqref="H1"/>
    </sheetView>
  </sheetViews>
  <sheetFormatPr baseColWidth="10" defaultRowHeight="15" x14ac:dyDescent="0.25"/>
  <cols>
    <col min="1" max="1" width="20.42578125" customWidth="1"/>
    <col min="2" max="8" width="14.140625" customWidth="1"/>
    <col min="9" max="9" width="14.28515625" customWidth="1"/>
    <col min="10" max="11" width="15" bestFit="1" customWidth="1"/>
  </cols>
  <sheetData>
    <row r="1" spans="1:11" x14ac:dyDescent="0.25">
      <c r="A1" s="4" t="s">
        <v>0</v>
      </c>
      <c r="B1" s="5"/>
      <c r="C1" s="5"/>
      <c r="D1" s="39" t="s">
        <v>200</v>
      </c>
      <c r="E1" s="6"/>
      <c r="F1" s="6"/>
      <c r="G1" s="6"/>
      <c r="H1" s="50" t="s">
        <v>375</v>
      </c>
      <c r="I1" s="6"/>
      <c r="J1" s="6"/>
      <c r="K1" s="6"/>
    </row>
    <row r="2" spans="1:11" s="3" customFormat="1" ht="16.5" customHeight="1" x14ac:dyDescent="0.25">
      <c r="A2" s="25" t="s">
        <v>213</v>
      </c>
      <c r="B2" s="26"/>
      <c r="C2" s="26"/>
      <c r="D2" s="26"/>
      <c r="E2" s="27"/>
      <c r="F2" s="27"/>
      <c r="G2" s="27"/>
      <c r="H2" s="27"/>
      <c r="I2" s="27"/>
      <c r="J2" s="27"/>
      <c r="K2" s="27"/>
    </row>
    <row r="3" spans="1:11" x14ac:dyDescent="0.25">
      <c r="A3" s="9" t="s">
        <v>2</v>
      </c>
      <c r="B3" s="10"/>
      <c r="C3" s="10"/>
      <c r="D3" s="10"/>
      <c r="E3" s="11"/>
      <c r="F3" s="11"/>
      <c r="G3" s="11"/>
      <c r="H3" s="11"/>
      <c r="I3" s="11"/>
      <c r="J3" s="11"/>
      <c r="K3" s="11"/>
    </row>
    <row r="4" spans="1:11" s="1" customFormat="1" x14ac:dyDescent="0.25">
      <c r="A4" s="2"/>
      <c r="B4" s="22" t="s">
        <v>201</v>
      </c>
      <c r="C4" s="22" t="s">
        <v>202</v>
      </c>
      <c r="D4" s="22" t="s">
        <v>203</v>
      </c>
      <c r="E4" s="22" t="s">
        <v>204</v>
      </c>
      <c r="F4" s="22" t="s">
        <v>205</v>
      </c>
      <c r="G4" s="22" t="s">
        <v>206</v>
      </c>
      <c r="H4" s="22" t="s">
        <v>207</v>
      </c>
      <c r="I4" s="22" t="s">
        <v>208</v>
      </c>
      <c r="J4" s="22" t="s">
        <v>209</v>
      </c>
      <c r="K4" s="22" t="s">
        <v>210</v>
      </c>
    </row>
    <row r="5" spans="1:11" x14ac:dyDescent="0.25">
      <c r="A5" s="47" t="s">
        <v>91</v>
      </c>
      <c r="B5" s="48">
        <v>3269.09</v>
      </c>
      <c r="C5" s="48">
        <v>583.85</v>
      </c>
      <c r="D5" s="48">
        <v>9.93</v>
      </c>
      <c r="E5" s="48">
        <v>94.46</v>
      </c>
      <c r="F5" s="48">
        <v>433.77</v>
      </c>
      <c r="G5" s="48">
        <v>2306.85</v>
      </c>
      <c r="H5" s="48">
        <v>122.22</v>
      </c>
      <c r="I5" s="48">
        <v>9.41</v>
      </c>
      <c r="J5" s="48">
        <v>53.55</v>
      </c>
      <c r="K5" s="48">
        <v>32.090000000000003</v>
      </c>
    </row>
    <row r="6" spans="1:11" x14ac:dyDescent="0.25">
      <c r="A6" s="40" t="s">
        <v>92</v>
      </c>
      <c r="B6" s="45">
        <v>3939.01</v>
      </c>
      <c r="C6" s="45">
        <v>276.32</v>
      </c>
      <c r="D6" s="45">
        <v>0.79</v>
      </c>
      <c r="E6" s="45">
        <v>42.28</v>
      </c>
      <c r="F6" s="45">
        <v>683.91</v>
      </c>
      <c r="G6" s="45">
        <v>1819.08</v>
      </c>
      <c r="H6" s="45">
        <v>36.020000000000003</v>
      </c>
      <c r="I6" s="45">
        <v>2.0699999999999998</v>
      </c>
      <c r="J6" s="45">
        <v>3.02</v>
      </c>
      <c r="K6" s="45">
        <v>0.14000000000000001</v>
      </c>
    </row>
    <row r="7" spans="1:11" s="1" customFormat="1" x14ac:dyDescent="0.25">
      <c r="A7" s="35" t="s">
        <v>65</v>
      </c>
      <c r="B7" s="44">
        <v>7208.1</v>
      </c>
      <c r="C7" s="44">
        <v>860.17</v>
      </c>
      <c r="D7" s="44">
        <v>10.72</v>
      </c>
      <c r="E7" s="44">
        <v>136.72999999999999</v>
      </c>
      <c r="F7" s="44">
        <v>1117.68</v>
      </c>
      <c r="G7" s="44">
        <v>4125.93</v>
      </c>
      <c r="H7" s="44">
        <v>158.24</v>
      </c>
      <c r="I7" s="44">
        <v>11.47</v>
      </c>
      <c r="J7" s="44">
        <v>56.56</v>
      </c>
      <c r="K7" s="44">
        <v>32.229999999999997</v>
      </c>
    </row>
    <row r="8" spans="1:11" x14ac:dyDescent="0.25">
      <c r="A8" s="40" t="s">
        <v>66</v>
      </c>
      <c r="B8" s="45">
        <v>134.62</v>
      </c>
      <c r="C8" s="45">
        <v>57.5</v>
      </c>
      <c r="D8" s="45" t="s">
        <v>62</v>
      </c>
      <c r="E8" s="45">
        <v>2.12</v>
      </c>
      <c r="F8" s="45">
        <v>2.1800000000000002</v>
      </c>
      <c r="G8" s="45">
        <v>39.17</v>
      </c>
      <c r="H8" s="45">
        <v>1.1000000000000001</v>
      </c>
      <c r="I8" s="45" t="s">
        <v>62</v>
      </c>
      <c r="J8" s="45" t="s">
        <v>62</v>
      </c>
      <c r="K8" s="45">
        <v>0.93</v>
      </c>
    </row>
    <row r="9" spans="1:11" x14ac:dyDescent="0.25">
      <c r="A9" s="40" t="s">
        <v>67</v>
      </c>
      <c r="B9" s="45">
        <v>6.26</v>
      </c>
      <c r="C9" s="45" t="s">
        <v>62</v>
      </c>
      <c r="D9" s="45" t="s">
        <v>62</v>
      </c>
      <c r="E9" s="45">
        <v>1.33</v>
      </c>
      <c r="F9" s="45">
        <v>1.28</v>
      </c>
      <c r="G9" s="45">
        <v>9.8699999999999992</v>
      </c>
      <c r="H9" s="45">
        <v>3.18</v>
      </c>
      <c r="I9" s="45">
        <v>0.31</v>
      </c>
      <c r="J9" s="45">
        <v>0.5</v>
      </c>
      <c r="K9" s="45">
        <v>0.16</v>
      </c>
    </row>
    <row r="10" spans="1:11" x14ac:dyDescent="0.25">
      <c r="A10" s="40" t="s">
        <v>68</v>
      </c>
      <c r="B10" s="45">
        <v>6.47</v>
      </c>
      <c r="C10" s="45" t="s">
        <v>62</v>
      </c>
      <c r="D10" s="45" t="s">
        <v>62</v>
      </c>
      <c r="E10" s="45">
        <v>1.85</v>
      </c>
      <c r="F10" s="45">
        <v>0.81</v>
      </c>
      <c r="G10" s="45">
        <v>25.39</v>
      </c>
      <c r="H10" s="45">
        <v>1.82</v>
      </c>
      <c r="I10" s="45">
        <v>0.53</v>
      </c>
      <c r="J10" s="45">
        <v>0.81</v>
      </c>
      <c r="K10" s="45">
        <v>0.49</v>
      </c>
    </row>
    <row r="11" spans="1:11" s="1" customFormat="1" x14ac:dyDescent="0.25">
      <c r="A11" s="40" t="s">
        <v>69</v>
      </c>
      <c r="B11" s="45">
        <v>45.89</v>
      </c>
      <c r="C11" s="45">
        <v>69.75</v>
      </c>
      <c r="D11" s="45" t="s">
        <v>62</v>
      </c>
      <c r="E11" s="45">
        <v>0.11</v>
      </c>
      <c r="F11" s="45">
        <v>9.85</v>
      </c>
      <c r="G11" s="45">
        <v>40.700000000000003</v>
      </c>
      <c r="H11" s="45">
        <v>7.53</v>
      </c>
      <c r="I11" s="45" t="s">
        <v>62</v>
      </c>
      <c r="J11" s="45">
        <v>0.16</v>
      </c>
      <c r="K11" s="45">
        <v>0.77</v>
      </c>
    </row>
    <row r="12" spans="1:11" x14ac:dyDescent="0.25">
      <c r="A12" s="40" t="s">
        <v>93</v>
      </c>
      <c r="B12" s="45" t="s">
        <v>62</v>
      </c>
      <c r="C12" s="45">
        <v>53.79</v>
      </c>
      <c r="D12" s="45" t="s">
        <v>62</v>
      </c>
      <c r="E12" s="45">
        <v>1.0900000000000001</v>
      </c>
      <c r="F12" s="45">
        <v>0.12</v>
      </c>
      <c r="G12" s="45">
        <v>3.18</v>
      </c>
      <c r="H12" s="45">
        <v>0.97</v>
      </c>
      <c r="I12" s="45" t="s">
        <v>62</v>
      </c>
      <c r="J12" s="45">
        <v>0.02</v>
      </c>
      <c r="K12" s="45">
        <v>0.22</v>
      </c>
    </row>
    <row r="13" spans="1:11" x14ac:dyDescent="0.25">
      <c r="A13" s="40" t="s">
        <v>70</v>
      </c>
      <c r="B13" s="45">
        <v>19.899999999999999</v>
      </c>
      <c r="C13" s="45" t="s">
        <v>62</v>
      </c>
      <c r="D13" s="45" t="s">
        <v>62</v>
      </c>
      <c r="E13" s="45" t="s">
        <v>62</v>
      </c>
      <c r="F13" s="45">
        <v>1.28</v>
      </c>
      <c r="G13" s="45">
        <v>6.91</v>
      </c>
      <c r="H13" s="45">
        <v>1.83</v>
      </c>
      <c r="I13" s="45" t="s">
        <v>62</v>
      </c>
      <c r="J13" s="45">
        <v>1.76</v>
      </c>
      <c r="K13" s="45">
        <v>0.27</v>
      </c>
    </row>
    <row r="14" spans="1:11" x14ac:dyDescent="0.25">
      <c r="A14" s="40" t="s">
        <v>71</v>
      </c>
      <c r="B14" s="45">
        <v>13.96</v>
      </c>
      <c r="C14" s="45">
        <v>0.01</v>
      </c>
      <c r="D14" s="45">
        <v>7.4</v>
      </c>
      <c r="E14" s="45">
        <v>0.59</v>
      </c>
      <c r="F14" s="45">
        <v>0.47</v>
      </c>
      <c r="G14" s="45">
        <v>10.54</v>
      </c>
      <c r="H14" s="45">
        <v>9.66</v>
      </c>
      <c r="I14" s="45">
        <v>0.04</v>
      </c>
      <c r="J14" s="45">
        <v>0.37</v>
      </c>
      <c r="K14" s="45">
        <v>0.03</v>
      </c>
    </row>
    <row r="15" spans="1:11" x14ac:dyDescent="0.25">
      <c r="A15" s="40" t="s">
        <v>72</v>
      </c>
      <c r="B15" s="45">
        <v>24.45</v>
      </c>
      <c r="C15" s="45" t="s">
        <v>62</v>
      </c>
      <c r="D15" s="45" t="s">
        <v>62</v>
      </c>
      <c r="E15" s="45">
        <v>3.75</v>
      </c>
      <c r="F15" s="45">
        <v>6.16</v>
      </c>
      <c r="G15" s="45">
        <v>21.99</v>
      </c>
      <c r="H15" s="45">
        <v>1.37</v>
      </c>
      <c r="I15" s="45" t="s">
        <v>62</v>
      </c>
      <c r="J15" s="45">
        <v>3.51</v>
      </c>
      <c r="K15" s="45">
        <v>0.64</v>
      </c>
    </row>
    <row r="16" spans="1:11" x14ac:dyDescent="0.25">
      <c r="A16" s="40" t="s">
        <v>73</v>
      </c>
      <c r="B16" s="45">
        <v>132.27000000000001</v>
      </c>
      <c r="C16" s="45">
        <v>167.51</v>
      </c>
      <c r="D16" s="45" t="s">
        <v>62</v>
      </c>
      <c r="E16" s="45">
        <v>10.78</v>
      </c>
      <c r="F16" s="45">
        <v>11.08</v>
      </c>
      <c r="G16" s="45">
        <v>72.91</v>
      </c>
      <c r="H16" s="45">
        <v>10.38</v>
      </c>
      <c r="I16" s="45">
        <v>0.68</v>
      </c>
      <c r="J16" s="45">
        <v>8.26</v>
      </c>
      <c r="K16" s="45">
        <v>11.44</v>
      </c>
    </row>
    <row r="17" spans="1:11" s="1" customFormat="1" x14ac:dyDescent="0.25">
      <c r="A17" s="40" t="s">
        <v>74</v>
      </c>
      <c r="B17" s="45" t="s">
        <v>62</v>
      </c>
      <c r="C17" s="45">
        <v>34.68</v>
      </c>
      <c r="D17" s="45" t="s">
        <v>62</v>
      </c>
      <c r="E17" s="45" t="s">
        <v>62</v>
      </c>
      <c r="F17" s="45">
        <v>9.64</v>
      </c>
      <c r="G17" s="45">
        <v>13.77</v>
      </c>
      <c r="H17" s="45" t="s">
        <v>62</v>
      </c>
      <c r="I17" s="45">
        <v>0.03</v>
      </c>
      <c r="J17" s="45" t="s">
        <v>62</v>
      </c>
      <c r="K17" s="45">
        <v>0.18</v>
      </c>
    </row>
    <row r="18" spans="1:11" x14ac:dyDescent="0.25">
      <c r="A18" s="40" t="s">
        <v>75</v>
      </c>
      <c r="B18" s="45">
        <v>0.34</v>
      </c>
      <c r="C18" s="45">
        <v>7.04</v>
      </c>
      <c r="D18" s="45" t="s">
        <v>62</v>
      </c>
      <c r="E18" s="45">
        <v>0.11</v>
      </c>
      <c r="F18" s="45">
        <v>0.54</v>
      </c>
      <c r="G18" s="45">
        <v>15.23</v>
      </c>
      <c r="H18" s="45">
        <v>1.37</v>
      </c>
      <c r="I18" s="45">
        <v>0.01</v>
      </c>
      <c r="J18" s="45">
        <v>0.28000000000000003</v>
      </c>
      <c r="K18" s="45">
        <v>0.05</v>
      </c>
    </row>
    <row r="19" spans="1:11" x14ac:dyDescent="0.25">
      <c r="A19" s="40" t="s">
        <v>76</v>
      </c>
      <c r="B19" s="45" t="s">
        <v>62</v>
      </c>
      <c r="C19" s="45" t="s">
        <v>62</v>
      </c>
      <c r="D19" s="45" t="s">
        <v>62</v>
      </c>
      <c r="E19" s="45" t="s">
        <v>62</v>
      </c>
      <c r="F19" s="45">
        <v>0</v>
      </c>
      <c r="G19" s="45" t="s">
        <v>62</v>
      </c>
      <c r="H19" s="45" t="s">
        <v>62</v>
      </c>
      <c r="I19" s="45" t="s">
        <v>62</v>
      </c>
      <c r="J19" s="45">
        <v>0</v>
      </c>
      <c r="K19" s="45" t="s">
        <v>62</v>
      </c>
    </row>
    <row r="20" spans="1:11" x14ac:dyDescent="0.25">
      <c r="A20" s="40" t="s">
        <v>77</v>
      </c>
      <c r="B20" s="45">
        <v>5.5</v>
      </c>
      <c r="C20" s="45" t="s">
        <v>62</v>
      </c>
      <c r="D20" s="45">
        <v>2.17</v>
      </c>
      <c r="E20" s="45" t="s">
        <v>62</v>
      </c>
      <c r="F20" s="45">
        <v>1.98</v>
      </c>
      <c r="G20" s="45">
        <v>15.47</v>
      </c>
      <c r="H20" s="45">
        <v>0.01</v>
      </c>
      <c r="I20" s="45" t="s">
        <v>62</v>
      </c>
      <c r="J20" s="45" t="s">
        <v>62</v>
      </c>
      <c r="K20" s="45">
        <v>0.12</v>
      </c>
    </row>
    <row r="21" spans="1:11" x14ac:dyDescent="0.25">
      <c r="A21" s="40" t="s">
        <v>78</v>
      </c>
      <c r="B21" s="45">
        <v>44.11</v>
      </c>
      <c r="C21" s="45" t="s">
        <v>62</v>
      </c>
      <c r="D21" s="45" t="s">
        <v>62</v>
      </c>
      <c r="E21" s="45">
        <v>5.62</v>
      </c>
      <c r="F21" s="45">
        <v>35.409999999999997</v>
      </c>
      <c r="G21" s="45">
        <v>172.65</v>
      </c>
      <c r="H21" s="45">
        <v>2.2999999999999998</v>
      </c>
      <c r="I21" s="45">
        <v>0.18</v>
      </c>
      <c r="J21" s="45">
        <v>3.02</v>
      </c>
      <c r="K21" s="45">
        <v>1.45</v>
      </c>
    </row>
    <row r="22" spans="1:11" x14ac:dyDescent="0.25">
      <c r="A22" s="40" t="s">
        <v>79</v>
      </c>
      <c r="B22" s="45">
        <v>272.27</v>
      </c>
      <c r="C22" s="45" t="s">
        <v>62</v>
      </c>
      <c r="D22" s="45" t="s">
        <v>62</v>
      </c>
      <c r="E22" s="45">
        <v>38.53</v>
      </c>
      <c r="F22" s="45">
        <v>156.28</v>
      </c>
      <c r="G22" s="45">
        <v>289.88</v>
      </c>
      <c r="H22" s="45">
        <v>15.76</v>
      </c>
      <c r="I22" s="45">
        <v>0.43</v>
      </c>
      <c r="J22" s="45">
        <v>6.84</v>
      </c>
      <c r="K22" s="45" t="s">
        <v>62</v>
      </c>
    </row>
    <row r="23" spans="1:11" x14ac:dyDescent="0.25">
      <c r="A23" s="40" t="s">
        <v>80</v>
      </c>
      <c r="B23" s="45">
        <v>157.75</v>
      </c>
      <c r="C23" s="45" t="s">
        <v>62</v>
      </c>
      <c r="D23" s="45" t="s">
        <v>62</v>
      </c>
      <c r="E23" s="45">
        <v>12.96</v>
      </c>
      <c r="F23" s="45">
        <v>25.18</v>
      </c>
      <c r="G23" s="45">
        <v>82.36</v>
      </c>
      <c r="H23" s="45">
        <v>0.03</v>
      </c>
      <c r="I23" s="45">
        <v>0.01</v>
      </c>
      <c r="J23" s="45">
        <v>0.2</v>
      </c>
      <c r="K23" s="45">
        <v>0.34</v>
      </c>
    </row>
    <row r="24" spans="1:11" x14ac:dyDescent="0.25">
      <c r="A24" s="40" t="s">
        <v>81</v>
      </c>
      <c r="B24" s="45" t="s">
        <v>62</v>
      </c>
      <c r="C24" s="45" t="s">
        <v>62</v>
      </c>
      <c r="D24" s="45" t="s">
        <v>62</v>
      </c>
      <c r="E24" s="45" t="s">
        <v>62</v>
      </c>
      <c r="F24" s="45" t="s">
        <v>62</v>
      </c>
      <c r="G24" s="45">
        <v>2.9</v>
      </c>
      <c r="H24" s="45" t="s">
        <v>62</v>
      </c>
      <c r="I24" s="45" t="s">
        <v>62</v>
      </c>
      <c r="J24" s="45">
        <v>7.0000000000000007E-2</v>
      </c>
      <c r="K24" s="45">
        <v>0.04</v>
      </c>
    </row>
    <row r="25" spans="1:11" x14ac:dyDescent="0.25">
      <c r="A25" s="40" t="s">
        <v>82</v>
      </c>
      <c r="B25" s="45">
        <v>31.33</v>
      </c>
      <c r="C25" s="45" t="s">
        <v>62</v>
      </c>
      <c r="D25" s="45" t="s">
        <v>62</v>
      </c>
      <c r="E25" s="45">
        <v>0.23</v>
      </c>
      <c r="F25" s="45">
        <v>52.26</v>
      </c>
      <c r="G25" s="45">
        <v>125.61</v>
      </c>
      <c r="H25" s="45">
        <v>2.62</v>
      </c>
      <c r="I25" s="45" t="s">
        <v>62</v>
      </c>
      <c r="J25" s="45" t="s">
        <v>62</v>
      </c>
      <c r="K25" s="45">
        <v>0.03</v>
      </c>
    </row>
    <row r="26" spans="1:11" x14ac:dyDescent="0.25">
      <c r="A26" s="40" t="s">
        <v>83</v>
      </c>
      <c r="B26" s="45">
        <v>24.92</v>
      </c>
      <c r="C26" s="45" t="s">
        <v>62</v>
      </c>
      <c r="D26" s="45" t="s">
        <v>62</v>
      </c>
      <c r="E26" s="45">
        <v>3.55</v>
      </c>
      <c r="F26" s="45">
        <v>2.2200000000000002</v>
      </c>
      <c r="G26" s="45">
        <v>59.04</v>
      </c>
      <c r="H26" s="45">
        <v>1.97</v>
      </c>
      <c r="I26" s="45" t="s">
        <v>62</v>
      </c>
      <c r="J26" s="45">
        <v>2.96</v>
      </c>
      <c r="K26" s="45">
        <v>0.64</v>
      </c>
    </row>
    <row r="27" spans="1:11" s="1" customFormat="1" x14ac:dyDescent="0.25">
      <c r="A27" s="40" t="s">
        <v>94</v>
      </c>
      <c r="B27" s="45">
        <v>2.58</v>
      </c>
      <c r="C27" s="45" t="s">
        <v>62</v>
      </c>
      <c r="D27" s="45" t="s">
        <v>62</v>
      </c>
      <c r="E27" s="45">
        <v>0.55000000000000004</v>
      </c>
      <c r="F27" s="45">
        <v>0</v>
      </c>
      <c r="G27" s="45">
        <v>11.98</v>
      </c>
      <c r="H27" s="45">
        <v>0.56999999999999995</v>
      </c>
      <c r="I27" s="45" t="s">
        <v>62</v>
      </c>
      <c r="J27" s="45" t="s">
        <v>62</v>
      </c>
      <c r="K27" s="45">
        <v>0.21</v>
      </c>
    </row>
    <row r="28" spans="1:11" x14ac:dyDescent="0.25">
      <c r="A28" s="40" t="s">
        <v>84</v>
      </c>
      <c r="B28" s="45">
        <v>0.05</v>
      </c>
      <c r="C28" s="45" t="s">
        <v>62</v>
      </c>
      <c r="D28" s="45" t="s">
        <v>62</v>
      </c>
      <c r="E28" s="45">
        <v>0.09</v>
      </c>
      <c r="F28" s="45">
        <v>0.03</v>
      </c>
      <c r="G28" s="45">
        <v>0.73</v>
      </c>
      <c r="H28" s="45">
        <v>0.32</v>
      </c>
      <c r="I28" s="45">
        <v>0.01</v>
      </c>
      <c r="J28" s="45">
        <v>0.12</v>
      </c>
      <c r="K28" s="45" t="s">
        <v>62</v>
      </c>
    </row>
    <row r="29" spans="1:11" x14ac:dyDescent="0.25">
      <c r="A29" s="40" t="s">
        <v>85</v>
      </c>
      <c r="B29" s="45">
        <v>90.81</v>
      </c>
      <c r="C29" s="45">
        <v>54.76</v>
      </c>
      <c r="D29" s="45" t="s">
        <v>62</v>
      </c>
      <c r="E29" s="45">
        <v>2.06</v>
      </c>
      <c r="F29" s="45">
        <v>2.2999999999999998</v>
      </c>
      <c r="G29" s="45">
        <v>3.06</v>
      </c>
      <c r="H29" s="45">
        <v>2.36</v>
      </c>
      <c r="I29" s="45">
        <v>0.34</v>
      </c>
      <c r="J29" s="45" t="s">
        <v>62</v>
      </c>
      <c r="K29" s="45">
        <v>0.2</v>
      </c>
    </row>
    <row r="30" spans="1:11" x14ac:dyDescent="0.25">
      <c r="A30" s="40" t="s">
        <v>86</v>
      </c>
      <c r="B30" s="45">
        <v>12.4</v>
      </c>
      <c r="C30" s="45" t="s">
        <v>62</v>
      </c>
      <c r="D30" s="45" t="s">
        <v>62</v>
      </c>
      <c r="E30" s="45" t="s">
        <v>62</v>
      </c>
      <c r="F30" s="45">
        <v>4.87</v>
      </c>
      <c r="G30" s="45">
        <v>13.12</v>
      </c>
      <c r="H30" s="45">
        <v>1.53</v>
      </c>
      <c r="I30" s="45">
        <v>0.01</v>
      </c>
      <c r="J30" s="45">
        <v>0.55000000000000004</v>
      </c>
      <c r="K30" s="45">
        <v>0.06</v>
      </c>
    </row>
    <row r="31" spans="1:11" x14ac:dyDescent="0.25">
      <c r="A31" s="40" t="s">
        <v>95</v>
      </c>
      <c r="B31" s="45">
        <v>2.89</v>
      </c>
      <c r="C31" s="45">
        <v>1.91</v>
      </c>
      <c r="D31" s="45" t="s">
        <v>62</v>
      </c>
      <c r="E31" s="45">
        <v>0.42</v>
      </c>
      <c r="F31" s="45">
        <v>0.71</v>
      </c>
      <c r="G31" s="45">
        <v>1.62</v>
      </c>
      <c r="H31" s="45">
        <v>0.44</v>
      </c>
      <c r="I31" s="45">
        <v>0</v>
      </c>
      <c r="J31" s="45">
        <v>0.05</v>
      </c>
      <c r="K31" s="45">
        <v>0.01</v>
      </c>
    </row>
    <row r="32" spans="1:11" x14ac:dyDescent="0.25">
      <c r="A32" s="40" t="s">
        <v>87</v>
      </c>
      <c r="B32" s="45">
        <v>64.73</v>
      </c>
      <c r="C32" s="45">
        <v>8.3699999999999992</v>
      </c>
      <c r="D32" s="45" t="s">
        <v>62</v>
      </c>
      <c r="E32" s="45">
        <v>1.29</v>
      </c>
      <c r="F32" s="45">
        <v>18.510000000000002</v>
      </c>
      <c r="G32" s="45">
        <v>92.51</v>
      </c>
      <c r="H32" s="45">
        <v>1.55</v>
      </c>
      <c r="I32" s="45" t="s">
        <v>62</v>
      </c>
      <c r="J32" s="45">
        <v>1.47</v>
      </c>
      <c r="K32" s="45">
        <v>0.61</v>
      </c>
    </row>
    <row r="33" spans="1:11" x14ac:dyDescent="0.25">
      <c r="A33" s="40" t="s">
        <v>88</v>
      </c>
      <c r="B33" s="45">
        <v>0.65</v>
      </c>
      <c r="C33" s="45" t="s">
        <v>62</v>
      </c>
      <c r="D33" s="45">
        <v>0.36</v>
      </c>
      <c r="E33" s="45">
        <v>0.7</v>
      </c>
      <c r="F33" s="45">
        <v>1.08</v>
      </c>
      <c r="G33" s="45">
        <v>0.82</v>
      </c>
      <c r="H33" s="45">
        <v>8.5</v>
      </c>
      <c r="I33" s="45">
        <v>0.08</v>
      </c>
      <c r="J33" s="45">
        <v>1.85</v>
      </c>
      <c r="K33" s="45">
        <v>0.23</v>
      </c>
    </row>
    <row r="34" spans="1:11" x14ac:dyDescent="0.25">
      <c r="A34" s="40" t="s">
        <v>89</v>
      </c>
      <c r="B34" s="45" t="s">
        <v>62</v>
      </c>
      <c r="C34" s="45" t="s">
        <v>62</v>
      </c>
      <c r="D34" s="45" t="s">
        <v>62</v>
      </c>
      <c r="E34" s="45" t="s">
        <v>62</v>
      </c>
      <c r="F34" s="45">
        <v>0.19</v>
      </c>
      <c r="G34" s="45">
        <v>0.75</v>
      </c>
      <c r="H34" s="45">
        <v>0.13</v>
      </c>
      <c r="I34" s="45">
        <v>0.23</v>
      </c>
      <c r="J34" s="45">
        <v>1.78</v>
      </c>
      <c r="K34" s="45">
        <v>0.17</v>
      </c>
    </row>
    <row r="35" spans="1:11" x14ac:dyDescent="0.25">
      <c r="A35" s="40" t="s">
        <v>90</v>
      </c>
      <c r="B35" s="45">
        <v>14.04</v>
      </c>
      <c r="C35" s="45">
        <v>38.29</v>
      </c>
      <c r="D35" s="45" t="s">
        <v>62</v>
      </c>
      <c r="E35" s="45">
        <v>1.1000000000000001</v>
      </c>
      <c r="F35" s="45">
        <v>6.53</v>
      </c>
      <c r="G35" s="45">
        <v>95.03</v>
      </c>
      <c r="H35" s="45">
        <v>0.03</v>
      </c>
      <c r="I35" s="45">
        <v>0.12</v>
      </c>
      <c r="J35" s="45" t="s">
        <v>62</v>
      </c>
      <c r="K35" s="45">
        <v>7.0000000000000007E-2</v>
      </c>
    </row>
    <row r="36" spans="1:11" s="1" customFormat="1" x14ac:dyDescent="0.25">
      <c r="A36" s="40" t="s">
        <v>96</v>
      </c>
      <c r="B36" s="45">
        <v>136.69</v>
      </c>
      <c r="C36" s="45" t="s">
        <v>62</v>
      </c>
      <c r="D36" s="45" t="s">
        <v>62</v>
      </c>
      <c r="E36" s="45">
        <v>1.64</v>
      </c>
      <c r="F36" s="45">
        <v>4.6900000000000004</v>
      </c>
      <c r="G36" s="45">
        <v>164.47</v>
      </c>
      <c r="H36" s="45">
        <v>2.92</v>
      </c>
      <c r="I36" s="45">
        <v>1.4</v>
      </c>
      <c r="J36" s="45">
        <v>1.88</v>
      </c>
      <c r="K36" s="45">
        <v>5.19</v>
      </c>
    </row>
    <row r="37" spans="1:11" x14ac:dyDescent="0.25">
      <c r="A37" s="40" t="s">
        <v>97</v>
      </c>
      <c r="B37" s="45">
        <v>2024.23</v>
      </c>
      <c r="C37" s="45">
        <v>90.23</v>
      </c>
      <c r="D37" s="45" t="s">
        <v>62</v>
      </c>
      <c r="E37" s="45">
        <v>3.99</v>
      </c>
      <c r="F37" s="45">
        <v>78.14</v>
      </c>
      <c r="G37" s="45">
        <v>915.2</v>
      </c>
      <c r="H37" s="45">
        <v>41.99</v>
      </c>
      <c r="I37" s="45">
        <v>5.01</v>
      </c>
      <c r="J37" s="45">
        <v>17.100000000000001</v>
      </c>
      <c r="K37" s="45">
        <v>7.55</v>
      </c>
    </row>
    <row r="38" spans="1:11" s="1" customFormat="1" x14ac:dyDescent="0.25">
      <c r="A38" s="35" t="s">
        <v>98</v>
      </c>
      <c r="B38" s="44">
        <v>3269.09</v>
      </c>
      <c r="C38" s="44">
        <v>583.85</v>
      </c>
      <c r="D38" s="44">
        <v>9.93</v>
      </c>
      <c r="E38" s="44">
        <v>94.46</v>
      </c>
      <c r="F38" s="44">
        <v>433.77</v>
      </c>
      <c r="G38" s="44">
        <v>2306.85</v>
      </c>
      <c r="H38" s="44">
        <v>122.22</v>
      </c>
      <c r="I38" s="44">
        <v>9.41</v>
      </c>
      <c r="J38" s="44">
        <v>53.55</v>
      </c>
      <c r="K38" s="44">
        <v>32.090000000000003</v>
      </c>
    </row>
    <row r="39" spans="1:11" s="1" customFormat="1" x14ac:dyDescent="0.25">
      <c r="A39" s="40" t="s">
        <v>99</v>
      </c>
      <c r="B39" s="45">
        <v>600.42999999999995</v>
      </c>
      <c r="C39" s="45">
        <v>366.37</v>
      </c>
      <c r="D39" s="45">
        <v>9.93</v>
      </c>
      <c r="E39" s="45">
        <v>35.97</v>
      </c>
      <c r="F39" s="45">
        <v>109.89</v>
      </c>
      <c r="G39" s="45">
        <v>801.95</v>
      </c>
      <c r="H39" s="45">
        <v>52.63</v>
      </c>
      <c r="I39" s="45">
        <v>3.96</v>
      </c>
      <c r="J39" s="45">
        <v>29.25</v>
      </c>
      <c r="K39" s="45">
        <v>22.25</v>
      </c>
    </row>
    <row r="40" spans="1:11" x14ac:dyDescent="0.25">
      <c r="A40" s="40" t="s">
        <v>100</v>
      </c>
      <c r="B40" s="45">
        <v>567.21</v>
      </c>
      <c r="C40" s="45">
        <v>57.5</v>
      </c>
      <c r="D40" s="45" t="s">
        <v>62</v>
      </c>
      <c r="E40" s="45">
        <v>54.16</v>
      </c>
      <c r="F40" s="45">
        <v>183.64</v>
      </c>
      <c r="G40" s="45">
        <v>423.39</v>
      </c>
      <c r="H40" s="45">
        <v>17.45</v>
      </c>
      <c r="I40" s="45">
        <v>0.44</v>
      </c>
      <c r="J40" s="45">
        <v>7.03</v>
      </c>
      <c r="K40" s="45">
        <v>1.49</v>
      </c>
    </row>
    <row r="41" spans="1:11" s="1" customFormat="1" x14ac:dyDescent="0.25">
      <c r="A41" s="29" t="s">
        <v>101</v>
      </c>
      <c r="B41" s="49">
        <v>2101.4499999999998</v>
      </c>
      <c r="C41" s="49">
        <v>159.99</v>
      </c>
      <c r="D41" s="49" t="s">
        <v>62</v>
      </c>
      <c r="E41" s="49">
        <v>4.33</v>
      </c>
      <c r="F41" s="49">
        <v>140.24</v>
      </c>
      <c r="G41" s="49">
        <v>1081.51</v>
      </c>
      <c r="H41" s="49">
        <v>52.14</v>
      </c>
      <c r="I41" s="49">
        <v>5.01</v>
      </c>
      <c r="J41" s="49">
        <v>17.260000000000002</v>
      </c>
      <c r="K41" s="49">
        <v>8.36</v>
      </c>
    </row>
    <row r="42" spans="1:11" x14ac:dyDescent="0.25">
      <c r="A42" s="33" t="s">
        <v>45</v>
      </c>
      <c r="B42" s="6" t="s">
        <v>63</v>
      </c>
      <c r="C42" s="15"/>
      <c r="D42" s="15"/>
      <c r="E42" s="6"/>
      <c r="F42" s="6"/>
      <c r="G42" s="15"/>
      <c r="H42" s="15"/>
      <c r="I42" s="15"/>
      <c r="J42" s="15"/>
      <c r="K42" s="16"/>
    </row>
    <row r="43" spans="1:11" x14ac:dyDescent="0.25">
      <c r="A43" s="17"/>
      <c r="B43" s="18"/>
      <c r="C43" s="18"/>
      <c r="D43" s="18"/>
      <c r="E43" s="18"/>
      <c r="F43" s="18"/>
      <c r="G43" s="18"/>
      <c r="H43" s="18"/>
      <c r="I43" s="18"/>
      <c r="J43" s="18"/>
      <c r="K43" s="19"/>
    </row>
    <row r="44" spans="1:11" x14ac:dyDescent="0.25">
      <c r="A44" s="38" t="s">
        <v>51</v>
      </c>
      <c r="B44" s="20"/>
      <c r="C44" s="20"/>
      <c r="D44" s="20"/>
      <c r="E44" s="20"/>
      <c r="F44" s="20"/>
      <c r="G44" s="20"/>
      <c r="H44" s="20"/>
      <c r="I44" s="20"/>
      <c r="J44" s="20"/>
      <c r="K44" s="21"/>
    </row>
    <row r="45" spans="1:11" x14ac:dyDescent="0.25">
      <c r="A45" t="s">
        <v>52</v>
      </c>
    </row>
  </sheetData>
  <hyperlinks>
    <hyperlink ref="H1" r:id="rId1"/>
  </hyperlinks>
  <pageMargins left="0.7" right="0.7" top="0.78740157499999996" bottom="0.78740157499999996" header="0.3" footer="0.3"/>
  <pageSetup paperSize="9" orientation="portrait"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8"/>
  <sheetViews>
    <sheetView zoomScale="80" zoomScaleNormal="80" workbookViewId="0">
      <selection activeCell="H1" sqref="H1"/>
    </sheetView>
  </sheetViews>
  <sheetFormatPr baseColWidth="10" defaultRowHeight="15" x14ac:dyDescent="0.25"/>
  <cols>
    <col min="1" max="1" width="20.42578125" customWidth="1"/>
    <col min="2" max="8" width="14.140625" customWidth="1"/>
    <col min="9" max="9" width="14.28515625" customWidth="1"/>
    <col min="10" max="11" width="15" bestFit="1" customWidth="1"/>
  </cols>
  <sheetData>
    <row r="1" spans="1:11" x14ac:dyDescent="0.25">
      <c r="A1" s="4" t="s">
        <v>0</v>
      </c>
      <c r="B1" s="5"/>
      <c r="C1" s="5"/>
      <c r="D1" s="39" t="s">
        <v>211</v>
      </c>
      <c r="E1" s="6"/>
      <c r="F1" s="6"/>
      <c r="G1" s="6"/>
      <c r="H1" s="50" t="s">
        <v>375</v>
      </c>
      <c r="I1" s="6"/>
      <c r="J1" s="6"/>
      <c r="K1" s="6"/>
    </row>
    <row r="2" spans="1:11" s="3" customFormat="1" ht="16.5" customHeight="1" x14ac:dyDescent="0.25">
      <c r="A2" s="25" t="s">
        <v>212</v>
      </c>
      <c r="B2" s="26"/>
      <c r="C2" s="26"/>
      <c r="D2" s="26"/>
      <c r="E2" s="27"/>
      <c r="F2" s="27"/>
      <c r="G2" s="27"/>
      <c r="H2" s="27"/>
      <c r="I2" s="27"/>
      <c r="J2" s="27"/>
      <c r="K2" s="27"/>
    </row>
    <row r="3" spans="1:11" x14ac:dyDescent="0.25">
      <c r="A3" s="9" t="s">
        <v>2</v>
      </c>
      <c r="B3" s="10"/>
      <c r="C3" s="10"/>
      <c r="D3" s="10"/>
      <c r="E3" s="11"/>
      <c r="F3" s="11"/>
      <c r="G3" s="11"/>
      <c r="H3" s="11"/>
      <c r="I3" s="11"/>
      <c r="J3" s="11"/>
      <c r="K3" s="11"/>
    </row>
    <row r="4" spans="1:11" s="1" customFormat="1" x14ac:dyDescent="0.25">
      <c r="A4" s="2"/>
      <c r="B4" s="22" t="s">
        <v>201</v>
      </c>
      <c r="C4" s="22" t="s">
        <v>202</v>
      </c>
      <c r="D4" s="22" t="s">
        <v>203</v>
      </c>
      <c r="E4" s="22" t="s">
        <v>204</v>
      </c>
      <c r="F4" s="22" t="s">
        <v>205</v>
      </c>
      <c r="G4" s="22" t="s">
        <v>206</v>
      </c>
      <c r="H4" s="22" t="s">
        <v>207</v>
      </c>
      <c r="I4" s="22" t="s">
        <v>208</v>
      </c>
      <c r="J4" s="22" t="s">
        <v>209</v>
      </c>
      <c r="K4" s="22" t="s">
        <v>210</v>
      </c>
    </row>
    <row r="5" spans="1:11" x14ac:dyDescent="0.25">
      <c r="A5" s="47" t="s">
        <v>4</v>
      </c>
      <c r="B5" s="48" t="s">
        <v>5</v>
      </c>
      <c r="C5" s="48" t="s">
        <v>5</v>
      </c>
      <c r="D5" s="48" t="s">
        <v>5</v>
      </c>
      <c r="E5" s="48" t="s">
        <v>5</v>
      </c>
      <c r="F5" s="48">
        <v>0.79</v>
      </c>
      <c r="G5" s="48">
        <v>36.18</v>
      </c>
      <c r="H5" s="48" t="s">
        <v>5</v>
      </c>
      <c r="I5" s="48" t="s">
        <v>5</v>
      </c>
      <c r="J5" s="48" t="s">
        <v>5</v>
      </c>
      <c r="K5" s="48" t="s">
        <v>5</v>
      </c>
    </row>
    <row r="6" spans="1:11" x14ac:dyDescent="0.25">
      <c r="A6" s="40" t="s">
        <v>6</v>
      </c>
      <c r="B6" s="45" t="s">
        <v>5</v>
      </c>
      <c r="C6" s="45" t="s">
        <v>5</v>
      </c>
      <c r="D6" s="45" t="s">
        <v>5</v>
      </c>
      <c r="E6" s="45" t="s">
        <v>5</v>
      </c>
      <c r="F6" s="45">
        <v>0.59</v>
      </c>
      <c r="G6" s="45" t="s">
        <v>5</v>
      </c>
      <c r="H6" s="45" t="s">
        <v>5</v>
      </c>
      <c r="I6" s="45" t="s">
        <v>5</v>
      </c>
      <c r="J6" s="45" t="s">
        <v>5</v>
      </c>
      <c r="K6" s="45" t="s">
        <v>5</v>
      </c>
    </row>
    <row r="7" spans="1:11" s="1" customFormat="1" x14ac:dyDescent="0.25">
      <c r="A7" s="40" t="s">
        <v>7</v>
      </c>
      <c r="B7" s="45" t="s">
        <v>5</v>
      </c>
      <c r="C7" s="45" t="s">
        <v>5</v>
      </c>
      <c r="D7" s="45" t="s">
        <v>5</v>
      </c>
      <c r="E7" s="45" t="s">
        <v>5</v>
      </c>
      <c r="F7" s="45">
        <v>0.13</v>
      </c>
      <c r="G7" s="45" t="s">
        <v>5</v>
      </c>
      <c r="H7" s="45" t="s">
        <v>5</v>
      </c>
      <c r="I7" s="45" t="s">
        <v>5</v>
      </c>
      <c r="J7" s="45" t="s">
        <v>5</v>
      </c>
      <c r="K7" s="45" t="s">
        <v>5</v>
      </c>
    </row>
    <row r="8" spans="1:11" x14ac:dyDescent="0.25">
      <c r="A8" s="40" t="s">
        <v>8</v>
      </c>
      <c r="B8" s="45">
        <v>1.1100000000000001</v>
      </c>
      <c r="C8" s="45" t="s">
        <v>5</v>
      </c>
      <c r="D8" s="45" t="s">
        <v>5</v>
      </c>
      <c r="E8" s="45" t="s">
        <v>5</v>
      </c>
      <c r="F8" s="45">
        <v>0.01</v>
      </c>
      <c r="G8" s="45" t="s">
        <v>5</v>
      </c>
      <c r="H8" s="45" t="s">
        <v>5</v>
      </c>
      <c r="I8" s="45" t="s">
        <v>5</v>
      </c>
      <c r="J8" s="45" t="s">
        <v>5</v>
      </c>
      <c r="K8" s="45" t="s">
        <v>5</v>
      </c>
    </row>
    <row r="9" spans="1:11" x14ac:dyDescent="0.25">
      <c r="A9" s="40" t="s">
        <v>9</v>
      </c>
      <c r="B9" s="45" t="s">
        <v>5</v>
      </c>
      <c r="C9" s="45" t="s">
        <v>5</v>
      </c>
      <c r="D9" s="45" t="s">
        <v>5</v>
      </c>
      <c r="E9" s="45" t="s">
        <v>5</v>
      </c>
      <c r="F9" s="45">
        <v>1.47</v>
      </c>
      <c r="G9" s="45">
        <v>0.44</v>
      </c>
      <c r="H9" s="45" t="s">
        <v>5</v>
      </c>
      <c r="I9" s="45" t="s">
        <v>5</v>
      </c>
      <c r="J9" s="45" t="s">
        <v>5</v>
      </c>
      <c r="K9" s="45" t="s">
        <v>5</v>
      </c>
    </row>
    <row r="10" spans="1:11" x14ac:dyDescent="0.25">
      <c r="A10" s="40" t="s">
        <v>10</v>
      </c>
      <c r="B10" s="45" t="s">
        <v>5</v>
      </c>
      <c r="C10" s="45" t="s">
        <v>5</v>
      </c>
      <c r="D10" s="45" t="s">
        <v>5</v>
      </c>
      <c r="E10" s="45" t="s">
        <v>5</v>
      </c>
      <c r="F10" s="45" t="s">
        <v>5</v>
      </c>
      <c r="G10" s="45">
        <v>7.0000000000000007E-2</v>
      </c>
      <c r="H10" s="45" t="s">
        <v>5</v>
      </c>
      <c r="I10" s="45" t="s">
        <v>5</v>
      </c>
      <c r="J10" s="45" t="s">
        <v>5</v>
      </c>
      <c r="K10" s="45" t="s">
        <v>5</v>
      </c>
    </row>
    <row r="11" spans="1:11" s="1" customFormat="1" x14ac:dyDescent="0.25">
      <c r="A11" s="40" t="s">
        <v>11</v>
      </c>
      <c r="B11" s="45" t="s">
        <v>5</v>
      </c>
      <c r="C11" s="45" t="s">
        <v>5</v>
      </c>
      <c r="D11" s="45" t="s">
        <v>5</v>
      </c>
      <c r="E11" s="45" t="s">
        <v>5</v>
      </c>
      <c r="F11" s="45">
        <v>0.03</v>
      </c>
      <c r="G11" s="45" t="s">
        <v>5</v>
      </c>
      <c r="H11" s="45" t="s">
        <v>5</v>
      </c>
      <c r="I11" s="45" t="s">
        <v>5</v>
      </c>
      <c r="J11" s="45" t="s">
        <v>5</v>
      </c>
      <c r="K11" s="45" t="s">
        <v>5</v>
      </c>
    </row>
    <row r="12" spans="1:11" x14ac:dyDescent="0.25">
      <c r="A12" s="40" t="s">
        <v>12</v>
      </c>
      <c r="B12" s="45" t="s">
        <v>5</v>
      </c>
      <c r="C12" s="45" t="s">
        <v>5</v>
      </c>
      <c r="D12" s="45" t="s">
        <v>5</v>
      </c>
      <c r="E12" s="45" t="s">
        <v>5</v>
      </c>
      <c r="F12" s="45">
        <v>0.02</v>
      </c>
      <c r="G12" s="45">
        <v>3.7</v>
      </c>
      <c r="H12" s="45">
        <v>0.12</v>
      </c>
      <c r="I12" s="45" t="s">
        <v>5</v>
      </c>
      <c r="J12" s="45" t="s">
        <v>5</v>
      </c>
      <c r="K12" s="45" t="s">
        <v>5</v>
      </c>
    </row>
    <row r="13" spans="1:11" x14ac:dyDescent="0.25">
      <c r="A13" s="40" t="s">
        <v>13</v>
      </c>
      <c r="B13" s="45" t="s">
        <v>62</v>
      </c>
      <c r="C13" s="45" t="s">
        <v>62</v>
      </c>
      <c r="D13" s="45" t="s">
        <v>62</v>
      </c>
      <c r="E13" s="45" t="s">
        <v>62</v>
      </c>
      <c r="F13" s="45">
        <v>23.24</v>
      </c>
      <c r="G13" s="45">
        <v>85.55</v>
      </c>
      <c r="H13" s="45" t="s">
        <v>62</v>
      </c>
      <c r="I13" s="45" t="s">
        <v>62</v>
      </c>
      <c r="J13" s="45" t="s">
        <v>62</v>
      </c>
      <c r="K13" s="45" t="s">
        <v>62</v>
      </c>
    </row>
    <row r="14" spans="1:11" x14ac:dyDescent="0.25">
      <c r="A14" s="40" t="s">
        <v>14</v>
      </c>
      <c r="B14" s="45" t="s">
        <v>5</v>
      </c>
      <c r="C14" s="45" t="s">
        <v>5</v>
      </c>
      <c r="D14" s="45" t="s">
        <v>5</v>
      </c>
      <c r="E14" s="45" t="s">
        <v>5</v>
      </c>
      <c r="F14" s="45">
        <v>0.28999999999999998</v>
      </c>
      <c r="G14" s="45" t="s">
        <v>5</v>
      </c>
      <c r="H14" s="45" t="s">
        <v>5</v>
      </c>
      <c r="I14" s="45" t="s">
        <v>5</v>
      </c>
      <c r="J14" s="45" t="s">
        <v>5</v>
      </c>
      <c r="K14" s="45" t="s">
        <v>5</v>
      </c>
    </row>
    <row r="15" spans="1:11" x14ac:dyDescent="0.25">
      <c r="A15" s="40" t="s">
        <v>15</v>
      </c>
      <c r="B15" s="45" t="s">
        <v>5</v>
      </c>
      <c r="C15" s="45" t="s">
        <v>5</v>
      </c>
      <c r="D15" s="45" t="s">
        <v>5</v>
      </c>
      <c r="E15" s="45" t="s">
        <v>5</v>
      </c>
      <c r="F15" s="45">
        <v>0.13</v>
      </c>
      <c r="G15" s="45" t="s">
        <v>5</v>
      </c>
      <c r="H15" s="45" t="s">
        <v>5</v>
      </c>
      <c r="I15" s="45" t="s">
        <v>5</v>
      </c>
      <c r="J15" s="45" t="s">
        <v>5</v>
      </c>
      <c r="K15" s="45" t="s">
        <v>5</v>
      </c>
    </row>
    <row r="16" spans="1:11" x14ac:dyDescent="0.25">
      <c r="A16" s="40" t="s">
        <v>16</v>
      </c>
      <c r="B16" s="45" t="s">
        <v>5</v>
      </c>
      <c r="C16" s="45" t="s">
        <v>5</v>
      </c>
      <c r="D16" s="45" t="s">
        <v>5</v>
      </c>
      <c r="E16" s="45" t="s">
        <v>5</v>
      </c>
      <c r="F16" s="45">
        <v>0.74</v>
      </c>
      <c r="G16" s="45">
        <v>0.3</v>
      </c>
      <c r="H16" s="45">
        <v>0.01</v>
      </c>
      <c r="I16" s="45" t="s">
        <v>5</v>
      </c>
      <c r="J16" s="45" t="s">
        <v>5</v>
      </c>
      <c r="K16" s="45" t="s">
        <v>5</v>
      </c>
    </row>
    <row r="17" spans="1:11" s="1" customFormat="1" x14ac:dyDescent="0.25">
      <c r="A17" s="40" t="s">
        <v>17</v>
      </c>
      <c r="B17" s="45" t="s">
        <v>5</v>
      </c>
      <c r="C17" s="45" t="s">
        <v>5</v>
      </c>
      <c r="D17" s="45" t="s">
        <v>5</v>
      </c>
      <c r="E17" s="45" t="s">
        <v>5</v>
      </c>
      <c r="F17" s="45">
        <v>3.25</v>
      </c>
      <c r="G17" s="45" t="s">
        <v>5</v>
      </c>
      <c r="H17" s="45" t="s">
        <v>5</v>
      </c>
      <c r="I17" s="45" t="s">
        <v>5</v>
      </c>
      <c r="J17" s="45" t="s">
        <v>5</v>
      </c>
      <c r="K17" s="45" t="s">
        <v>5</v>
      </c>
    </row>
    <row r="18" spans="1:11" x14ac:dyDescent="0.25">
      <c r="A18" s="40" t="s">
        <v>18</v>
      </c>
      <c r="B18" s="45" t="s">
        <v>5</v>
      </c>
      <c r="C18" s="45" t="s">
        <v>5</v>
      </c>
      <c r="D18" s="45" t="s">
        <v>5</v>
      </c>
      <c r="E18" s="45" t="s">
        <v>5</v>
      </c>
      <c r="F18" s="45">
        <v>1.95</v>
      </c>
      <c r="G18" s="45" t="s">
        <v>5</v>
      </c>
      <c r="H18" s="45">
        <v>0.32</v>
      </c>
      <c r="I18" s="45" t="s">
        <v>5</v>
      </c>
      <c r="J18" s="45" t="s">
        <v>5</v>
      </c>
      <c r="K18" s="45" t="s">
        <v>5</v>
      </c>
    </row>
    <row r="19" spans="1:11" x14ac:dyDescent="0.25">
      <c r="A19" s="40" t="s">
        <v>19</v>
      </c>
      <c r="B19" s="45" t="s">
        <v>62</v>
      </c>
      <c r="C19" s="45" t="s">
        <v>62</v>
      </c>
      <c r="D19" s="45" t="s">
        <v>62</v>
      </c>
      <c r="E19" s="45" t="s">
        <v>62</v>
      </c>
      <c r="F19" s="45">
        <v>14.15</v>
      </c>
      <c r="G19" s="45">
        <v>11.54</v>
      </c>
      <c r="H19" s="45" t="s">
        <v>62</v>
      </c>
      <c r="I19" s="45" t="s">
        <v>62</v>
      </c>
      <c r="J19" s="45" t="s">
        <v>62</v>
      </c>
      <c r="K19" s="45" t="s">
        <v>62</v>
      </c>
    </row>
    <row r="20" spans="1:11" x14ac:dyDescent="0.25">
      <c r="A20" s="40" t="s">
        <v>20</v>
      </c>
      <c r="B20" s="45">
        <v>13.04</v>
      </c>
      <c r="C20" s="45" t="s">
        <v>5</v>
      </c>
      <c r="D20" s="45" t="s">
        <v>5</v>
      </c>
      <c r="E20" s="45" t="s">
        <v>5</v>
      </c>
      <c r="F20" s="45">
        <v>5.0999999999999996</v>
      </c>
      <c r="G20" s="45">
        <v>3.11</v>
      </c>
      <c r="H20" s="45" t="s">
        <v>5</v>
      </c>
      <c r="I20" s="45" t="s">
        <v>5</v>
      </c>
      <c r="J20" s="45" t="s">
        <v>5</v>
      </c>
      <c r="K20" s="45" t="s">
        <v>5</v>
      </c>
    </row>
    <row r="21" spans="1:11" x14ac:dyDescent="0.25">
      <c r="A21" s="40" t="s">
        <v>21</v>
      </c>
      <c r="B21" s="45" t="s">
        <v>5</v>
      </c>
      <c r="C21" s="45" t="s">
        <v>5</v>
      </c>
      <c r="D21" s="45" t="s">
        <v>5</v>
      </c>
      <c r="E21" s="45" t="s">
        <v>5</v>
      </c>
      <c r="F21" s="45">
        <v>0</v>
      </c>
      <c r="G21" s="45">
        <v>0.01</v>
      </c>
      <c r="H21" s="45" t="s">
        <v>5</v>
      </c>
      <c r="I21" s="45" t="s">
        <v>5</v>
      </c>
      <c r="J21" s="45" t="s">
        <v>5</v>
      </c>
      <c r="K21" s="45" t="s">
        <v>5</v>
      </c>
    </row>
    <row r="22" spans="1:11" x14ac:dyDescent="0.25">
      <c r="A22" s="40" t="s">
        <v>22</v>
      </c>
      <c r="B22" s="45">
        <v>0.12</v>
      </c>
      <c r="C22" s="45" t="s">
        <v>5</v>
      </c>
      <c r="D22" s="45" t="s">
        <v>5</v>
      </c>
      <c r="E22" s="45" t="s">
        <v>5</v>
      </c>
      <c r="F22" s="45">
        <v>0.01</v>
      </c>
      <c r="G22" s="45" t="s">
        <v>5</v>
      </c>
      <c r="H22" s="45" t="s">
        <v>5</v>
      </c>
      <c r="I22" s="45" t="s">
        <v>5</v>
      </c>
      <c r="J22" s="45" t="s">
        <v>5</v>
      </c>
      <c r="K22" s="45" t="s">
        <v>5</v>
      </c>
    </row>
    <row r="23" spans="1:11" x14ac:dyDescent="0.25">
      <c r="A23" s="40" t="s">
        <v>23</v>
      </c>
      <c r="B23" s="45" t="s">
        <v>5</v>
      </c>
      <c r="C23" s="45" t="s">
        <v>5</v>
      </c>
      <c r="D23" s="45" t="s">
        <v>5</v>
      </c>
      <c r="E23" s="45" t="s">
        <v>5</v>
      </c>
      <c r="F23" s="45">
        <v>1.1399999999999999</v>
      </c>
      <c r="G23" s="45">
        <v>15.44</v>
      </c>
      <c r="H23" s="45" t="s">
        <v>5</v>
      </c>
      <c r="I23" s="45" t="s">
        <v>5</v>
      </c>
      <c r="J23" s="45" t="s">
        <v>5</v>
      </c>
      <c r="K23" s="45" t="s">
        <v>5</v>
      </c>
    </row>
    <row r="24" spans="1:11" x14ac:dyDescent="0.25">
      <c r="A24" s="40" t="s">
        <v>24</v>
      </c>
      <c r="B24" s="45" t="s">
        <v>5</v>
      </c>
      <c r="C24" s="45" t="s">
        <v>5</v>
      </c>
      <c r="D24" s="45" t="s">
        <v>5</v>
      </c>
      <c r="E24" s="45" t="s">
        <v>5</v>
      </c>
      <c r="F24" s="45">
        <v>1.68</v>
      </c>
      <c r="G24" s="45">
        <v>0.04</v>
      </c>
      <c r="H24" s="45">
        <v>0.05</v>
      </c>
      <c r="I24" s="45" t="s">
        <v>5</v>
      </c>
      <c r="J24" s="45" t="s">
        <v>5</v>
      </c>
      <c r="K24" s="45" t="s">
        <v>5</v>
      </c>
    </row>
    <row r="25" spans="1:11" x14ac:dyDescent="0.25">
      <c r="A25" s="40" t="s">
        <v>25</v>
      </c>
      <c r="B25" s="45">
        <v>246.79</v>
      </c>
      <c r="C25" s="45" t="s">
        <v>5</v>
      </c>
      <c r="D25" s="45" t="s">
        <v>5</v>
      </c>
      <c r="E25" s="45" t="s">
        <v>5</v>
      </c>
      <c r="F25" s="45">
        <v>1.1499999999999999</v>
      </c>
      <c r="G25" s="45" t="s">
        <v>5</v>
      </c>
      <c r="H25" s="45">
        <v>0.26</v>
      </c>
      <c r="I25" s="45" t="s">
        <v>5</v>
      </c>
      <c r="J25" s="45" t="s">
        <v>5</v>
      </c>
      <c r="K25" s="45" t="s">
        <v>5</v>
      </c>
    </row>
    <row r="26" spans="1:11" x14ac:dyDescent="0.25">
      <c r="A26" s="40" t="s">
        <v>26</v>
      </c>
      <c r="B26" s="45" t="s">
        <v>5</v>
      </c>
      <c r="C26" s="45" t="s">
        <v>5</v>
      </c>
      <c r="D26" s="45" t="s">
        <v>5</v>
      </c>
      <c r="E26" s="45" t="s">
        <v>5</v>
      </c>
      <c r="F26" s="45">
        <v>3.09</v>
      </c>
      <c r="G26" s="45" t="s">
        <v>5</v>
      </c>
      <c r="H26" s="45" t="s">
        <v>5</v>
      </c>
      <c r="I26" s="45" t="s">
        <v>5</v>
      </c>
      <c r="J26" s="45" t="s">
        <v>5</v>
      </c>
      <c r="K26" s="45" t="s">
        <v>5</v>
      </c>
    </row>
    <row r="27" spans="1:11" s="1" customFormat="1" x14ac:dyDescent="0.25">
      <c r="A27" s="40" t="s">
        <v>27</v>
      </c>
      <c r="B27" s="45">
        <v>0.11</v>
      </c>
      <c r="C27" s="45" t="s">
        <v>5</v>
      </c>
      <c r="D27" s="45" t="s">
        <v>5</v>
      </c>
      <c r="E27" s="45" t="s">
        <v>5</v>
      </c>
      <c r="F27" s="45">
        <v>0.04</v>
      </c>
      <c r="G27" s="45">
        <v>1.51</v>
      </c>
      <c r="H27" s="45" t="s">
        <v>5</v>
      </c>
      <c r="I27" s="45" t="s">
        <v>5</v>
      </c>
      <c r="J27" s="45" t="s">
        <v>5</v>
      </c>
      <c r="K27" s="45" t="s">
        <v>5</v>
      </c>
    </row>
    <row r="28" spans="1:11" x14ac:dyDescent="0.25">
      <c r="A28" s="40" t="s">
        <v>28</v>
      </c>
      <c r="B28" s="45" t="s">
        <v>5</v>
      </c>
      <c r="C28" s="45" t="s">
        <v>5</v>
      </c>
      <c r="D28" s="45" t="s">
        <v>5</v>
      </c>
      <c r="E28" s="45" t="s">
        <v>5</v>
      </c>
      <c r="F28" s="45">
        <v>0.09</v>
      </c>
      <c r="G28" s="45" t="s">
        <v>5</v>
      </c>
      <c r="H28" s="45">
        <v>0.01</v>
      </c>
      <c r="I28" s="45" t="s">
        <v>5</v>
      </c>
      <c r="J28" s="45" t="s">
        <v>5</v>
      </c>
      <c r="K28" s="45" t="s">
        <v>5</v>
      </c>
    </row>
    <row r="29" spans="1:11" x14ac:dyDescent="0.25">
      <c r="A29" s="40" t="s">
        <v>29</v>
      </c>
      <c r="B29" s="45" t="s">
        <v>5</v>
      </c>
      <c r="C29" s="45" t="s">
        <v>5</v>
      </c>
      <c r="D29" s="45" t="s">
        <v>5</v>
      </c>
      <c r="E29" s="45" t="s">
        <v>5</v>
      </c>
      <c r="F29" s="45">
        <v>2.38</v>
      </c>
      <c r="G29" s="45">
        <v>12.19</v>
      </c>
      <c r="H29" s="45" t="s">
        <v>5</v>
      </c>
      <c r="I29" s="45" t="s">
        <v>5</v>
      </c>
      <c r="J29" s="45" t="s">
        <v>5</v>
      </c>
      <c r="K29" s="45" t="s">
        <v>5</v>
      </c>
    </row>
    <row r="30" spans="1:11" x14ac:dyDescent="0.25">
      <c r="A30" s="40" t="s">
        <v>30</v>
      </c>
      <c r="B30" s="45">
        <v>0.02</v>
      </c>
      <c r="C30" s="45" t="s">
        <v>5</v>
      </c>
      <c r="D30" s="45" t="s">
        <v>5</v>
      </c>
      <c r="E30" s="45" t="s">
        <v>5</v>
      </c>
      <c r="F30" s="45">
        <v>0.04</v>
      </c>
      <c r="G30" s="45" t="s">
        <v>5</v>
      </c>
      <c r="H30" s="45" t="s">
        <v>5</v>
      </c>
      <c r="I30" s="45" t="s">
        <v>5</v>
      </c>
      <c r="J30" s="45" t="s">
        <v>5</v>
      </c>
      <c r="K30" s="45" t="s">
        <v>5</v>
      </c>
    </row>
    <row r="31" spans="1:11" x14ac:dyDescent="0.25">
      <c r="A31" s="40" t="s">
        <v>31</v>
      </c>
      <c r="B31" s="45">
        <v>3.94</v>
      </c>
      <c r="C31" s="45" t="s">
        <v>5</v>
      </c>
      <c r="D31" s="45" t="s">
        <v>5</v>
      </c>
      <c r="E31" s="45" t="s">
        <v>5</v>
      </c>
      <c r="F31" s="45">
        <v>0.02</v>
      </c>
      <c r="G31" s="45" t="s">
        <v>5</v>
      </c>
      <c r="H31" s="45" t="s">
        <v>5</v>
      </c>
      <c r="I31" s="45" t="s">
        <v>5</v>
      </c>
      <c r="J31" s="45" t="s">
        <v>5</v>
      </c>
      <c r="K31" s="45" t="s">
        <v>5</v>
      </c>
    </row>
    <row r="32" spans="1:11" x14ac:dyDescent="0.25">
      <c r="A32" s="40" t="s">
        <v>32</v>
      </c>
      <c r="B32" s="45">
        <v>1.89</v>
      </c>
      <c r="C32" s="45" t="s">
        <v>5</v>
      </c>
      <c r="D32" s="45" t="s">
        <v>5</v>
      </c>
      <c r="E32" s="45" t="s">
        <v>5</v>
      </c>
      <c r="F32" s="45">
        <v>6.47</v>
      </c>
      <c r="G32" s="45" t="s">
        <v>5</v>
      </c>
      <c r="H32" s="45" t="s">
        <v>5</v>
      </c>
      <c r="I32" s="45" t="s">
        <v>5</v>
      </c>
      <c r="J32" s="45" t="s">
        <v>5</v>
      </c>
      <c r="K32" s="45" t="s">
        <v>5</v>
      </c>
    </row>
    <row r="33" spans="1:11" x14ac:dyDescent="0.25">
      <c r="A33" s="35" t="s">
        <v>33</v>
      </c>
      <c r="B33" s="44">
        <v>267.04000000000002</v>
      </c>
      <c r="C33" s="44" t="s">
        <v>62</v>
      </c>
      <c r="D33" s="44" t="s">
        <v>62</v>
      </c>
      <c r="E33" s="44" t="s">
        <v>62</v>
      </c>
      <c r="F33" s="44">
        <v>67.989999999999995</v>
      </c>
      <c r="G33" s="44">
        <v>170.07</v>
      </c>
      <c r="H33" s="44">
        <v>0.76</v>
      </c>
      <c r="I33" s="44" t="s">
        <v>62</v>
      </c>
      <c r="J33" s="44" t="s">
        <v>62</v>
      </c>
      <c r="K33" s="44" t="s">
        <v>62</v>
      </c>
    </row>
    <row r="34" spans="1:11" x14ac:dyDescent="0.25">
      <c r="A34" s="40" t="s">
        <v>34</v>
      </c>
      <c r="B34" s="45">
        <v>1.67</v>
      </c>
      <c r="C34" s="45" t="s">
        <v>62</v>
      </c>
      <c r="D34" s="45" t="s">
        <v>62</v>
      </c>
      <c r="E34" s="45">
        <v>0.83</v>
      </c>
      <c r="F34" s="45">
        <v>10.79</v>
      </c>
      <c r="G34" s="45">
        <v>62.53</v>
      </c>
      <c r="H34" s="45">
        <v>1.48</v>
      </c>
      <c r="I34" s="45" t="s">
        <v>62</v>
      </c>
      <c r="J34" s="45" t="s">
        <v>62</v>
      </c>
      <c r="K34" s="45" t="s">
        <v>62</v>
      </c>
    </row>
    <row r="35" spans="1:11" x14ac:dyDescent="0.25">
      <c r="A35" s="40" t="s">
        <v>35</v>
      </c>
      <c r="B35" s="45" t="s">
        <v>5</v>
      </c>
      <c r="C35" s="45" t="s">
        <v>5</v>
      </c>
      <c r="D35" s="45" t="s">
        <v>5</v>
      </c>
      <c r="E35" s="45" t="s">
        <v>5</v>
      </c>
      <c r="F35" s="45">
        <v>0.82</v>
      </c>
      <c r="G35" s="45">
        <v>2.42</v>
      </c>
      <c r="H35" s="45">
        <v>0.17</v>
      </c>
      <c r="I35" s="45" t="s">
        <v>5</v>
      </c>
      <c r="J35" s="45" t="s">
        <v>5</v>
      </c>
      <c r="K35" s="45" t="s">
        <v>5</v>
      </c>
    </row>
    <row r="36" spans="1:11" s="1" customFormat="1" x14ac:dyDescent="0.25">
      <c r="A36" s="40" t="s">
        <v>36</v>
      </c>
      <c r="B36" s="45">
        <v>0.1</v>
      </c>
      <c r="C36" s="45">
        <v>5.96</v>
      </c>
      <c r="D36" s="45" t="s">
        <v>62</v>
      </c>
      <c r="E36" s="45">
        <v>4.0599999999999996</v>
      </c>
      <c r="F36" s="45">
        <v>13.77</v>
      </c>
      <c r="G36" s="45">
        <v>15.5</v>
      </c>
      <c r="H36" s="45">
        <v>17.399999999999999</v>
      </c>
      <c r="I36" s="45" t="s">
        <v>62</v>
      </c>
      <c r="J36" s="45" t="s">
        <v>62</v>
      </c>
      <c r="K36" s="45" t="s">
        <v>62</v>
      </c>
    </row>
    <row r="37" spans="1:11" x14ac:dyDescent="0.25">
      <c r="A37" s="40" t="s">
        <v>37</v>
      </c>
      <c r="B37" s="45">
        <v>13.26</v>
      </c>
      <c r="C37" s="45" t="s">
        <v>62</v>
      </c>
      <c r="D37" s="45" t="s">
        <v>62</v>
      </c>
      <c r="E37" s="45" t="s">
        <v>62</v>
      </c>
      <c r="F37" s="45">
        <v>14.4</v>
      </c>
      <c r="G37" s="45">
        <v>4.63</v>
      </c>
      <c r="H37" s="45">
        <v>3.08</v>
      </c>
      <c r="I37" s="45" t="s">
        <v>62</v>
      </c>
      <c r="J37" s="45" t="s">
        <v>62</v>
      </c>
      <c r="K37" s="45" t="s">
        <v>62</v>
      </c>
    </row>
    <row r="38" spans="1:11" s="1" customFormat="1" x14ac:dyDescent="0.25">
      <c r="A38" s="40" t="s">
        <v>38</v>
      </c>
      <c r="B38" s="45">
        <v>3.39</v>
      </c>
      <c r="C38" s="45" t="s">
        <v>5</v>
      </c>
      <c r="D38" s="45" t="s">
        <v>5</v>
      </c>
      <c r="E38" s="45">
        <v>0.11</v>
      </c>
      <c r="F38" s="45">
        <v>0.15</v>
      </c>
      <c r="G38" s="45">
        <v>6.59</v>
      </c>
      <c r="H38" s="45">
        <v>0.59</v>
      </c>
      <c r="I38" s="45" t="s">
        <v>5</v>
      </c>
      <c r="J38" s="45" t="s">
        <v>5</v>
      </c>
      <c r="K38" s="45" t="s">
        <v>5</v>
      </c>
    </row>
    <row r="39" spans="1:11" s="1" customFormat="1" x14ac:dyDescent="0.25">
      <c r="A39" s="40" t="s">
        <v>39</v>
      </c>
      <c r="B39" s="45" t="s">
        <v>5</v>
      </c>
      <c r="C39" s="45" t="s">
        <v>5</v>
      </c>
      <c r="D39" s="45" t="s">
        <v>5</v>
      </c>
      <c r="E39" s="45" t="s">
        <v>5</v>
      </c>
      <c r="F39" s="45">
        <v>0.72</v>
      </c>
      <c r="G39" s="45" t="s">
        <v>5</v>
      </c>
      <c r="H39" s="45">
        <v>7.0000000000000007E-2</v>
      </c>
      <c r="I39" s="45" t="s">
        <v>5</v>
      </c>
      <c r="J39" s="45" t="s">
        <v>5</v>
      </c>
      <c r="K39" s="45">
        <v>0.01</v>
      </c>
    </row>
    <row r="40" spans="1:11" s="1" customFormat="1" x14ac:dyDescent="0.25">
      <c r="A40" s="40" t="s">
        <v>40</v>
      </c>
      <c r="B40" s="45" t="s">
        <v>62</v>
      </c>
      <c r="C40" s="45" t="s">
        <v>62</v>
      </c>
      <c r="D40" s="45" t="s">
        <v>62</v>
      </c>
      <c r="E40" s="45" t="s">
        <v>62</v>
      </c>
      <c r="F40" s="45">
        <v>17.170000000000002</v>
      </c>
      <c r="G40" s="45" t="s">
        <v>62</v>
      </c>
      <c r="H40" s="45">
        <v>0.33</v>
      </c>
      <c r="I40" s="45" t="s">
        <v>62</v>
      </c>
      <c r="J40" s="45" t="s">
        <v>62</v>
      </c>
      <c r="K40" s="45" t="s">
        <v>62</v>
      </c>
    </row>
    <row r="41" spans="1:11" s="1" customFormat="1" x14ac:dyDescent="0.25">
      <c r="A41" s="40" t="s">
        <v>41</v>
      </c>
      <c r="B41" s="45">
        <v>1.97</v>
      </c>
      <c r="C41" s="45" t="s">
        <v>5</v>
      </c>
      <c r="D41" s="45" t="s">
        <v>5</v>
      </c>
      <c r="E41" s="45" t="s">
        <v>5</v>
      </c>
      <c r="F41" s="45">
        <v>9.73</v>
      </c>
      <c r="G41" s="45">
        <v>1.71</v>
      </c>
      <c r="H41" s="45">
        <v>0.04</v>
      </c>
      <c r="I41" s="45" t="s">
        <v>5</v>
      </c>
      <c r="J41" s="45" t="s">
        <v>5</v>
      </c>
      <c r="K41" s="45" t="s">
        <v>5</v>
      </c>
    </row>
    <row r="42" spans="1:11" x14ac:dyDescent="0.25">
      <c r="A42" s="40" t="s">
        <v>42</v>
      </c>
      <c r="B42" s="45" t="s">
        <v>5</v>
      </c>
      <c r="C42" s="45" t="s">
        <v>5</v>
      </c>
      <c r="D42" s="45" t="s">
        <v>5</v>
      </c>
      <c r="E42" s="45" t="s">
        <v>5</v>
      </c>
      <c r="F42" s="45">
        <v>7.12</v>
      </c>
      <c r="G42" s="45">
        <v>1.18</v>
      </c>
      <c r="H42" s="45" t="s">
        <v>5</v>
      </c>
      <c r="I42" s="45" t="s">
        <v>5</v>
      </c>
      <c r="J42" s="45" t="s">
        <v>5</v>
      </c>
      <c r="K42" s="45" t="s">
        <v>5</v>
      </c>
    </row>
    <row r="43" spans="1:11" s="1" customFormat="1" x14ac:dyDescent="0.25">
      <c r="A43" s="29" t="s">
        <v>43</v>
      </c>
      <c r="B43" s="49" t="s">
        <v>5</v>
      </c>
      <c r="C43" s="49" t="s">
        <v>5</v>
      </c>
      <c r="D43" s="49" t="s">
        <v>5</v>
      </c>
      <c r="E43" s="49" t="s">
        <v>5</v>
      </c>
      <c r="F43" s="49">
        <v>2.65</v>
      </c>
      <c r="G43" s="49" t="s">
        <v>5</v>
      </c>
      <c r="H43" s="49">
        <v>0.03</v>
      </c>
      <c r="I43" s="49" t="s">
        <v>5</v>
      </c>
      <c r="J43" s="49" t="s">
        <v>5</v>
      </c>
      <c r="K43" s="49" t="s">
        <v>5</v>
      </c>
    </row>
    <row r="44" spans="1:11" s="1" customFormat="1" x14ac:dyDescent="0.25">
      <c r="A44" s="29" t="s">
        <v>44</v>
      </c>
      <c r="B44" s="49">
        <v>1.1200000000000001</v>
      </c>
      <c r="C44" s="49" t="s">
        <v>5</v>
      </c>
      <c r="D44" s="49" t="s">
        <v>5</v>
      </c>
      <c r="E44" s="49" t="s">
        <v>5</v>
      </c>
      <c r="F44" s="49">
        <v>2.63</v>
      </c>
      <c r="G44" s="49" t="s">
        <v>5</v>
      </c>
      <c r="H44" s="49">
        <v>1.37</v>
      </c>
      <c r="I44" s="49" t="s">
        <v>5</v>
      </c>
      <c r="J44" s="49" t="s">
        <v>5</v>
      </c>
      <c r="K44" s="49" t="s">
        <v>5</v>
      </c>
    </row>
    <row r="45" spans="1:11" x14ac:dyDescent="0.25">
      <c r="A45" s="33" t="s">
        <v>45</v>
      </c>
      <c r="B45" s="6" t="s">
        <v>63</v>
      </c>
      <c r="C45" s="15"/>
      <c r="D45" s="15"/>
      <c r="E45" s="6"/>
      <c r="F45" s="6"/>
      <c r="G45" s="15"/>
      <c r="H45" s="15"/>
      <c r="I45" s="15"/>
      <c r="J45" s="15"/>
      <c r="K45" s="16"/>
    </row>
    <row r="46" spans="1:11" x14ac:dyDescent="0.25">
      <c r="A46" s="17"/>
      <c r="B46" s="18"/>
      <c r="C46" s="18"/>
      <c r="D46" s="18"/>
      <c r="E46" s="18"/>
      <c r="F46" s="18"/>
      <c r="G46" s="18"/>
      <c r="H46" s="18"/>
      <c r="I46" s="18"/>
      <c r="J46" s="18"/>
      <c r="K46" s="19"/>
    </row>
    <row r="47" spans="1:11" x14ac:dyDescent="0.25">
      <c r="A47" s="38" t="s">
        <v>51</v>
      </c>
      <c r="B47" s="20"/>
      <c r="C47" s="20"/>
      <c r="D47" s="20"/>
      <c r="E47" s="20"/>
      <c r="F47" s="20"/>
      <c r="G47" s="20"/>
      <c r="H47" s="20"/>
      <c r="I47" s="20"/>
      <c r="J47" s="20"/>
      <c r="K47" s="21"/>
    </row>
    <row r="48" spans="1:11" x14ac:dyDescent="0.25">
      <c r="A48" t="s">
        <v>52</v>
      </c>
    </row>
  </sheetData>
  <hyperlinks>
    <hyperlink ref="H1" r:id="rId1"/>
  </hyperlinks>
  <pageMargins left="0.7" right="0.7" top="0.78740157499999996" bottom="0.78740157499999996" header="0.3" footer="0.3"/>
  <pageSetup paperSize="9" orientation="portrait"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8"/>
  <sheetViews>
    <sheetView zoomScale="80" zoomScaleNormal="80" workbookViewId="0">
      <selection activeCell="H1" sqref="H1"/>
    </sheetView>
  </sheetViews>
  <sheetFormatPr baseColWidth="10" defaultRowHeight="15" x14ac:dyDescent="0.25"/>
  <cols>
    <col min="1" max="1" width="20.42578125" customWidth="1"/>
    <col min="2" max="8" width="14.140625" customWidth="1"/>
    <col min="9" max="9" width="14.28515625" customWidth="1"/>
    <col min="10" max="11" width="15" bestFit="1" customWidth="1"/>
  </cols>
  <sheetData>
    <row r="1" spans="1:11" x14ac:dyDescent="0.25">
      <c r="A1" s="4" t="s">
        <v>0</v>
      </c>
      <c r="B1" s="5"/>
      <c r="C1" s="5"/>
      <c r="D1" s="39" t="s">
        <v>214</v>
      </c>
      <c r="E1" s="6"/>
      <c r="F1" s="6"/>
      <c r="G1" s="6"/>
      <c r="H1" s="50" t="s">
        <v>375</v>
      </c>
      <c r="I1" s="6"/>
      <c r="J1" s="6"/>
      <c r="K1" s="6"/>
    </row>
    <row r="2" spans="1:11" s="3" customFormat="1" ht="16.5" customHeight="1" x14ac:dyDescent="0.25">
      <c r="A2" s="25" t="s">
        <v>212</v>
      </c>
      <c r="B2" s="26"/>
      <c r="C2" s="26"/>
      <c r="D2" s="26"/>
      <c r="E2" s="27"/>
      <c r="F2" s="27"/>
      <c r="G2" s="27"/>
      <c r="H2" s="27"/>
      <c r="I2" s="27"/>
      <c r="J2" s="27"/>
      <c r="K2" s="27"/>
    </row>
    <row r="3" spans="1:11" x14ac:dyDescent="0.25">
      <c r="A3" s="9" t="s">
        <v>2</v>
      </c>
      <c r="B3" s="10"/>
      <c r="C3" s="10"/>
      <c r="D3" s="10"/>
      <c r="E3" s="11"/>
      <c r="F3" s="11"/>
      <c r="G3" s="11"/>
      <c r="H3" s="11"/>
      <c r="I3" s="11"/>
      <c r="J3" s="11"/>
      <c r="K3" s="11"/>
    </row>
    <row r="4" spans="1:11" s="1" customFormat="1" x14ac:dyDescent="0.25">
      <c r="A4" s="2"/>
      <c r="B4" s="22" t="s">
        <v>201</v>
      </c>
      <c r="C4" s="22" t="s">
        <v>202</v>
      </c>
      <c r="D4" s="22" t="s">
        <v>203</v>
      </c>
      <c r="E4" s="22" t="s">
        <v>204</v>
      </c>
      <c r="F4" s="22" t="s">
        <v>205</v>
      </c>
      <c r="G4" s="22" t="s">
        <v>206</v>
      </c>
      <c r="H4" s="22" t="s">
        <v>207</v>
      </c>
      <c r="I4" s="22" t="s">
        <v>208</v>
      </c>
      <c r="J4" s="22" t="s">
        <v>209</v>
      </c>
      <c r="K4" s="22" t="s">
        <v>210</v>
      </c>
    </row>
    <row r="5" spans="1:11" x14ac:dyDescent="0.25">
      <c r="A5" s="47" t="s">
        <v>104</v>
      </c>
      <c r="B5" s="48" t="s">
        <v>5</v>
      </c>
      <c r="C5" s="48" t="s">
        <v>5</v>
      </c>
      <c r="D5" s="48" t="s">
        <v>5</v>
      </c>
      <c r="E5" s="48" t="s">
        <v>5</v>
      </c>
      <c r="F5" s="48">
        <v>0.32</v>
      </c>
      <c r="G5" s="48" t="s">
        <v>5</v>
      </c>
      <c r="H5" s="48" t="s">
        <v>5</v>
      </c>
      <c r="I5" s="48" t="s">
        <v>5</v>
      </c>
      <c r="J5" s="48" t="s">
        <v>5</v>
      </c>
      <c r="K5" s="48" t="s">
        <v>5</v>
      </c>
    </row>
    <row r="6" spans="1:11" x14ac:dyDescent="0.25">
      <c r="A6" s="40" t="s">
        <v>105</v>
      </c>
      <c r="B6" s="45" t="s">
        <v>5</v>
      </c>
      <c r="C6" s="45" t="s">
        <v>5</v>
      </c>
      <c r="D6" s="45" t="s">
        <v>5</v>
      </c>
      <c r="E6" s="45" t="s">
        <v>5</v>
      </c>
      <c r="F6" s="45">
        <v>3.93</v>
      </c>
      <c r="G6" s="45" t="s">
        <v>5</v>
      </c>
      <c r="H6" s="45">
        <v>0.17</v>
      </c>
      <c r="I6" s="45" t="s">
        <v>5</v>
      </c>
      <c r="J6" s="45" t="s">
        <v>5</v>
      </c>
      <c r="K6" s="45" t="s">
        <v>5</v>
      </c>
    </row>
    <row r="7" spans="1:11" s="1" customFormat="1" x14ac:dyDescent="0.25">
      <c r="A7" s="40" t="s">
        <v>106</v>
      </c>
      <c r="B7" s="45" t="s">
        <v>5</v>
      </c>
      <c r="C7" s="45" t="s">
        <v>5</v>
      </c>
      <c r="D7" s="45" t="s">
        <v>5</v>
      </c>
      <c r="E7" s="45" t="s">
        <v>5</v>
      </c>
      <c r="F7" s="45">
        <v>7.46</v>
      </c>
      <c r="G7" s="45" t="s">
        <v>5</v>
      </c>
      <c r="H7" s="45">
        <v>0.11</v>
      </c>
      <c r="I7" s="45" t="s">
        <v>5</v>
      </c>
      <c r="J7" s="45" t="s">
        <v>5</v>
      </c>
      <c r="K7" s="45" t="s">
        <v>5</v>
      </c>
    </row>
    <row r="8" spans="1:11" x14ac:dyDescent="0.25">
      <c r="A8" s="40" t="s">
        <v>107</v>
      </c>
      <c r="B8" s="45" t="s">
        <v>5</v>
      </c>
      <c r="C8" s="45" t="s">
        <v>5</v>
      </c>
      <c r="D8" s="45" t="s">
        <v>5</v>
      </c>
      <c r="E8" s="45" t="s">
        <v>5</v>
      </c>
      <c r="F8" s="45">
        <v>1.29</v>
      </c>
      <c r="G8" s="45" t="s">
        <v>5</v>
      </c>
      <c r="H8" s="45" t="s">
        <v>5</v>
      </c>
      <c r="I8" s="45" t="s">
        <v>5</v>
      </c>
      <c r="J8" s="45" t="s">
        <v>5</v>
      </c>
      <c r="K8" s="45" t="s">
        <v>5</v>
      </c>
    </row>
    <row r="9" spans="1:11" x14ac:dyDescent="0.25">
      <c r="A9" s="40" t="s">
        <v>108</v>
      </c>
      <c r="B9" s="45" t="s">
        <v>5</v>
      </c>
      <c r="C9" s="45" t="s">
        <v>5</v>
      </c>
      <c r="D9" s="45" t="s">
        <v>5</v>
      </c>
      <c r="E9" s="45" t="s">
        <v>5</v>
      </c>
      <c r="F9" s="45">
        <v>2.2799999999999998</v>
      </c>
      <c r="G9" s="45" t="s">
        <v>5</v>
      </c>
      <c r="H9" s="45">
        <v>0.38</v>
      </c>
      <c r="I9" s="45" t="s">
        <v>5</v>
      </c>
      <c r="J9" s="45" t="s">
        <v>5</v>
      </c>
      <c r="K9" s="45" t="s">
        <v>5</v>
      </c>
    </row>
    <row r="10" spans="1:11" x14ac:dyDescent="0.25">
      <c r="A10" s="40" t="s">
        <v>109</v>
      </c>
      <c r="B10" s="45" t="s">
        <v>5</v>
      </c>
      <c r="C10" s="45" t="s">
        <v>5</v>
      </c>
      <c r="D10" s="45" t="s">
        <v>5</v>
      </c>
      <c r="E10" s="45" t="s">
        <v>5</v>
      </c>
      <c r="F10" s="45">
        <v>2.79</v>
      </c>
      <c r="G10" s="45" t="s">
        <v>5</v>
      </c>
      <c r="H10" s="45">
        <v>0.02</v>
      </c>
      <c r="I10" s="45" t="s">
        <v>5</v>
      </c>
      <c r="J10" s="45" t="s">
        <v>5</v>
      </c>
      <c r="K10" s="45" t="s">
        <v>5</v>
      </c>
    </row>
    <row r="11" spans="1:11" s="1" customFormat="1" x14ac:dyDescent="0.25">
      <c r="A11" s="40" t="s">
        <v>110</v>
      </c>
      <c r="B11" s="45" t="s">
        <v>5</v>
      </c>
      <c r="C11" s="45" t="s">
        <v>5</v>
      </c>
      <c r="D11" s="45" t="s">
        <v>5</v>
      </c>
      <c r="E11" s="45" t="s">
        <v>5</v>
      </c>
      <c r="F11" s="45" t="s">
        <v>5</v>
      </c>
      <c r="G11" s="45" t="s">
        <v>5</v>
      </c>
      <c r="H11" s="45" t="s">
        <v>5</v>
      </c>
      <c r="I11" s="45" t="s">
        <v>5</v>
      </c>
      <c r="J11" s="45" t="s">
        <v>5</v>
      </c>
      <c r="K11" s="45" t="s">
        <v>5</v>
      </c>
    </row>
    <row r="12" spans="1:11" x14ac:dyDescent="0.25">
      <c r="A12" s="40" t="s">
        <v>111</v>
      </c>
      <c r="B12" s="45">
        <v>0.85</v>
      </c>
      <c r="C12" s="45" t="s">
        <v>5</v>
      </c>
      <c r="D12" s="45" t="s">
        <v>5</v>
      </c>
      <c r="E12" s="45" t="s">
        <v>5</v>
      </c>
      <c r="F12" s="45">
        <v>1.8</v>
      </c>
      <c r="G12" s="45">
        <v>7.29</v>
      </c>
      <c r="H12" s="45">
        <v>0.45</v>
      </c>
      <c r="I12" s="45" t="s">
        <v>5</v>
      </c>
      <c r="J12" s="45" t="s">
        <v>5</v>
      </c>
      <c r="K12" s="45" t="s">
        <v>5</v>
      </c>
    </row>
    <row r="13" spans="1:11" x14ac:dyDescent="0.25">
      <c r="A13" s="40" t="s">
        <v>112</v>
      </c>
      <c r="B13" s="45" t="s">
        <v>5</v>
      </c>
      <c r="C13" s="45" t="s">
        <v>5</v>
      </c>
      <c r="D13" s="45" t="s">
        <v>5</v>
      </c>
      <c r="E13" s="45" t="s">
        <v>5</v>
      </c>
      <c r="F13" s="45">
        <v>0.02</v>
      </c>
      <c r="G13" s="45">
        <v>7.63</v>
      </c>
      <c r="H13" s="45">
        <v>0.01</v>
      </c>
      <c r="I13" s="45" t="s">
        <v>5</v>
      </c>
      <c r="J13" s="45" t="s">
        <v>5</v>
      </c>
      <c r="K13" s="45" t="s">
        <v>5</v>
      </c>
    </row>
    <row r="14" spans="1:11" x14ac:dyDescent="0.25">
      <c r="A14" s="40" t="s">
        <v>113</v>
      </c>
      <c r="B14" s="45" t="s">
        <v>5</v>
      </c>
      <c r="C14" s="45" t="s">
        <v>5</v>
      </c>
      <c r="D14" s="45" t="s">
        <v>5</v>
      </c>
      <c r="E14" s="45" t="s">
        <v>5</v>
      </c>
      <c r="F14" s="45">
        <v>1.22</v>
      </c>
      <c r="G14" s="45">
        <v>0</v>
      </c>
      <c r="H14" s="45">
        <v>0.13</v>
      </c>
      <c r="I14" s="45" t="s">
        <v>5</v>
      </c>
      <c r="J14" s="45" t="s">
        <v>5</v>
      </c>
      <c r="K14" s="45" t="s">
        <v>5</v>
      </c>
    </row>
    <row r="15" spans="1:11" x14ac:dyDescent="0.25">
      <c r="A15" s="40" t="s">
        <v>114</v>
      </c>
      <c r="B15" s="45" t="s">
        <v>62</v>
      </c>
      <c r="C15" s="45" t="s">
        <v>62</v>
      </c>
      <c r="D15" s="45" t="s">
        <v>62</v>
      </c>
      <c r="E15" s="45" t="s">
        <v>62</v>
      </c>
      <c r="F15" s="45">
        <v>13.11</v>
      </c>
      <c r="G15" s="45">
        <v>18.690000000000001</v>
      </c>
      <c r="H15" s="45" t="s">
        <v>62</v>
      </c>
      <c r="I15" s="45" t="s">
        <v>62</v>
      </c>
      <c r="J15" s="45" t="s">
        <v>62</v>
      </c>
      <c r="K15" s="45" t="s">
        <v>62</v>
      </c>
    </row>
    <row r="16" spans="1:11" x14ac:dyDescent="0.25">
      <c r="A16" s="40" t="s">
        <v>115</v>
      </c>
      <c r="B16" s="45" t="s">
        <v>62</v>
      </c>
      <c r="C16" s="45" t="s">
        <v>62</v>
      </c>
      <c r="D16" s="45" t="s">
        <v>62</v>
      </c>
      <c r="E16" s="45" t="s">
        <v>62</v>
      </c>
      <c r="F16" s="45">
        <v>11.18</v>
      </c>
      <c r="G16" s="45">
        <v>0.01</v>
      </c>
      <c r="H16" s="45">
        <v>0.1</v>
      </c>
      <c r="I16" s="45" t="s">
        <v>62</v>
      </c>
      <c r="J16" s="45" t="s">
        <v>62</v>
      </c>
      <c r="K16" s="45" t="s">
        <v>62</v>
      </c>
    </row>
    <row r="17" spans="1:11" s="1" customFormat="1" x14ac:dyDescent="0.25">
      <c r="A17" s="35" t="s">
        <v>116</v>
      </c>
      <c r="B17" s="44">
        <v>22.34</v>
      </c>
      <c r="C17" s="44">
        <v>5.96</v>
      </c>
      <c r="D17" s="44" t="s">
        <v>62</v>
      </c>
      <c r="E17" s="44">
        <v>5</v>
      </c>
      <c r="F17" s="44">
        <v>125.35</v>
      </c>
      <c r="G17" s="44">
        <v>128.18</v>
      </c>
      <c r="H17" s="44">
        <v>25.94</v>
      </c>
      <c r="I17" s="44" t="s">
        <v>62</v>
      </c>
      <c r="J17" s="44" t="s">
        <v>62</v>
      </c>
      <c r="K17" s="44">
        <v>0.01</v>
      </c>
    </row>
    <row r="18" spans="1:11" x14ac:dyDescent="0.25">
      <c r="A18" s="40" t="s">
        <v>117</v>
      </c>
      <c r="B18" s="45" t="s">
        <v>5</v>
      </c>
      <c r="C18" s="45" t="s">
        <v>5</v>
      </c>
      <c r="D18" s="45" t="s">
        <v>5</v>
      </c>
      <c r="E18" s="45" t="s">
        <v>5</v>
      </c>
      <c r="F18" s="45">
        <v>1.64</v>
      </c>
      <c r="G18" s="45">
        <v>21.34</v>
      </c>
      <c r="H18" s="45" t="s">
        <v>5</v>
      </c>
      <c r="I18" s="45" t="s">
        <v>5</v>
      </c>
      <c r="J18" s="45" t="s">
        <v>5</v>
      </c>
      <c r="K18" s="45" t="s">
        <v>5</v>
      </c>
    </row>
    <row r="19" spans="1:11" x14ac:dyDescent="0.25">
      <c r="A19" s="40" t="s">
        <v>118</v>
      </c>
      <c r="B19" s="45" t="s">
        <v>5</v>
      </c>
      <c r="C19" s="45" t="s">
        <v>5</v>
      </c>
      <c r="D19" s="45" t="s">
        <v>5</v>
      </c>
      <c r="E19" s="45" t="s">
        <v>5</v>
      </c>
      <c r="F19" s="45">
        <v>0.03</v>
      </c>
      <c r="G19" s="45">
        <v>3.36</v>
      </c>
      <c r="H19" s="45" t="s">
        <v>5</v>
      </c>
      <c r="I19" s="45" t="s">
        <v>5</v>
      </c>
      <c r="J19" s="45" t="s">
        <v>5</v>
      </c>
      <c r="K19" s="45" t="s">
        <v>5</v>
      </c>
    </row>
    <row r="20" spans="1:11" x14ac:dyDescent="0.25">
      <c r="A20" s="40" t="s">
        <v>119</v>
      </c>
      <c r="B20" s="45" t="s">
        <v>5</v>
      </c>
      <c r="C20" s="45" t="s">
        <v>5</v>
      </c>
      <c r="D20" s="45" t="s">
        <v>5</v>
      </c>
      <c r="E20" s="45" t="s">
        <v>5</v>
      </c>
      <c r="F20" s="45">
        <v>1.29</v>
      </c>
      <c r="G20" s="45" t="s">
        <v>5</v>
      </c>
      <c r="H20" s="45">
        <v>0.01</v>
      </c>
      <c r="I20" s="45" t="s">
        <v>5</v>
      </c>
      <c r="J20" s="45" t="s">
        <v>5</v>
      </c>
      <c r="K20" s="45" t="s">
        <v>5</v>
      </c>
    </row>
    <row r="21" spans="1:11" x14ac:dyDescent="0.25">
      <c r="A21" s="40" t="s">
        <v>120</v>
      </c>
      <c r="B21" s="45">
        <v>516.57000000000005</v>
      </c>
      <c r="C21" s="45">
        <v>18.87</v>
      </c>
      <c r="D21" s="45" t="s">
        <v>62</v>
      </c>
      <c r="E21" s="45">
        <v>1.48</v>
      </c>
      <c r="F21" s="45">
        <v>35.520000000000003</v>
      </c>
      <c r="G21" s="45">
        <v>65.760000000000005</v>
      </c>
      <c r="H21" s="45">
        <v>1.95</v>
      </c>
      <c r="I21" s="45" t="s">
        <v>62</v>
      </c>
      <c r="J21" s="45" t="s">
        <v>62</v>
      </c>
      <c r="K21" s="45" t="s">
        <v>62</v>
      </c>
    </row>
    <row r="22" spans="1:11" x14ac:dyDescent="0.25">
      <c r="A22" s="40" t="s">
        <v>121</v>
      </c>
      <c r="B22" s="45" t="s">
        <v>62</v>
      </c>
      <c r="C22" s="45">
        <v>63.83</v>
      </c>
      <c r="D22" s="45" t="s">
        <v>62</v>
      </c>
      <c r="E22" s="45" t="s">
        <v>62</v>
      </c>
      <c r="F22" s="45">
        <v>37.700000000000003</v>
      </c>
      <c r="G22" s="45">
        <v>22.4</v>
      </c>
      <c r="H22" s="45" t="s">
        <v>62</v>
      </c>
      <c r="I22" s="45" t="s">
        <v>62</v>
      </c>
      <c r="J22" s="45" t="s">
        <v>62</v>
      </c>
      <c r="K22" s="45" t="s">
        <v>62</v>
      </c>
    </row>
    <row r="23" spans="1:11" x14ac:dyDescent="0.25">
      <c r="A23" s="40" t="s">
        <v>122</v>
      </c>
      <c r="B23" s="45">
        <v>6.68</v>
      </c>
      <c r="C23" s="45">
        <v>0.81</v>
      </c>
      <c r="D23" s="45" t="s">
        <v>5</v>
      </c>
      <c r="E23" s="45" t="s">
        <v>5</v>
      </c>
      <c r="F23" s="45">
        <v>0.76</v>
      </c>
      <c r="G23" s="45" t="s">
        <v>5</v>
      </c>
      <c r="H23" s="45" t="s">
        <v>5</v>
      </c>
      <c r="I23" s="45" t="s">
        <v>5</v>
      </c>
      <c r="J23" s="45" t="s">
        <v>5</v>
      </c>
      <c r="K23" s="45" t="s">
        <v>5</v>
      </c>
    </row>
    <row r="24" spans="1:11" x14ac:dyDescent="0.25">
      <c r="A24" s="40" t="s">
        <v>123</v>
      </c>
      <c r="B24" s="45">
        <v>29.9</v>
      </c>
      <c r="C24" s="45" t="s">
        <v>5</v>
      </c>
      <c r="D24" s="45" t="s">
        <v>5</v>
      </c>
      <c r="E24" s="45" t="s">
        <v>5</v>
      </c>
      <c r="F24" s="45">
        <v>2.0699999999999998</v>
      </c>
      <c r="G24" s="45">
        <v>62.86</v>
      </c>
      <c r="H24" s="45" t="s">
        <v>5</v>
      </c>
      <c r="I24" s="45" t="s">
        <v>5</v>
      </c>
      <c r="J24" s="45" t="s">
        <v>5</v>
      </c>
      <c r="K24" s="45" t="s">
        <v>5</v>
      </c>
    </row>
    <row r="25" spans="1:11" x14ac:dyDescent="0.25">
      <c r="A25" s="40" t="s">
        <v>124</v>
      </c>
      <c r="B25" s="45" t="s">
        <v>5</v>
      </c>
      <c r="C25" s="45">
        <v>3.68</v>
      </c>
      <c r="D25" s="45" t="s">
        <v>5</v>
      </c>
      <c r="E25" s="45" t="s">
        <v>5</v>
      </c>
      <c r="F25" s="45">
        <v>0.15</v>
      </c>
      <c r="G25" s="45" t="s">
        <v>5</v>
      </c>
      <c r="H25" s="45" t="s">
        <v>5</v>
      </c>
      <c r="I25" s="45" t="s">
        <v>5</v>
      </c>
      <c r="J25" s="45" t="s">
        <v>5</v>
      </c>
      <c r="K25" s="45" t="s">
        <v>5</v>
      </c>
    </row>
    <row r="26" spans="1:11" x14ac:dyDescent="0.25">
      <c r="A26" s="40" t="s">
        <v>125</v>
      </c>
      <c r="B26" s="45" t="s">
        <v>5</v>
      </c>
      <c r="C26" s="45" t="s">
        <v>5</v>
      </c>
      <c r="D26" s="45" t="s">
        <v>5</v>
      </c>
      <c r="E26" s="45" t="s">
        <v>5</v>
      </c>
      <c r="F26" s="45">
        <v>0.28999999999999998</v>
      </c>
      <c r="G26" s="45">
        <v>2.7</v>
      </c>
      <c r="H26" s="45" t="s">
        <v>5</v>
      </c>
      <c r="I26" s="45" t="s">
        <v>5</v>
      </c>
      <c r="J26" s="45" t="s">
        <v>5</v>
      </c>
      <c r="K26" s="45" t="s">
        <v>5</v>
      </c>
    </row>
    <row r="27" spans="1:11" s="1" customFormat="1" x14ac:dyDescent="0.25">
      <c r="A27" s="40" t="s">
        <v>126</v>
      </c>
      <c r="B27" s="45" t="s">
        <v>5</v>
      </c>
      <c r="C27" s="45" t="s">
        <v>5</v>
      </c>
      <c r="D27" s="45" t="s">
        <v>5</v>
      </c>
      <c r="E27" s="45" t="s">
        <v>5</v>
      </c>
      <c r="F27" s="45">
        <v>0.01</v>
      </c>
      <c r="G27" s="45" t="s">
        <v>5</v>
      </c>
      <c r="H27" s="45" t="s">
        <v>5</v>
      </c>
      <c r="I27" s="45" t="s">
        <v>5</v>
      </c>
      <c r="J27" s="45" t="s">
        <v>5</v>
      </c>
      <c r="K27" s="45" t="s">
        <v>5</v>
      </c>
    </row>
    <row r="28" spans="1:11" x14ac:dyDescent="0.25">
      <c r="A28" s="40" t="s">
        <v>127</v>
      </c>
      <c r="B28" s="45">
        <v>0.14000000000000001</v>
      </c>
      <c r="C28" s="45" t="s">
        <v>62</v>
      </c>
      <c r="D28" s="45" t="s">
        <v>62</v>
      </c>
      <c r="E28" s="45" t="s">
        <v>62</v>
      </c>
      <c r="F28" s="45">
        <v>30.85</v>
      </c>
      <c r="G28" s="45">
        <v>32.92</v>
      </c>
      <c r="H28" s="45" t="s">
        <v>62</v>
      </c>
      <c r="I28" s="45" t="s">
        <v>62</v>
      </c>
      <c r="J28" s="45" t="s">
        <v>62</v>
      </c>
      <c r="K28" s="45" t="s">
        <v>62</v>
      </c>
    </row>
    <row r="29" spans="1:11" x14ac:dyDescent="0.25">
      <c r="A29" s="40" t="s">
        <v>128</v>
      </c>
      <c r="B29" s="45">
        <v>16.84</v>
      </c>
      <c r="C29" s="45" t="s">
        <v>5</v>
      </c>
      <c r="D29" s="45" t="s">
        <v>5</v>
      </c>
      <c r="E29" s="45" t="s">
        <v>5</v>
      </c>
      <c r="F29" s="45">
        <v>4.5</v>
      </c>
      <c r="G29" s="45">
        <v>19.440000000000001</v>
      </c>
      <c r="H29" s="45" t="s">
        <v>5</v>
      </c>
      <c r="I29" s="45" t="s">
        <v>5</v>
      </c>
      <c r="J29" s="45" t="s">
        <v>5</v>
      </c>
      <c r="K29" s="45" t="s">
        <v>5</v>
      </c>
    </row>
    <row r="30" spans="1:11" x14ac:dyDescent="0.25">
      <c r="A30" s="40" t="s">
        <v>129</v>
      </c>
      <c r="B30" s="45" t="s">
        <v>5</v>
      </c>
      <c r="C30" s="45" t="s">
        <v>5</v>
      </c>
      <c r="D30" s="45" t="s">
        <v>5</v>
      </c>
      <c r="E30" s="45" t="s">
        <v>5</v>
      </c>
      <c r="F30" s="45">
        <v>8.76</v>
      </c>
      <c r="G30" s="45">
        <v>32.369999999999997</v>
      </c>
      <c r="H30" s="45" t="s">
        <v>5</v>
      </c>
      <c r="I30" s="45" t="s">
        <v>5</v>
      </c>
      <c r="J30" s="45" t="s">
        <v>5</v>
      </c>
      <c r="K30" s="45" t="s">
        <v>5</v>
      </c>
    </row>
    <row r="31" spans="1:11" x14ac:dyDescent="0.25">
      <c r="A31" s="40" t="s">
        <v>130</v>
      </c>
      <c r="B31" s="45" t="s">
        <v>5</v>
      </c>
      <c r="C31" s="45" t="s">
        <v>5</v>
      </c>
      <c r="D31" s="45" t="s">
        <v>5</v>
      </c>
      <c r="E31" s="45" t="s">
        <v>5</v>
      </c>
      <c r="F31" s="45">
        <v>5.94</v>
      </c>
      <c r="G31" s="45" t="s">
        <v>5</v>
      </c>
      <c r="H31" s="45">
        <v>0</v>
      </c>
      <c r="I31" s="45" t="s">
        <v>5</v>
      </c>
      <c r="J31" s="45" t="s">
        <v>5</v>
      </c>
      <c r="K31" s="45" t="s">
        <v>5</v>
      </c>
    </row>
    <row r="32" spans="1:11" x14ac:dyDescent="0.25">
      <c r="A32" s="40" t="s">
        <v>131</v>
      </c>
      <c r="B32" s="45">
        <v>118.63</v>
      </c>
      <c r="C32" s="45">
        <v>10.88</v>
      </c>
      <c r="D32" s="45" t="s">
        <v>62</v>
      </c>
      <c r="E32" s="45">
        <v>2.38</v>
      </c>
      <c r="F32" s="45">
        <v>15.57</v>
      </c>
      <c r="G32" s="45">
        <v>42.64</v>
      </c>
      <c r="H32" s="45">
        <v>0.67</v>
      </c>
      <c r="I32" s="45" t="s">
        <v>62</v>
      </c>
      <c r="J32" s="45">
        <v>3.02</v>
      </c>
      <c r="K32" s="45" t="s">
        <v>62</v>
      </c>
    </row>
    <row r="33" spans="1:11" x14ac:dyDescent="0.25">
      <c r="A33" s="40" t="s">
        <v>132</v>
      </c>
      <c r="B33" s="45">
        <v>12.38</v>
      </c>
      <c r="C33" s="45">
        <v>18.3</v>
      </c>
      <c r="D33" s="45" t="s">
        <v>62</v>
      </c>
      <c r="E33" s="45" t="s">
        <v>62</v>
      </c>
      <c r="F33" s="45">
        <v>3.85</v>
      </c>
      <c r="G33" s="45">
        <v>96.54</v>
      </c>
      <c r="H33" s="45">
        <v>4.18</v>
      </c>
      <c r="I33" s="45" t="s">
        <v>62</v>
      </c>
      <c r="J33" s="45" t="s">
        <v>62</v>
      </c>
      <c r="K33" s="45">
        <v>0.01</v>
      </c>
    </row>
    <row r="34" spans="1:11" x14ac:dyDescent="0.25">
      <c r="A34" s="40" t="s">
        <v>133</v>
      </c>
      <c r="B34" s="45">
        <v>14.84</v>
      </c>
      <c r="C34" s="45" t="s">
        <v>5</v>
      </c>
      <c r="D34" s="45" t="s">
        <v>5</v>
      </c>
      <c r="E34" s="45" t="s">
        <v>5</v>
      </c>
      <c r="F34" s="45">
        <v>2.4700000000000002</v>
      </c>
      <c r="G34" s="45">
        <v>22.3</v>
      </c>
      <c r="H34" s="45" t="s">
        <v>5</v>
      </c>
      <c r="I34" s="45" t="s">
        <v>5</v>
      </c>
      <c r="J34" s="45" t="s">
        <v>5</v>
      </c>
      <c r="K34" s="45" t="s">
        <v>5</v>
      </c>
    </row>
    <row r="35" spans="1:11" x14ac:dyDescent="0.25">
      <c r="A35" s="40" t="s">
        <v>134</v>
      </c>
      <c r="B35" s="45" t="s">
        <v>5</v>
      </c>
      <c r="C35" s="45" t="s">
        <v>5</v>
      </c>
      <c r="D35" s="45" t="s">
        <v>5</v>
      </c>
      <c r="E35" s="45" t="s">
        <v>5</v>
      </c>
      <c r="F35" s="45">
        <v>8.48</v>
      </c>
      <c r="G35" s="45" t="s">
        <v>5</v>
      </c>
      <c r="H35" s="45" t="s">
        <v>5</v>
      </c>
      <c r="I35" s="45" t="s">
        <v>5</v>
      </c>
      <c r="J35" s="45" t="s">
        <v>5</v>
      </c>
      <c r="K35" s="45" t="s">
        <v>5</v>
      </c>
    </row>
    <row r="36" spans="1:11" s="1" customFormat="1" x14ac:dyDescent="0.25">
      <c r="A36" s="35" t="s">
        <v>135</v>
      </c>
      <c r="B36" s="44">
        <v>715.97</v>
      </c>
      <c r="C36" s="44">
        <v>116.37</v>
      </c>
      <c r="D36" s="44" t="s">
        <v>62</v>
      </c>
      <c r="E36" s="44">
        <v>3.85</v>
      </c>
      <c r="F36" s="44">
        <v>159.88999999999999</v>
      </c>
      <c r="G36" s="44">
        <v>424.64</v>
      </c>
      <c r="H36" s="44">
        <v>6.81</v>
      </c>
      <c r="I36" s="44" t="s">
        <v>62</v>
      </c>
      <c r="J36" s="44">
        <v>3.02</v>
      </c>
      <c r="K36" s="44">
        <v>0.01</v>
      </c>
    </row>
    <row r="37" spans="1:11" x14ac:dyDescent="0.25">
      <c r="A37" s="40" t="s">
        <v>136</v>
      </c>
      <c r="B37" s="45">
        <v>2634.31</v>
      </c>
      <c r="C37" s="45" t="s">
        <v>62</v>
      </c>
      <c r="D37" s="45" t="s">
        <v>62</v>
      </c>
      <c r="E37" s="45">
        <v>22.12</v>
      </c>
      <c r="F37" s="45">
        <v>33.65</v>
      </c>
      <c r="G37" s="45">
        <v>30.54</v>
      </c>
      <c r="H37" s="45">
        <v>2.31</v>
      </c>
      <c r="I37" s="45" t="s">
        <v>62</v>
      </c>
      <c r="J37" s="45" t="s">
        <v>62</v>
      </c>
      <c r="K37" s="45" t="s">
        <v>62</v>
      </c>
    </row>
    <row r="38" spans="1:11" s="1" customFormat="1" x14ac:dyDescent="0.25">
      <c r="A38" s="40" t="s">
        <v>137</v>
      </c>
      <c r="B38" s="45">
        <v>28.54</v>
      </c>
      <c r="C38" s="45" t="s">
        <v>62</v>
      </c>
      <c r="D38" s="45" t="s">
        <v>62</v>
      </c>
      <c r="E38" s="45" t="s">
        <v>62</v>
      </c>
      <c r="F38" s="45">
        <v>0.1</v>
      </c>
      <c r="G38" s="45">
        <v>10.32</v>
      </c>
      <c r="H38" s="45" t="s">
        <v>62</v>
      </c>
      <c r="I38" s="45" t="s">
        <v>62</v>
      </c>
      <c r="J38" s="45" t="s">
        <v>62</v>
      </c>
      <c r="K38" s="45" t="s">
        <v>62</v>
      </c>
    </row>
    <row r="39" spans="1:11" s="1" customFormat="1" x14ac:dyDescent="0.25">
      <c r="A39" s="35" t="s">
        <v>138</v>
      </c>
      <c r="B39" s="44">
        <v>2662.85</v>
      </c>
      <c r="C39" s="44" t="s">
        <v>5</v>
      </c>
      <c r="D39" s="44" t="s">
        <v>5</v>
      </c>
      <c r="E39" s="44">
        <v>22.12</v>
      </c>
      <c r="F39" s="44">
        <v>33.75</v>
      </c>
      <c r="G39" s="44" t="s">
        <v>5</v>
      </c>
      <c r="H39" s="44" t="s">
        <v>5</v>
      </c>
      <c r="I39" s="44" t="s">
        <v>5</v>
      </c>
      <c r="J39" s="44">
        <v>40.86</v>
      </c>
      <c r="K39" s="44">
        <v>2.31</v>
      </c>
    </row>
    <row r="40" spans="1:11" s="1" customFormat="1" x14ac:dyDescent="0.25">
      <c r="A40" s="40" t="s">
        <v>139</v>
      </c>
      <c r="B40" s="45" t="s">
        <v>5</v>
      </c>
      <c r="C40" s="45" t="s">
        <v>5</v>
      </c>
      <c r="D40" s="45" t="s">
        <v>5</v>
      </c>
      <c r="E40" s="45" t="s">
        <v>5</v>
      </c>
      <c r="F40" s="45">
        <v>7.0000000000000007E-2</v>
      </c>
      <c r="G40" s="45" t="s">
        <v>5</v>
      </c>
      <c r="H40" s="45" t="s">
        <v>5</v>
      </c>
      <c r="I40" s="45" t="s">
        <v>5</v>
      </c>
      <c r="J40" s="45" t="s">
        <v>5</v>
      </c>
      <c r="K40" s="45" t="s">
        <v>5</v>
      </c>
    </row>
    <row r="41" spans="1:11" s="1" customFormat="1" x14ac:dyDescent="0.25">
      <c r="A41" s="40" t="s">
        <v>140</v>
      </c>
      <c r="B41" s="45">
        <v>4.83</v>
      </c>
      <c r="C41" s="45">
        <v>2.8</v>
      </c>
      <c r="D41" s="45" t="s">
        <v>5</v>
      </c>
      <c r="E41" s="45">
        <v>0.04</v>
      </c>
      <c r="F41" s="45">
        <v>0.16</v>
      </c>
      <c r="G41" s="45" t="s">
        <v>5</v>
      </c>
      <c r="H41" s="45" t="s">
        <v>5</v>
      </c>
      <c r="I41" s="45" t="s">
        <v>5</v>
      </c>
      <c r="J41" s="45" t="s">
        <v>5</v>
      </c>
      <c r="K41" s="45" t="s">
        <v>5</v>
      </c>
    </row>
    <row r="42" spans="1:11" x14ac:dyDescent="0.25">
      <c r="A42" s="40" t="s">
        <v>141</v>
      </c>
      <c r="B42" s="45">
        <v>5.92</v>
      </c>
      <c r="C42" s="45">
        <v>16.45</v>
      </c>
      <c r="D42" s="45" t="s">
        <v>62</v>
      </c>
      <c r="E42" s="45">
        <v>0.1</v>
      </c>
      <c r="F42" s="45">
        <v>0.56999999999999995</v>
      </c>
      <c r="G42" s="45">
        <v>2.34</v>
      </c>
      <c r="H42" s="45" t="s">
        <v>62</v>
      </c>
      <c r="I42" s="45">
        <v>0.01</v>
      </c>
      <c r="J42" s="45" t="s">
        <v>62</v>
      </c>
      <c r="K42" s="45" t="s">
        <v>62</v>
      </c>
    </row>
    <row r="43" spans="1:11" s="1" customFormat="1" x14ac:dyDescent="0.25">
      <c r="A43" s="29" t="s">
        <v>142</v>
      </c>
      <c r="B43" s="49">
        <v>2.4</v>
      </c>
      <c r="C43" s="49">
        <v>0.02</v>
      </c>
      <c r="D43" s="49" t="s">
        <v>5</v>
      </c>
      <c r="E43" s="49" t="s">
        <v>5</v>
      </c>
      <c r="F43" s="49">
        <v>2.3199999999999998</v>
      </c>
      <c r="G43" s="49">
        <v>3.06</v>
      </c>
      <c r="H43" s="49">
        <v>0</v>
      </c>
      <c r="I43" s="49" t="s">
        <v>5</v>
      </c>
      <c r="J43" s="49" t="s">
        <v>5</v>
      </c>
      <c r="K43" s="49">
        <v>0.01</v>
      </c>
    </row>
    <row r="44" spans="1:11" s="1" customFormat="1" x14ac:dyDescent="0.25">
      <c r="A44" s="29" t="s">
        <v>143</v>
      </c>
      <c r="B44" s="49" t="s">
        <v>5</v>
      </c>
      <c r="C44" s="49" t="s">
        <v>5</v>
      </c>
      <c r="D44" s="49" t="s">
        <v>5</v>
      </c>
      <c r="E44" s="49" t="s">
        <v>5</v>
      </c>
      <c r="F44" s="49">
        <v>4.87</v>
      </c>
      <c r="G44" s="49" t="s">
        <v>5</v>
      </c>
      <c r="H44" s="49" t="s">
        <v>5</v>
      </c>
      <c r="I44" s="49" t="s">
        <v>5</v>
      </c>
      <c r="J44" s="49" t="s">
        <v>5</v>
      </c>
      <c r="K44" s="49" t="s">
        <v>5</v>
      </c>
    </row>
    <row r="45" spans="1:11" x14ac:dyDescent="0.25">
      <c r="A45" s="33" t="s">
        <v>45</v>
      </c>
      <c r="B45" s="6" t="s">
        <v>63</v>
      </c>
      <c r="C45" s="15"/>
      <c r="D45" s="15"/>
      <c r="E45" s="6"/>
      <c r="F45" s="6"/>
      <c r="G45" s="15"/>
      <c r="H45" s="15"/>
      <c r="I45" s="15"/>
      <c r="J45" s="15"/>
      <c r="K45" s="16"/>
    </row>
    <row r="46" spans="1:11" x14ac:dyDescent="0.25">
      <c r="A46" s="17"/>
      <c r="B46" s="18"/>
      <c r="C46" s="18"/>
      <c r="D46" s="18"/>
      <c r="E46" s="18"/>
      <c r="F46" s="18"/>
      <c r="G46" s="18"/>
      <c r="H46" s="18"/>
      <c r="I46" s="18"/>
      <c r="J46" s="18"/>
      <c r="K46" s="19"/>
    </row>
    <row r="47" spans="1:11" x14ac:dyDescent="0.25">
      <c r="A47" s="38" t="s">
        <v>51</v>
      </c>
      <c r="B47" s="20"/>
      <c r="C47" s="20"/>
      <c r="D47" s="20"/>
      <c r="E47" s="20"/>
      <c r="F47" s="20"/>
      <c r="G47" s="20"/>
      <c r="H47" s="20"/>
      <c r="I47" s="20"/>
      <c r="J47" s="20"/>
      <c r="K47" s="21"/>
    </row>
    <row r="48" spans="1:11" x14ac:dyDescent="0.25">
      <c r="A48" t="s">
        <v>52</v>
      </c>
    </row>
  </sheetData>
  <hyperlinks>
    <hyperlink ref="H1" r:id="rId1"/>
  </hyperlinks>
  <pageMargins left="0.7" right="0.7" top="0.78740157499999996" bottom="0.78740157499999996" header="0.3" footer="0.3"/>
  <pageSetup paperSize="9" orientation="portrait"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6"/>
  <sheetViews>
    <sheetView zoomScale="80" zoomScaleNormal="80" workbookViewId="0">
      <selection activeCell="H1" sqref="H1"/>
    </sheetView>
  </sheetViews>
  <sheetFormatPr baseColWidth="10" defaultRowHeight="15" x14ac:dyDescent="0.25"/>
  <cols>
    <col min="1" max="1" width="20.42578125" customWidth="1"/>
    <col min="2" max="8" width="14.140625" customWidth="1"/>
    <col min="9" max="9" width="14.28515625" customWidth="1"/>
    <col min="10" max="11" width="15" bestFit="1" customWidth="1"/>
  </cols>
  <sheetData>
    <row r="1" spans="1:11" x14ac:dyDescent="0.25">
      <c r="A1" s="4" t="s">
        <v>0</v>
      </c>
      <c r="B1" s="5"/>
      <c r="C1" s="5"/>
      <c r="D1" s="39" t="s">
        <v>215</v>
      </c>
      <c r="E1" s="6"/>
      <c r="F1" s="6"/>
      <c r="G1" s="6"/>
      <c r="H1" s="50" t="s">
        <v>375</v>
      </c>
      <c r="I1" s="6"/>
      <c r="J1" s="6"/>
      <c r="K1" s="7"/>
    </row>
    <row r="2" spans="1:11" s="3" customFormat="1" ht="16.5" customHeight="1" x14ac:dyDescent="0.25">
      <c r="A2" s="25" t="s">
        <v>212</v>
      </c>
      <c r="B2" s="26"/>
      <c r="C2" s="26"/>
      <c r="D2" s="26"/>
      <c r="E2" s="27"/>
      <c r="F2" s="27"/>
      <c r="G2" s="27"/>
      <c r="H2" s="27"/>
      <c r="I2" s="27"/>
      <c r="J2" s="27"/>
      <c r="K2" s="28"/>
    </row>
    <row r="3" spans="1:11" x14ac:dyDescent="0.25">
      <c r="A3" s="9" t="s">
        <v>2</v>
      </c>
      <c r="B3" s="10"/>
      <c r="C3" s="10"/>
      <c r="D3" s="10"/>
      <c r="E3" s="11"/>
      <c r="F3" s="11"/>
      <c r="G3" s="11"/>
      <c r="H3" s="11"/>
      <c r="I3" s="11"/>
      <c r="J3" s="11"/>
      <c r="K3" s="12"/>
    </row>
    <row r="4" spans="1:11" s="1" customFormat="1" x14ac:dyDescent="0.25">
      <c r="A4" s="2"/>
      <c r="B4" s="22" t="s">
        <v>201</v>
      </c>
      <c r="C4" s="22" t="s">
        <v>202</v>
      </c>
      <c r="D4" s="22" t="s">
        <v>203</v>
      </c>
      <c r="E4" s="22" t="s">
        <v>204</v>
      </c>
      <c r="F4" s="22" t="s">
        <v>205</v>
      </c>
      <c r="G4" s="22" t="s">
        <v>206</v>
      </c>
      <c r="H4" s="22" t="s">
        <v>207</v>
      </c>
      <c r="I4" s="22" t="s">
        <v>208</v>
      </c>
      <c r="J4" s="22" t="s">
        <v>209</v>
      </c>
      <c r="K4" s="22" t="s">
        <v>210</v>
      </c>
    </row>
    <row r="5" spans="1:11" x14ac:dyDescent="0.25">
      <c r="A5" s="47" t="s">
        <v>146</v>
      </c>
      <c r="B5" s="48" t="s">
        <v>62</v>
      </c>
      <c r="C5" s="48">
        <v>5.24</v>
      </c>
      <c r="D5" s="48" t="s">
        <v>62</v>
      </c>
      <c r="E5" s="48" t="s">
        <v>62</v>
      </c>
      <c r="F5" s="48">
        <v>0.48</v>
      </c>
      <c r="G5" s="48" t="s">
        <v>62</v>
      </c>
      <c r="H5" s="48" t="s">
        <v>62</v>
      </c>
      <c r="I5" s="48" t="s">
        <v>62</v>
      </c>
      <c r="J5" s="48" t="s">
        <v>62</v>
      </c>
      <c r="K5" s="48" t="s">
        <v>62</v>
      </c>
    </row>
    <row r="6" spans="1:11" x14ac:dyDescent="0.25">
      <c r="A6" s="40" t="s">
        <v>147</v>
      </c>
      <c r="B6" s="45" t="s">
        <v>62</v>
      </c>
      <c r="C6" s="45" t="s">
        <v>62</v>
      </c>
      <c r="D6" s="45" t="s">
        <v>62</v>
      </c>
      <c r="E6" s="45" t="s">
        <v>62</v>
      </c>
      <c r="F6" s="45">
        <v>0.16</v>
      </c>
      <c r="G6" s="45" t="s">
        <v>62</v>
      </c>
      <c r="H6" s="45" t="s">
        <v>62</v>
      </c>
      <c r="I6" s="45" t="s">
        <v>62</v>
      </c>
      <c r="J6" s="45" t="s">
        <v>62</v>
      </c>
      <c r="K6" s="45" t="s">
        <v>62</v>
      </c>
    </row>
    <row r="7" spans="1:11" s="1" customFormat="1" x14ac:dyDescent="0.25">
      <c r="A7" s="40" t="s">
        <v>148</v>
      </c>
      <c r="B7" s="45" t="s">
        <v>62</v>
      </c>
      <c r="C7" s="45" t="s">
        <v>62</v>
      </c>
      <c r="D7" s="45" t="s">
        <v>62</v>
      </c>
      <c r="E7" s="45" t="s">
        <v>62</v>
      </c>
      <c r="F7" s="45">
        <v>2.2999999999999998</v>
      </c>
      <c r="G7" s="45" t="s">
        <v>62</v>
      </c>
      <c r="H7" s="45" t="s">
        <v>62</v>
      </c>
      <c r="I7" s="45" t="s">
        <v>62</v>
      </c>
      <c r="J7" s="45" t="s">
        <v>62</v>
      </c>
      <c r="K7" s="45" t="s">
        <v>62</v>
      </c>
    </row>
    <row r="8" spans="1:11" x14ac:dyDescent="0.25">
      <c r="A8" s="40" t="s">
        <v>149</v>
      </c>
      <c r="B8" s="45">
        <v>1.89</v>
      </c>
      <c r="C8" s="45">
        <v>23.21</v>
      </c>
      <c r="D8" s="45" t="s">
        <v>62</v>
      </c>
      <c r="E8" s="45">
        <v>0.21</v>
      </c>
      <c r="F8" s="45">
        <v>1.1000000000000001</v>
      </c>
      <c r="G8" s="45">
        <v>11.56</v>
      </c>
      <c r="H8" s="45">
        <v>0.03</v>
      </c>
      <c r="I8" s="45" t="s">
        <v>62</v>
      </c>
      <c r="J8" s="45" t="s">
        <v>62</v>
      </c>
      <c r="K8" s="45">
        <v>0</v>
      </c>
    </row>
    <row r="9" spans="1:11" x14ac:dyDescent="0.25">
      <c r="A9" s="40" t="s">
        <v>150</v>
      </c>
      <c r="B9" s="45">
        <v>0</v>
      </c>
      <c r="C9" s="45">
        <v>25.58</v>
      </c>
      <c r="D9" s="45" t="s">
        <v>62</v>
      </c>
      <c r="E9" s="45">
        <v>0.06</v>
      </c>
      <c r="F9" s="45">
        <v>0.46</v>
      </c>
      <c r="G9" s="45">
        <v>0.39</v>
      </c>
      <c r="H9" s="45" t="s">
        <v>62</v>
      </c>
      <c r="I9" s="45" t="s">
        <v>62</v>
      </c>
      <c r="J9" s="45" t="s">
        <v>62</v>
      </c>
      <c r="K9" s="45" t="s">
        <v>62</v>
      </c>
    </row>
    <row r="10" spans="1:11" x14ac:dyDescent="0.25">
      <c r="A10" s="40" t="s">
        <v>151</v>
      </c>
      <c r="B10" s="45">
        <v>0.54</v>
      </c>
      <c r="C10" s="45">
        <v>4.9400000000000004</v>
      </c>
      <c r="D10" s="45" t="s">
        <v>62</v>
      </c>
      <c r="E10" s="45" t="s">
        <v>62</v>
      </c>
      <c r="F10" s="45">
        <v>0.03</v>
      </c>
      <c r="G10" s="45">
        <v>0.45</v>
      </c>
      <c r="H10" s="45">
        <v>0.06</v>
      </c>
      <c r="I10" s="45">
        <v>0.01</v>
      </c>
      <c r="J10" s="45" t="s">
        <v>62</v>
      </c>
      <c r="K10" s="45">
        <v>0.05</v>
      </c>
    </row>
    <row r="11" spans="1:11" s="1" customFormat="1" x14ac:dyDescent="0.25">
      <c r="A11" s="35" t="s">
        <v>152</v>
      </c>
      <c r="B11" s="44">
        <v>15.58</v>
      </c>
      <c r="C11" s="44">
        <v>78.239999999999995</v>
      </c>
      <c r="D11" s="44" t="s">
        <v>62</v>
      </c>
      <c r="E11" s="44">
        <v>0.41</v>
      </c>
      <c r="F11" s="44">
        <v>12.5</v>
      </c>
      <c r="G11" s="44">
        <v>17.8</v>
      </c>
      <c r="H11" s="44">
        <v>0.1</v>
      </c>
      <c r="I11" s="44">
        <v>0.01</v>
      </c>
      <c r="J11" s="44" t="s">
        <v>62</v>
      </c>
      <c r="K11" s="44">
        <v>0.06</v>
      </c>
    </row>
    <row r="12" spans="1:11" x14ac:dyDescent="0.25">
      <c r="A12" s="40" t="s">
        <v>153</v>
      </c>
      <c r="B12" s="45" t="s">
        <v>62</v>
      </c>
      <c r="C12" s="45" t="s">
        <v>62</v>
      </c>
      <c r="D12" s="45" t="s">
        <v>62</v>
      </c>
      <c r="E12" s="45" t="s">
        <v>62</v>
      </c>
      <c r="F12" s="45" t="s">
        <v>62</v>
      </c>
      <c r="G12" s="45">
        <v>1.49</v>
      </c>
      <c r="H12" s="45" t="s">
        <v>62</v>
      </c>
      <c r="I12" s="45" t="s">
        <v>62</v>
      </c>
      <c r="J12" s="45" t="s">
        <v>62</v>
      </c>
      <c r="K12" s="45" t="s">
        <v>62</v>
      </c>
    </row>
    <row r="13" spans="1:11" x14ac:dyDescent="0.25">
      <c r="A13" s="40" t="s">
        <v>154</v>
      </c>
      <c r="B13" s="45" t="s">
        <v>62</v>
      </c>
      <c r="C13" s="45" t="s">
        <v>62</v>
      </c>
      <c r="D13" s="45" t="s">
        <v>62</v>
      </c>
      <c r="E13" s="45" t="s">
        <v>62</v>
      </c>
      <c r="F13" s="45">
        <v>3.8</v>
      </c>
      <c r="G13" s="45">
        <v>18.05</v>
      </c>
      <c r="H13" s="45" t="s">
        <v>62</v>
      </c>
      <c r="I13" s="45" t="s">
        <v>62</v>
      </c>
      <c r="J13" s="45" t="s">
        <v>62</v>
      </c>
      <c r="K13" s="45" t="s">
        <v>62</v>
      </c>
    </row>
    <row r="14" spans="1:11" x14ac:dyDescent="0.25">
      <c r="A14" s="40" t="s">
        <v>155</v>
      </c>
      <c r="B14" s="45" t="s">
        <v>62</v>
      </c>
      <c r="C14" s="45" t="s">
        <v>62</v>
      </c>
      <c r="D14" s="45">
        <v>0.01</v>
      </c>
      <c r="E14" s="45" t="s">
        <v>62</v>
      </c>
      <c r="F14" s="45">
        <v>0.17</v>
      </c>
      <c r="G14" s="45">
        <v>31.52</v>
      </c>
      <c r="H14" s="45">
        <v>0.01</v>
      </c>
      <c r="I14" s="45">
        <v>7.0000000000000007E-2</v>
      </c>
      <c r="J14" s="45" t="s">
        <v>62</v>
      </c>
      <c r="K14" s="45" t="s">
        <v>62</v>
      </c>
    </row>
    <row r="15" spans="1:11" x14ac:dyDescent="0.25">
      <c r="A15" s="40" t="s">
        <v>156</v>
      </c>
      <c r="B15" s="45" t="s">
        <v>62</v>
      </c>
      <c r="C15" s="45">
        <v>11.4</v>
      </c>
      <c r="D15" s="45">
        <v>0.02</v>
      </c>
      <c r="E15" s="45" t="s">
        <v>62</v>
      </c>
      <c r="F15" s="45">
        <v>0.03</v>
      </c>
      <c r="G15" s="45">
        <v>0.59</v>
      </c>
      <c r="H15" s="45">
        <v>0.02</v>
      </c>
      <c r="I15" s="45" t="s">
        <v>62</v>
      </c>
      <c r="J15" s="45" t="s">
        <v>62</v>
      </c>
      <c r="K15" s="45">
        <v>0.01</v>
      </c>
    </row>
    <row r="16" spans="1:11" x14ac:dyDescent="0.25">
      <c r="A16" s="40" t="s">
        <v>157</v>
      </c>
      <c r="B16" s="45" t="s">
        <v>62</v>
      </c>
      <c r="C16" s="45" t="s">
        <v>62</v>
      </c>
      <c r="D16" s="45" t="s">
        <v>62</v>
      </c>
      <c r="E16" s="45" t="s">
        <v>62</v>
      </c>
      <c r="F16" s="45">
        <v>0.02</v>
      </c>
      <c r="G16" s="45">
        <v>1.49</v>
      </c>
      <c r="H16" s="45" t="s">
        <v>62</v>
      </c>
      <c r="I16" s="45" t="s">
        <v>62</v>
      </c>
      <c r="J16" s="45" t="s">
        <v>62</v>
      </c>
      <c r="K16" s="45" t="s">
        <v>62</v>
      </c>
    </row>
    <row r="17" spans="1:11" s="1" customFormat="1" x14ac:dyDescent="0.25">
      <c r="A17" s="40" t="s">
        <v>158</v>
      </c>
      <c r="B17" s="45">
        <v>53.88</v>
      </c>
      <c r="C17" s="45" t="s">
        <v>62</v>
      </c>
      <c r="D17" s="45" t="s">
        <v>62</v>
      </c>
      <c r="E17" s="45" t="s">
        <v>62</v>
      </c>
      <c r="F17" s="45">
        <v>6.37</v>
      </c>
      <c r="G17" s="45">
        <v>8.18</v>
      </c>
      <c r="H17" s="45" t="s">
        <v>62</v>
      </c>
      <c r="I17" s="45" t="s">
        <v>62</v>
      </c>
      <c r="J17" s="45" t="s">
        <v>62</v>
      </c>
      <c r="K17" s="45" t="s">
        <v>62</v>
      </c>
    </row>
    <row r="18" spans="1:11" x14ac:dyDescent="0.25">
      <c r="A18" s="40" t="s">
        <v>159</v>
      </c>
      <c r="B18" s="45">
        <v>0.54</v>
      </c>
      <c r="C18" s="45" t="s">
        <v>62</v>
      </c>
      <c r="D18" s="45" t="s">
        <v>62</v>
      </c>
      <c r="E18" s="45" t="s">
        <v>62</v>
      </c>
      <c r="F18" s="45" t="s">
        <v>62</v>
      </c>
      <c r="G18" s="45">
        <v>1.75</v>
      </c>
      <c r="H18" s="45" t="s">
        <v>62</v>
      </c>
      <c r="I18" s="45" t="s">
        <v>62</v>
      </c>
      <c r="J18" s="45" t="s">
        <v>62</v>
      </c>
      <c r="K18" s="45" t="s">
        <v>62</v>
      </c>
    </row>
    <row r="19" spans="1:11" x14ac:dyDescent="0.25">
      <c r="A19" s="40" t="s">
        <v>160</v>
      </c>
      <c r="B19" s="45">
        <v>0</v>
      </c>
      <c r="C19" s="45" t="s">
        <v>62</v>
      </c>
      <c r="D19" s="45" t="s">
        <v>62</v>
      </c>
      <c r="E19" s="45" t="s">
        <v>62</v>
      </c>
      <c r="F19" s="45">
        <v>0.02</v>
      </c>
      <c r="G19" s="45">
        <v>1.93</v>
      </c>
      <c r="H19" s="45">
        <v>0.01</v>
      </c>
      <c r="I19" s="45" t="s">
        <v>62</v>
      </c>
      <c r="J19" s="45" t="s">
        <v>62</v>
      </c>
      <c r="K19" s="45">
        <v>0.04</v>
      </c>
    </row>
    <row r="20" spans="1:11" x14ac:dyDescent="0.25">
      <c r="A20" s="40" t="s">
        <v>161</v>
      </c>
      <c r="B20" s="45" t="s">
        <v>62</v>
      </c>
      <c r="C20" s="45" t="s">
        <v>62</v>
      </c>
      <c r="D20" s="45">
        <v>0.01</v>
      </c>
      <c r="E20" s="45" t="s">
        <v>62</v>
      </c>
      <c r="F20" s="45">
        <v>0.41</v>
      </c>
      <c r="G20" s="45">
        <v>2.41</v>
      </c>
      <c r="H20" s="45">
        <v>0.05</v>
      </c>
      <c r="I20" s="45" t="s">
        <v>62</v>
      </c>
      <c r="J20" s="45" t="s">
        <v>62</v>
      </c>
      <c r="K20" s="45">
        <v>0.01</v>
      </c>
    </row>
    <row r="21" spans="1:11" x14ac:dyDescent="0.25">
      <c r="A21" s="40" t="s">
        <v>162</v>
      </c>
      <c r="B21" s="45" t="s">
        <v>62</v>
      </c>
      <c r="C21" s="45" t="s">
        <v>62</v>
      </c>
      <c r="D21" s="45" t="s">
        <v>62</v>
      </c>
      <c r="E21" s="45" t="s">
        <v>62</v>
      </c>
      <c r="F21" s="45">
        <v>0.04</v>
      </c>
      <c r="G21" s="45">
        <v>3.78</v>
      </c>
      <c r="H21" s="45" t="s">
        <v>62</v>
      </c>
      <c r="I21" s="45" t="s">
        <v>62</v>
      </c>
      <c r="J21" s="45" t="s">
        <v>62</v>
      </c>
      <c r="K21" s="45" t="s">
        <v>62</v>
      </c>
    </row>
    <row r="22" spans="1:11" x14ac:dyDescent="0.25">
      <c r="A22" s="40" t="s">
        <v>163</v>
      </c>
      <c r="B22" s="45">
        <v>100.1</v>
      </c>
      <c r="C22" s="45">
        <v>61.52</v>
      </c>
      <c r="D22" s="45">
        <v>0.75</v>
      </c>
      <c r="E22" s="45">
        <v>7.51</v>
      </c>
      <c r="F22" s="45">
        <v>17.23</v>
      </c>
      <c r="G22" s="45">
        <v>486.71</v>
      </c>
      <c r="H22" s="45">
        <v>0.01</v>
      </c>
      <c r="I22" s="45">
        <v>1.98</v>
      </c>
      <c r="J22" s="45" t="s">
        <v>62</v>
      </c>
      <c r="K22" s="45" t="s">
        <v>62</v>
      </c>
    </row>
    <row r="23" spans="1:11" x14ac:dyDescent="0.25">
      <c r="A23" s="40" t="s">
        <v>164</v>
      </c>
      <c r="B23" s="45" t="s">
        <v>62</v>
      </c>
      <c r="C23" s="45" t="s">
        <v>62</v>
      </c>
      <c r="D23" s="45" t="s">
        <v>62</v>
      </c>
      <c r="E23" s="45" t="s">
        <v>62</v>
      </c>
      <c r="F23" s="45" t="s">
        <v>62</v>
      </c>
      <c r="G23" s="45">
        <v>0.38</v>
      </c>
      <c r="H23" s="45" t="s">
        <v>62</v>
      </c>
      <c r="I23" s="45" t="s">
        <v>62</v>
      </c>
      <c r="J23" s="45" t="s">
        <v>62</v>
      </c>
      <c r="K23" s="45" t="s">
        <v>62</v>
      </c>
    </row>
    <row r="24" spans="1:11" x14ac:dyDescent="0.25">
      <c r="A24" s="40" t="s">
        <v>165</v>
      </c>
      <c r="B24" s="45" t="s">
        <v>62</v>
      </c>
      <c r="C24" s="45" t="s">
        <v>62</v>
      </c>
      <c r="D24" s="45" t="s">
        <v>62</v>
      </c>
      <c r="E24" s="45" t="s">
        <v>62</v>
      </c>
      <c r="F24" s="45" t="s">
        <v>62</v>
      </c>
      <c r="G24" s="45">
        <v>14.88</v>
      </c>
      <c r="H24" s="45" t="s">
        <v>62</v>
      </c>
      <c r="I24" s="45" t="s">
        <v>62</v>
      </c>
      <c r="J24" s="45" t="s">
        <v>62</v>
      </c>
      <c r="K24" s="45" t="s">
        <v>62</v>
      </c>
    </row>
    <row r="25" spans="1:11" x14ac:dyDescent="0.25">
      <c r="A25" s="40" t="s">
        <v>166</v>
      </c>
      <c r="B25" s="45">
        <v>63.47</v>
      </c>
      <c r="C25" s="45">
        <v>0.24</v>
      </c>
      <c r="D25" s="45" t="s">
        <v>62</v>
      </c>
      <c r="E25" s="45">
        <v>3.39</v>
      </c>
      <c r="F25" s="45">
        <v>0.76</v>
      </c>
      <c r="G25" s="45">
        <v>25.55</v>
      </c>
      <c r="H25" s="45" t="s">
        <v>62</v>
      </c>
      <c r="I25" s="45" t="s">
        <v>62</v>
      </c>
      <c r="J25" s="45" t="s">
        <v>62</v>
      </c>
      <c r="K25" s="45" t="s">
        <v>62</v>
      </c>
    </row>
    <row r="26" spans="1:11" x14ac:dyDescent="0.25">
      <c r="A26" s="40" t="s">
        <v>167</v>
      </c>
      <c r="B26" s="45" t="s">
        <v>62</v>
      </c>
      <c r="C26" s="45">
        <v>2.44</v>
      </c>
      <c r="D26" s="45" t="s">
        <v>62</v>
      </c>
      <c r="E26" s="45" t="s">
        <v>62</v>
      </c>
      <c r="F26" s="45">
        <v>5.53</v>
      </c>
      <c r="G26" s="45">
        <v>34.58</v>
      </c>
      <c r="H26" s="45" t="s">
        <v>62</v>
      </c>
      <c r="I26" s="45" t="s">
        <v>62</v>
      </c>
      <c r="J26" s="45" t="s">
        <v>62</v>
      </c>
      <c r="K26" s="45" t="s">
        <v>62</v>
      </c>
    </row>
    <row r="27" spans="1:11" s="1" customFormat="1" x14ac:dyDescent="0.25">
      <c r="A27" s="35" t="s">
        <v>168</v>
      </c>
      <c r="B27" s="44">
        <v>217.99</v>
      </c>
      <c r="C27" s="44">
        <v>75.599999999999994</v>
      </c>
      <c r="D27" s="44">
        <v>0.79</v>
      </c>
      <c r="E27" s="44">
        <v>10.9</v>
      </c>
      <c r="F27" s="44">
        <v>34.380000000000003</v>
      </c>
      <c r="G27" s="44">
        <v>633.27</v>
      </c>
      <c r="H27" s="44">
        <v>0.1</v>
      </c>
      <c r="I27" s="44">
        <v>2.06</v>
      </c>
      <c r="J27" s="44" t="s">
        <v>62</v>
      </c>
      <c r="K27" s="44">
        <v>0.06</v>
      </c>
    </row>
    <row r="28" spans="1:11" x14ac:dyDescent="0.25">
      <c r="A28" s="40" t="s">
        <v>169</v>
      </c>
      <c r="B28" s="45" t="s">
        <v>62</v>
      </c>
      <c r="C28" s="45" t="s">
        <v>62</v>
      </c>
      <c r="D28" s="45" t="s">
        <v>62</v>
      </c>
      <c r="E28" s="45" t="s">
        <v>62</v>
      </c>
      <c r="F28" s="45">
        <v>0.34</v>
      </c>
      <c r="G28" s="45">
        <v>10.57</v>
      </c>
      <c r="H28" s="45" t="s">
        <v>62</v>
      </c>
      <c r="I28" s="45" t="s">
        <v>62</v>
      </c>
      <c r="J28" s="45" t="s">
        <v>62</v>
      </c>
      <c r="K28" s="45" t="s">
        <v>62</v>
      </c>
    </row>
    <row r="29" spans="1:11" x14ac:dyDescent="0.25">
      <c r="A29" s="40" t="s">
        <v>170</v>
      </c>
      <c r="B29" s="45" t="s">
        <v>62</v>
      </c>
      <c r="C29" s="45" t="s">
        <v>62</v>
      </c>
      <c r="D29" s="45" t="s">
        <v>62</v>
      </c>
      <c r="E29" s="45" t="s">
        <v>62</v>
      </c>
      <c r="F29" s="45">
        <v>25.57</v>
      </c>
      <c r="G29" s="45">
        <v>160.28</v>
      </c>
      <c r="H29" s="45" t="s">
        <v>62</v>
      </c>
      <c r="I29" s="45" t="s">
        <v>62</v>
      </c>
      <c r="J29" s="45" t="s">
        <v>62</v>
      </c>
      <c r="K29" s="45" t="s">
        <v>62</v>
      </c>
    </row>
    <row r="30" spans="1:11" x14ac:dyDescent="0.25">
      <c r="A30" s="40" t="s">
        <v>171</v>
      </c>
      <c r="B30" s="45" t="s">
        <v>62</v>
      </c>
      <c r="C30" s="45" t="s">
        <v>62</v>
      </c>
      <c r="D30" s="45" t="s">
        <v>62</v>
      </c>
      <c r="E30" s="45" t="s">
        <v>62</v>
      </c>
      <c r="F30" s="45">
        <v>32.68</v>
      </c>
      <c r="G30" s="45" t="s">
        <v>62</v>
      </c>
      <c r="H30" s="45" t="s">
        <v>62</v>
      </c>
      <c r="I30" s="45" t="s">
        <v>62</v>
      </c>
      <c r="J30" s="45" t="s">
        <v>62</v>
      </c>
      <c r="K30" s="45" t="s">
        <v>62</v>
      </c>
    </row>
    <row r="31" spans="1:11" x14ac:dyDescent="0.25">
      <c r="A31" s="40" t="s">
        <v>172</v>
      </c>
      <c r="B31" s="45">
        <v>37.25</v>
      </c>
      <c r="C31" s="45">
        <v>0.16</v>
      </c>
      <c r="D31" s="45" t="s">
        <v>62</v>
      </c>
      <c r="E31" s="45" t="s">
        <v>62</v>
      </c>
      <c r="F31" s="45">
        <v>6.81</v>
      </c>
      <c r="G31" s="45">
        <v>10.57</v>
      </c>
      <c r="H31" s="45" t="s">
        <v>62</v>
      </c>
      <c r="I31" s="45" t="s">
        <v>62</v>
      </c>
      <c r="J31" s="45" t="s">
        <v>62</v>
      </c>
      <c r="K31" s="45" t="s">
        <v>62</v>
      </c>
    </row>
    <row r="32" spans="1:11" x14ac:dyDescent="0.25">
      <c r="A32" s="40" t="s">
        <v>173</v>
      </c>
      <c r="B32" s="45" t="s">
        <v>62</v>
      </c>
      <c r="C32" s="45" t="s">
        <v>62</v>
      </c>
      <c r="D32" s="45" t="s">
        <v>62</v>
      </c>
      <c r="E32" s="45" t="s">
        <v>62</v>
      </c>
      <c r="F32" s="45">
        <v>2.99</v>
      </c>
      <c r="G32" s="45">
        <v>9.94</v>
      </c>
      <c r="H32" s="45" t="s">
        <v>62</v>
      </c>
      <c r="I32" s="45" t="s">
        <v>62</v>
      </c>
      <c r="J32" s="45" t="s">
        <v>62</v>
      </c>
      <c r="K32" s="45">
        <v>0.01</v>
      </c>
    </row>
    <row r="33" spans="1:11" x14ac:dyDescent="0.25">
      <c r="A33" s="40" t="s">
        <v>174</v>
      </c>
      <c r="B33" s="45" t="s">
        <v>62</v>
      </c>
      <c r="C33" s="45" t="s">
        <v>62</v>
      </c>
      <c r="D33" s="45" t="s">
        <v>62</v>
      </c>
      <c r="E33" s="45" t="s">
        <v>62</v>
      </c>
      <c r="F33" s="45">
        <v>35.26</v>
      </c>
      <c r="G33" s="45">
        <v>13.49</v>
      </c>
      <c r="H33" s="45" t="s">
        <v>62</v>
      </c>
      <c r="I33" s="45" t="s">
        <v>62</v>
      </c>
      <c r="J33" s="45" t="s">
        <v>62</v>
      </c>
      <c r="K33" s="45" t="s">
        <v>62</v>
      </c>
    </row>
    <row r="34" spans="1:11" x14ac:dyDescent="0.25">
      <c r="A34" s="40" t="s">
        <v>175</v>
      </c>
      <c r="B34" s="45" t="s">
        <v>62</v>
      </c>
      <c r="C34" s="45" t="s">
        <v>62</v>
      </c>
      <c r="D34" s="45" t="s">
        <v>62</v>
      </c>
      <c r="E34" s="45" t="s">
        <v>62</v>
      </c>
      <c r="F34" s="45">
        <v>8.99</v>
      </c>
      <c r="G34" s="45" t="s">
        <v>62</v>
      </c>
      <c r="H34" s="45" t="s">
        <v>62</v>
      </c>
      <c r="I34" s="45" t="s">
        <v>62</v>
      </c>
      <c r="J34" s="45" t="s">
        <v>62</v>
      </c>
      <c r="K34" s="45" t="s">
        <v>62</v>
      </c>
    </row>
    <row r="35" spans="1:11" x14ac:dyDescent="0.25">
      <c r="A35" s="40" t="s">
        <v>176</v>
      </c>
      <c r="B35" s="45" t="s">
        <v>62</v>
      </c>
      <c r="C35" s="45" t="s">
        <v>62</v>
      </c>
      <c r="D35" s="45" t="s">
        <v>62</v>
      </c>
      <c r="E35" s="45" t="s">
        <v>62</v>
      </c>
      <c r="F35" s="45">
        <v>2.6</v>
      </c>
      <c r="G35" s="45">
        <v>11.84</v>
      </c>
      <c r="H35" s="45" t="s">
        <v>62</v>
      </c>
      <c r="I35" s="45" t="s">
        <v>62</v>
      </c>
      <c r="J35" s="45" t="s">
        <v>62</v>
      </c>
      <c r="K35" s="45" t="s">
        <v>62</v>
      </c>
    </row>
    <row r="36" spans="1:11" s="1" customFormat="1" x14ac:dyDescent="0.25">
      <c r="A36" s="40" t="s">
        <v>177</v>
      </c>
      <c r="B36" s="45" t="s">
        <v>62</v>
      </c>
      <c r="C36" s="45" t="s">
        <v>62</v>
      </c>
      <c r="D36" s="45" t="s">
        <v>62</v>
      </c>
      <c r="E36" s="45" t="s">
        <v>62</v>
      </c>
      <c r="F36" s="45" t="s">
        <v>62</v>
      </c>
      <c r="G36" s="45">
        <v>16.079999999999998</v>
      </c>
      <c r="H36" s="45" t="s">
        <v>62</v>
      </c>
      <c r="I36" s="45" t="s">
        <v>62</v>
      </c>
      <c r="J36" s="45" t="s">
        <v>62</v>
      </c>
      <c r="K36" s="45" t="s">
        <v>62</v>
      </c>
    </row>
    <row r="37" spans="1:11" x14ac:dyDescent="0.25">
      <c r="A37" s="40" t="s">
        <v>178</v>
      </c>
      <c r="B37" s="45" t="s">
        <v>62</v>
      </c>
      <c r="C37" s="45" t="s">
        <v>62</v>
      </c>
      <c r="D37" s="45" t="s">
        <v>62</v>
      </c>
      <c r="E37" s="45" t="s">
        <v>62</v>
      </c>
      <c r="F37" s="45">
        <v>104.32</v>
      </c>
      <c r="G37" s="45">
        <v>84.75</v>
      </c>
      <c r="H37" s="45" t="s">
        <v>62</v>
      </c>
      <c r="I37" s="45" t="s">
        <v>62</v>
      </c>
      <c r="J37" s="45" t="s">
        <v>62</v>
      </c>
      <c r="K37" s="45" t="s">
        <v>62</v>
      </c>
    </row>
    <row r="38" spans="1:11" s="1" customFormat="1" x14ac:dyDescent="0.25">
      <c r="A38" s="40" t="s">
        <v>179</v>
      </c>
      <c r="B38" s="45" t="s">
        <v>62</v>
      </c>
      <c r="C38" s="45" t="s">
        <v>62</v>
      </c>
      <c r="D38" s="45" t="s">
        <v>62</v>
      </c>
      <c r="E38" s="45" t="s">
        <v>62</v>
      </c>
      <c r="F38" s="45">
        <v>23.05</v>
      </c>
      <c r="G38" s="45">
        <v>12.07</v>
      </c>
      <c r="H38" s="45" t="s">
        <v>62</v>
      </c>
      <c r="I38" s="45" t="s">
        <v>62</v>
      </c>
      <c r="J38" s="45" t="s">
        <v>62</v>
      </c>
      <c r="K38" s="45" t="s">
        <v>62</v>
      </c>
    </row>
    <row r="39" spans="1:11" s="1" customFormat="1" x14ac:dyDescent="0.25">
      <c r="A39" s="40" t="s">
        <v>180</v>
      </c>
      <c r="B39" s="45" t="s">
        <v>62</v>
      </c>
      <c r="C39" s="45" t="s">
        <v>62</v>
      </c>
      <c r="D39" s="45" t="s">
        <v>62</v>
      </c>
      <c r="E39" s="45" t="s">
        <v>62</v>
      </c>
      <c r="F39" s="45">
        <v>1.42</v>
      </c>
      <c r="G39" s="45">
        <v>74.69</v>
      </c>
      <c r="H39" s="45" t="s">
        <v>62</v>
      </c>
      <c r="I39" s="45" t="s">
        <v>62</v>
      </c>
      <c r="J39" s="45" t="s">
        <v>62</v>
      </c>
      <c r="K39" s="45" t="s">
        <v>62</v>
      </c>
    </row>
    <row r="40" spans="1:11" s="1" customFormat="1" x14ac:dyDescent="0.25">
      <c r="A40" s="40" t="s">
        <v>181</v>
      </c>
      <c r="B40" s="45" t="s">
        <v>62</v>
      </c>
      <c r="C40" s="45" t="s">
        <v>62</v>
      </c>
      <c r="D40" s="45" t="s">
        <v>62</v>
      </c>
      <c r="E40" s="45" t="s">
        <v>62</v>
      </c>
      <c r="F40" s="45">
        <v>6.03</v>
      </c>
      <c r="G40" s="45" t="s">
        <v>62</v>
      </c>
      <c r="H40" s="45" t="s">
        <v>62</v>
      </c>
      <c r="I40" s="45" t="s">
        <v>62</v>
      </c>
      <c r="J40" s="45" t="s">
        <v>62</v>
      </c>
      <c r="K40" s="45" t="s">
        <v>62</v>
      </c>
    </row>
    <row r="41" spans="1:11" s="1" customFormat="1" x14ac:dyDescent="0.25">
      <c r="A41" s="35" t="s">
        <v>182</v>
      </c>
      <c r="B41" s="44">
        <v>37.25</v>
      </c>
      <c r="C41" s="44">
        <v>0.16</v>
      </c>
      <c r="D41" s="44" t="s">
        <v>62</v>
      </c>
      <c r="E41" s="44" t="s">
        <v>62</v>
      </c>
      <c r="F41" s="44">
        <v>250.07</v>
      </c>
      <c r="G41" s="44">
        <v>404.28</v>
      </c>
      <c r="H41" s="44" t="s">
        <v>62</v>
      </c>
      <c r="I41" s="44" t="s">
        <v>62</v>
      </c>
      <c r="J41" s="44" t="s">
        <v>62</v>
      </c>
      <c r="K41" s="44">
        <v>0.01</v>
      </c>
    </row>
    <row r="42" spans="1:11" x14ac:dyDescent="0.25">
      <c r="A42" s="35" t="s">
        <v>183</v>
      </c>
      <c r="B42" s="44">
        <v>3939.01</v>
      </c>
      <c r="C42" s="44">
        <v>276.32</v>
      </c>
      <c r="D42" s="44">
        <v>0.79</v>
      </c>
      <c r="E42" s="44">
        <v>42.28</v>
      </c>
      <c r="F42" s="44">
        <v>683.91</v>
      </c>
      <c r="G42" s="44">
        <v>1819.08</v>
      </c>
      <c r="H42" s="44">
        <v>36.020000000000003</v>
      </c>
      <c r="I42" s="44">
        <v>2.0699999999999998</v>
      </c>
      <c r="J42" s="44">
        <v>3.02</v>
      </c>
      <c r="K42" s="44">
        <v>0.14000000000000001</v>
      </c>
    </row>
    <row r="43" spans="1:11" x14ac:dyDescent="0.25">
      <c r="A43" s="33" t="s">
        <v>45</v>
      </c>
      <c r="B43" s="6" t="s">
        <v>63</v>
      </c>
      <c r="C43" s="15"/>
      <c r="D43" s="15"/>
      <c r="E43" s="6"/>
      <c r="F43" s="6"/>
      <c r="G43" s="15"/>
      <c r="H43" s="15"/>
      <c r="I43" s="15"/>
      <c r="J43" s="15"/>
      <c r="K43" s="16"/>
    </row>
    <row r="44" spans="1:11" x14ac:dyDescent="0.25">
      <c r="A44" s="17"/>
      <c r="B44" s="18"/>
      <c r="C44" s="18"/>
      <c r="D44" s="18"/>
      <c r="E44" s="18"/>
      <c r="F44" s="18"/>
      <c r="G44" s="18"/>
      <c r="H44" s="18"/>
      <c r="I44" s="18"/>
      <c r="J44" s="18"/>
      <c r="K44" s="19"/>
    </row>
    <row r="45" spans="1:11" x14ac:dyDescent="0.25">
      <c r="A45" s="38" t="s">
        <v>51</v>
      </c>
      <c r="B45" s="20"/>
      <c r="C45" s="20"/>
      <c r="D45" s="20"/>
      <c r="E45" s="20"/>
      <c r="F45" s="20"/>
      <c r="G45" s="20"/>
      <c r="H45" s="20"/>
      <c r="I45" s="20"/>
      <c r="J45" s="20"/>
      <c r="K45" s="21"/>
    </row>
    <row r="46" spans="1:11" x14ac:dyDescent="0.25">
      <c r="A46" t="s">
        <v>52</v>
      </c>
    </row>
  </sheetData>
  <hyperlinks>
    <hyperlink ref="H1" r:id="rId1"/>
  </hyperlinks>
  <pageMargins left="0.7" right="0.7" top="0.78740157499999996" bottom="0.78740157499999996" header="0.3" footer="0.3"/>
  <pageSetup paperSize="9" orientation="portrait"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R30" sqref="R30"/>
    </sheetView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163"/>
  <sheetViews>
    <sheetView topLeftCell="A77" zoomScale="80" zoomScaleNormal="80" workbookViewId="0">
      <selection activeCell="T9" sqref="T9:T148"/>
    </sheetView>
  </sheetViews>
  <sheetFormatPr baseColWidth="10" defaultRowHeight="15" x14ac:dyDescent="0.25"/>
  <cols>
    <col min="1" max="1" width="1.28515625" style="86" customWidth="1"/>
    <col min="2" max="2" width="20.140625" style="55" bestFit="1" customWidth="1"/>
    <col min="3" max="3" width="6.7109375" style="57" bestFit="1" customWidth="1"/>
    <col min="4" max="4" width="14.42578125" style="55" customWidth="1"/>
    <col min="5" max="5" width="17.85546875" bestFit="1" customWidth="1"/>
    <col min="6" max="6" width="10.7109375" customWidth="1"/>
    <col min="7" max="7" width="14" customWidth="1"/>
    <col min="8" max="8" width="15.140625" customWidth="1"/>
    <col min="9" max="9" width="14" customWidth="1"/>
    <col min="10" max="10" width="12.140625" customWidth="1"/>
    <col min="11" max="11" width="13.42578125" customWidth="1"/>
    <col min="12" max="13" width="11.28515625" customWidth="1"/>
    <col min="14" max="15" width="9.140625" customWidth="1"/>
    <col min="16" max="16" width="13" customWidth="1"/>
    <col min="17" max="17" width="16.140625" customWidth="1"/>
    <col min="18" max="18" width="17.85546875" customWidth="1"/>
    <col min="19" max="19" width="17.140625" customWidth="1"/>
    <col min="20" max="20" width="12.140625" style="152" customWidth="1"/>
    <col min="21" max="22" width="11.28515625" bestFit="1" customWidth="1"/>
    <col min="23" max="23" width="20.5703125" customWidth="1"/>
  </cols>
  <sheetData>
    <row r="1" spans="1:23" s="86" customFormat="1" ht="4.5" customHeight="1" x14ac:dyDescent="0.25">
      <c r="B1" s="153"/>
      <c r="C1" s="93"/>
      <c r="D1" s="153"/>
      <c r="T1" s="146"/>
    </row>
    <row r="2" spans="1:23" x14ac:dyDescent="0.25">
      <c r="B2" s="153"/>
      <c r="C2" s="93"/>
      <c r="D2" s="153"/>
      <c r="E2" s="86"/>
      <c r="F2" s="728" t="s">
        <v>269</v>
      </c>
      <c r="G2" s="728"/>
      <c r="H2" s="728"/>
      <c r="I2" s="728"/>
      <c r="J2" s="728"/>
      <c r="K2" s="728"/>
      <c r="L2" s="728"/>
      <c r="M2" s="728"/>
      <c r="N2" s="728"/>
      <c r="O2" s="728"/>
      <c r="P2" s="728"/>
      <c r="Q2" s="728"/>
      <c r="R2" s="728"/>
      <c r="S2" s="728"/>
      <c r="T2" s="146"/>
      <c r="U2" s="86"/>
      <c r="V2" s="86"/>
      <c r="W2" s="86"/>
    </row>
    <row r="3" spans="1:23" x14ac:dyDescent="0.25">
      <c r="B3" s="387" t="s">
        <v>375</v>
      </c>
      <c r="C3" s="93"/>
      <c r="D3" s="153"/>
      <c r="E3" s="86"/>
      <c r="F3" s="727" t="s">
        <v>267</v>
      </c>
      <c r="G3" s="727"/>
      <c r="H3" s="727"/>
      <c r="I3" s="727"/>
      <c r="J3" s="727" t="s">
        <v>268</v>
      </c>
      <c r="K3" s="727"/>
      <c r="L3" s="727"/>
      <c r="M3" s="727"/>
      <c r="N3" s="727"/>
      <c r="O3" s="727"/>
      <c r="P3" s="727"/>
      <c r="Q3" s="727"/>
      <c r="R3" s="727"/>
      <c r="S3" s="727"/>
      <c r="T3" s="146"/>
      <c r="U3" s="86"/>
      <c r="V3" s="86"/>
      <c r="W3" s="86"/>
    </row>
    <row r="4" spans="1:23" ht="21.75" customHeight="1" x14ac:dyDescent="0.35">
      <c r="B4" s="56" t="s">
        <v>274</v>
      </c>
      <c r="C4" s="93"/>
      <c r="D4" s="153"/>
      <c r="E4" s="86"/>
      <c r="F4" s="732" t="s">
        <v>272</v>
      </c>
      <c r="G4" s="733"/>
      <c r="H4" s="733"/>
      <c r="I4" s="733"/>
      <c r="J4" s="733"/>
      <c r="K4" s="733"/>
      <c r="L4" s="733"/>
      <c r="M4" s="733"/>
      <c r="N4" s="733"/>
      <c r="O4" s="733"/>
      <c r="P4" s="733"/>
      <c r="Q4" s="733"/>
      <c r="R4" s="733"/>
      <c r="S4" s="734"/>
      <c r="T4" s="146"/>
      <c r="U4" s="86"/>
      <c r="V4" s="86"/>
      <c r="W4" s="86"/>
    </row>
    <row r="5" spans="1:23" ht="18" customHeight="1" x14ac:dyDescent="0.25">
      <c r="B5" s="154" t="s">
        <v>273</v>
      </c>
      <c r="C5" s="93"/>
      <c r="D5" s="153"/>
      <c r="E5" s="86"/>
      <c r="F5" s="735" t="s">
        <v>257</v>
      </c>
      <c r="G5" s="738" t="s">
        <v>256</v>
      </c>
      <c r="H5" s="739"/>
      <c r="I5" s="740"/>
      <c r="J5" s="747" t="s">
        <v>258</v>
      </c>
      <c r="K5" s="748"/>
      <c r="L5" s="748"/>
      <c r="M5" s="748"/>
      <c r="N5" s="748"/>
      <c r="O5" s="748"/>
      <c r="P5" s="748"/>
      <c r="Q5" s="748"/>
      <c r="R5" s="748"/>
      <c r="S5" s="749"/>
      <c r="T5" s="146"/>
      <c r="U5" s="86"/>
      <c r="V5" s="86"/>
      <c r="W5" s="86"/>
    </row>
    <row r="6" spans="1:23" ht="17.25" customHeight="1" x14ac:dyDescent="0.25">
      <c r="B6" s="154">
        <v>2007</v>
      </c>
      <c r="C6" s="93"/>
      <c r="D6" s="153"/>
      <c r="E6" s="86"/>
      <c r="F6" s="736"/>
      <c r="G6" s="741"/>
      <c r="H6" s="742"/>
      <c r="I6" s="743"/>
      <c r="J6" s="750" t="s">
        <v>251</v>
      </c>
      <c r="K6" s="751"/>
      <c r="L6" s="751"/>
      <c r="M6" s="751"/>
      <c r="N6" s="751"/>
      <c r="O6" s="752"/>
      <c r="P6" s="750" t="s">
        <v>252</v>
      </c>
      <c r="Q6" s="751"/>
      <c r="R6" s="751"/>
      <c r="S6" s="752"/>
      <c r="T6" s="146"/>
      <c r="U6" s="729" t="s">
        <v>276</v>
      </c>
      <c r="V6" s="730"/>
      <c r="W6" s="731"/>
    </row>
    <row r="7" spans="1:23" ht="17.25" customHeight="1" x14ac:dyDescent="0.25">
      <c r="A7" s="344"/>
      <c r="B7" s="154" t="s">
        <v>2</v>
      </c>
      <c r="C7" s="93"/>
      <c r="D7" s="153"/>
      <c r="E7" s="86"/>
      <c r="F7" s="737"/>
      <c r="G7" s="744"/>
      <c r="H7" s="745"/>
      <c r="I7" s="746"/>
      <c r="J7" s="756" t="s">
        <v>253</v>
      </c>
      <c r="K7" s="757"/>
      <c r="L7" s="757"/>
      <c r="M7" s="758"/>
      <c r="N7" s="753"/>
      <c r="O7" s="755"/>
      <c r="P7" s="753"/>
      <c r="Q7" s="754"/>
      <c r="R7" s="754"/>
      <c r="S7" s="755"/>
      <c r="T7" s="147"/>
      <c r="U7" s="142" t="s">
        <v>269</v>
      </c>
      <c r="V7" s="143" t="s">
        <v>267</v>
      </c>
      <c r="W7" s="144"/>
    </row>
    <row r="8" spans="1:23" ht="17.25" customHeight="1" x14ac:dyDescent="0.25">
      <c r="A8" s="343"/>
      <c r="B8" s="155" t="s">
        <v>264</v>
      </c>
      <c r="C8" s="71" t="s">
        <v>222</v>
      </c>
      <c r="D8" s="71" t="s">
        <v>262</v>
      </c>
      <c r="E8" s="71" t="s">
        <v>275</v>
      </c>
      <c r="F8" s="54" t="s">
        <v>186</v>
      </c>
      <c r="G8" s="54" t="s">
        <v>187</v>
      </c>
      <c r="H8" s="54" t="s">
        <v>188</v>
      </c>
      <c r="I8" s="54" t="s">
        <v>189</v>
      </c>
      <c r="J8" s="54" t="s">
        <v>201</v>
      </c>
      <c r="K8" s="54" t="s">
        <v>202</v>
      </c>
      <c r="L8" s="54" t="s">
        <v>203</v>
      </c>
      <c r="M8" s="54" t="s">
        <v>204</v>
      </c>
      <c r="N8" s="54" t="s">
        <v>205</v>
      </c>
      <c r="O8" s="54" t="s">
        <v>206</v>
      </c>
      <c r="P8" s="54" t="s">
        <v>207</v>
      </c>
      <c r="Q8" s="54" t="s">
        <v>208</v>
      </c>
      <c r="R8" s="54" t="s">
        <v>209</v>
      </c>
      <c r="S8" s="54" t="s">
        <v>210</v>
      </c>
      <c r="T8" s="148" t="s">
        <v>250</v>
      </c>
      <c r="U8" s="112" t="s">
        <v>270</v>
      </c>
      <c r="V8" s="112" t="s">
        <v>270</v>
      </c>
      <c r="W8" s="145" t="s">
        <v>271</v>
      </c>
    </row>
    <row r="9" spans="1:23" x14ac:dyDescent="0.25">
      <c r="A9" s="346"/>
      <c r="B9" s="160" t="str">
        <f>'Table 1.2 complete'!A6</f>
        <v>Germany</v>
      </c>
      <c r="C9" s="190">
        <f>'Table 1.2 complete'!B6</f>
        <v>12</v>
      </c>
      <c r="D9" s="160" t="str">
        <f>'Table 1.2 complete'!C6</f>
        <v>DEU</v>
      </c>
      <c r="E9" s="120">
        <v>1</v>
      </c>
      <c r="F9" s="109">
        <f>'Table 1.2 complete'!E6</f>
        <v>140.53</v>
      </c>
      <c r="G9" s="109">
        <f>'Table 1.2 complete'!F6</f>
        <v>28.46</v>
      </c>
      <c r="H9" s="109" t="str">
        <f>'Table 1.2 complete'!G6</f>
        <v>-</v>
      </c>
      <c r="I9" s="109">
        <f>'Table 1.2 complete'!H6</f>
        <v>42.79</v>
      </c>
      <c r="J9" s="109">
        <f>'Table 1.3 complete'!E6</f>
        <v>132.27000000000001</v>
      </c>
      <c r="K9" s="109">
        <f>'Table 1.3 complete'!F6</f>
        <v>167.51</v>
      </c>
      <c r="L9" s="109" t="str">
        <f>'Table 1.3 complete'!G6</f>
        <v>-</v>
      </c>
      <c r="M9" s="109">
        <f>'Table 1.3 complete'!H6</f>
        <v>10.78</v>
      </c>
      <c r="N9" s="109">
        <f>'Table 1.3 complete'!I6</f>
        <v>11.08</v>
      </c>
      <c r="O9" s="109">
        <f>'Table 1.3 complete'!J6</f>
        <v>72.91</v>
      </c>
      <c r="P9" s="109">
        <f>'Table 1.3 complete'!K6</f>
        <v>10.38</v>
      </c>
      <c r="Q9" s="109">
        <f>'Table 1.3 complete'!L6</f>
        <v>0.68</v>
      </c>
      <c r="R9" s="109">
        <f>'Table 1.3 complete'!M6</f>
        <v>8.26</v>
      </c>
      <c r="S9" s="109">
        <f>'Table 1.3 complete'!N6</f>
        <v>11.44</v>
      </c>
      <c r="T9" s="149">
        <f>SUM(F9:S9)</f>
        <v>637.09</v>
      </c>
      <c r="U9" s="106">
        <f>T9-'Table 1.1 complete'!E6</f>
        <v>-9.9999999999909051E-3</v>
      </c>
      <c r="V9" s="113">
        <f>T9-'Table 1.2 complete'!K6</f>
        <v>-9.9999999999909051E-3</v>
      </c>
      <c r="W9" s="106">
        <f>'Table 1.2 complete'!K6-'Table 1.1 complete'!E6</f>
        <v>0</v>
      </c>
    </row>
    <row r="10" spans="1:23" x14ac:dyDescent="0.25">
      <c r="A10" s="346"/>
      <c r="B10" s="165" t="str">
        <f>'Table 1.2 complete'!A7</f>
        <v>France</v>
      </c>
      <c r="C10" s="195">
        <f>'Table 1.2 complete'!B7</f>
        <v>11</v>
      </c>
      <c r="D10" s="165" t="str">
        <f>'Table 1.2 complete'!C7</f>
        <v xml:space="preserve">FRA </v>
      </c>
      <c r="E10" s="125">
        <v>2</v>
      </c>
      <c r="F10" s="109">
        <f>'Table 1.2 complete'!E7</f>
        <v>439.73</v>
      </c>
      <c r="G10" s="109">
        <f>'Table 1.2 complete'!F7</f>
        <v>63.66</v>
      </c>
      <c r="H10" s="109" t="str">
        <f>'Table 1.2 complete'!G7</f>
        <v>-</v>
      </c>
      <c r="I10" s="109">
        <f>'Table 1.2 complete'!H7</f>
        <v>4.59</v>
      </c>
      <c r="J10" s="109">
        <f>'Table 1.3 complete'!E7</f>
        <v>24.45</v>
      </c>
      <c r="K10" s="109" t="str">
        <f>'Table 1.3 complete'!F7</f>
        <v>-</v>
      </c>
      <c r="L10" s="109" t="str">
        <f>'Table 1.3 complete'!G7</f>
        <v>-</v>
      </c>
      <c r="M10" s="109">
        <f>'Table 1.3 complete'!H7</f>
        <v>3.75</v>
      </c>
      <c r="N10" s="109">
        <f>'Table 1.3 complete'!I7</f>
        <v>6.16</v>
      </c>
      <c r="O10" s="109">
        <f>'Table 1.3 complete'!J7</f>
        <v>21.99</v>
      </c>
      <c r="P10" s="109">
        <f>'Table 1.3 complete'!K7</f>
        <v>1.37</v>
      </c>
      <c r="Q10" s="109" t="str">
        <f>'Table 1.3 complete'!L7</f>
        <v>-</v>
      </c>
      <c r="R10" s="109">
        <f>'Table 1.3 complete'!M7</f>
        <v>3.51</v>
      </c>
      <c r="S10" s="109">
        <f>'Table 1.3 complete'!N7</f>
        <v>0.64</v>
      </c>
      <c r="T10" s="149">
        <f>SUM(F10:S10)</f>
        <v>569.84999999999991</v>
      </c>
      <c r="U10" s="106">
        <f>T10-'Table 1.1 complete'!E7</f>
        <v>4.9999999999954525E-2</v>
      </c>
      <c r="V10" s="113">
        <f>T10-'Table 1.2 complete'!K7</f>
        <v>9.9999999998772182E-3</v>
      </c>
      <c r="W10" s="106">
        <f>'Table 1.2 complete'!K7-'Table 1.1 complete'!E7</f>
        <v>4.0000000000077307E-2</v>
      </c>
    </row>
    <row r="11" spans="1:23" x14ac:dyDescent="0.25">
      <c r="A11" s="346"/>
      <c r="B11" s="156" t="str">
        <f>'Table 1.2 complete'!A8</f>
        <v>Austria</v>
      </c>
      <c r="C11" s="186">
        <f>'Table 1.2 complete'!B8</f>
        <v>5</v>
      </c>
      <c r="D11" s="156" t="str">
        <f>'Table 1.2 complete'!C8</f>
        <v>AUT</v>
      </c>
      <c r="E11" s="116">
        <v>3</v>
      </c>
      <c r="F11" s="109" t="str">
        <f>'Table 1.2 complete'!E8</f>
        <v>-</v>
      </c>
      <c r="G11" s="109">
        <f>'Table 1.2 complete'!F8</f>
        <v>38.49</v>
      </c>
      <c r="H11" s="109">
        <f>'Table 1.2 complete'!G8</f>
        <v>0</v>
      </c>
      <c r="I11" s="109">
        <f>'Table 1.2 complete'!H8</f>
        <v>2.0499999999999998</v>
      </c>
      <c r="J11" s="109">
        <f>'Table 1.3 complete'!E8</f>
        <v>6.26</v>
      </c>
      <c r="K11" s="109" t="str">
        <f>'Table 1.3 complete'!F8</f>
        <v>-</v>
      </c>
      <c r="L11" s="109" t="str">
        <f>'Table 1.3 complete'!G8</f>
        <v>-</v>
      </c>
      <c r="M11" s="109">
        <f>'Table 1.3 complete'!H8</f>
        <v>1.33</v>
      </c>
      <c r="N11" s="109">
        <f>'Table 1.3 complete'!I8</f>
        <v>1.28</v>
      </c>
      <c r="O11" s="109">
        <f>'Table 1.3 complete'!J8</f>
        <v>9.8699999999999992</v>
      </c>
      <c r="P11" s="109">
        <f>'Table 1.3 complete'!K8</f>
        <v>3.18</v>
      </c>
      <c r="Q11" s="109">
        <f>'Table 1.3 complete'!L8</f>
        <v>0.31</v>
      </c>
      <c r="R11" s="109">
        <f>'Table 1.3 complete'!M8</f>
        <v>0.5</v>
      </c>
      <c r="S11" s="109">
        <f>'Table 1.3 complete'!N8</f>
        <v>0.16</v>
      </c>
      <c r="T11" s="149">
        <f>SUM(F11:S11)</f>
        <v>63.429999999999993</v>
      </c>
      <c r="U11" s="106">
        <f>T11-'Table 1.1 complete'!E8</f>
        <v>2.9999999999994031E-2</v>
      </c>
      <c r="V11" s="113">
        <f>T11-'Table 1.2 complete'!K8</f>
        <v>0</v>
      </c>
      <c r="W11" s="106">
        <f>'Table 1.2 complete'!K8-'Table 1.1 complete'!E8</f>
        <v>3.0000000000001137E-2</v>
      </c>
    </row>
    <row r="12" spans="1:23" x14ac:dyDescent="0.25">
      <c r="A12" s="346"/>
      <c r="B12" s="179" t="str">
        <f>'Table 1.2 complete'!A9</f>
        <v>Switzerland</v>
      </c>
      <c r="C12" s="210">
        <f>'Table 1.2 complete'!B9</f>
        <v>30</v>
      </c>
      <c r="D12" s="179" t="str">
        <f>'Table 1.2 complete'!C9</f>
        <v>SWZ</v>
      </c>
      <c r="E12" s="138">
        <v>4</v>
      </c>
      <c r="F12" s="109">
        <f>'Table 1.2 complete'!E9</f>
        <v>27.93</v>
      </c>
      <c r="G12" s="109">
        <f>'Table 1.2 complete'!F9</f>
        <v>36.74</v>
      </c>
      <c r="H12" s="109" t="str">
        <f>'Table 1.2 complete'!G9</f>
        <v>-</v>
      </c>
      <c r="I12" s="109">
        <f>'Table 1.2 complete'!H9</f>
        <v>0.04</v>
      </c>
      <c r="J12" s="109" t="str">
        <f>'Table 1.3 complete'!E9</f>
        <v>-</v>
      </c>
      <c r="K12" s="109" t="str">
        <f>'Table 1.3 complete'!F9</f>
        <v>-</v>
      </c>
      <c r="L12" s="109" t="str">
        <f>'Table 1.3 complete'!G9</f>
        <v>-</v>
      </c>
      <c r="M12" s="109" t="str">
        <f>'Table 1.3 complete'!H9</f>
        <v>-</v>
      </c>
      <c r="N12" s="109">
        <f>'Table 1.3 complete'!I9</f>
        <v>0.19</v>
      </c>
      <c r="O12" s="109">
        <f>'Table 1.3 complete'!J9</f>
        <v>0.75</v>
      </c>
      <c r="P12" s="109">
        <f>'Table 1.3 complete'!K9</f>
        <v>0.13</v>
      </c>
      <c r="Q12" s="109">
        <f>'Table 1.3 complete'!L9</f>
        <v>0.23</v>
      </c>
      <c r="R12" s="109">
        <f>'Table 1.3 complete'!M9</f>
        <v>1.78</v>
      </c>
      <c r="S12" s="109">
        <f>'Table 1.3 complete'!N9</f>
        <v>0.17</v>
      </c>
      <c r="T12" s="149">
        <f>SUM(F12:S12)</f>
        <v>67.960000000000008</v>
      </c>
      <c r="U12" s="106">
        <f>T12-'Table 1.1 complete'!E9</f>
        <v>-3.9999999999992042E-2</v>
      </c>
      <c r="V12" s="113">
        <f>T12-'Table 1.2 complete'!K9</f>
        <v>1.0000000000005116E-2</v>
      </c>
      <c r="W12" s="106">
        <f>'Table 1.2 complete'!K9-'Table 1.1 complete'!E9</f>
        <v>-4.9999999999997158E-2</v>
      </c>
    </row>
    <row r="13" spans="1:23" x14ac:dyDescent="0.25">
      <c r="A13" s="346"/>
      <c r="B13" s="180" t="str">
        <f>'Table 1.2 complete'!A10</f>
        <v>Belgium</v>
      </c>
      <c r="C13" s="211">
        <f>'Table 1.2 complete'!B10</f>
        <v>6</v>
      </c>
      <c r="D13" s="180" t="s">
        <v>236</v>
      </c>
      <c r="E13" s="139">
        <v>5</v>
      </c>
      <c r="F13" s="109">
        <f>'Table 1.2 complete'!E10</f>
        <v>48.23</v>
      </c>
      <c r="G13" s="109">
        <f>'Table 1.2 complete'!F10</f>
        <v>1.68</v>
      </c>
      <c r="H13" s="109" t="str">
        <f>'Table 1.2 complete'!G10</f>
        <v>-</v>
      </c>
      <c r="I13" s="109">
        <f>'Table 1.2 complete'!H10</f>
        <v>0.74</v>
      </c>
      <c r="J13" s="109">
        <f>'Table 1.3 complete'!E10</f>
        <v>6.47</v>
      </c>
      <c r="K13" s="109" t="str">
        <f>'Table 1.3 complete'!F10</f>
        <v>-</v>
      </c>
      <c r="L13" s="109" t="str">
        <f>'Table 1.3 complete'!G10</f>
        <v>-</v>
      </c>
      <c r="M13" s="109">
        <f>'Table 1.3 complete'!H10</f>
        <v>1.85</v>
      </c>
      <c r="N13" s="109">
        <f>'Table 1.3 complete'!I10</f>
        <v>0.81</v>
      </c>
      <c r="O13" s="109">
        <f>'Table 1.3 complete'!J10</f>
        <v>25.39</v>
      </c>
      <c r="P13" s="109">
        <f>'Table 1.3 complete'!K10</f>
        <v>1.82</v>
      </c>
      <c r="Q13" s="109">
        <f>'Table 1.3 complete'!L10</f>
        <v>0.53</v>
      </c>
      <c r="R13" s="109">
        <f>'Table 1.3 complete'!M10</f>
        <v>0.81</v>
      </c>
      <c r="S13" s="109">
        <f>'Table 1.3 complete'!N10</f>
        <v>0.49</v>
      </c>
      <c r="T13" s="149">
        <f>SUM(F13:S13)</f>
        <v>88.82</v>
      </c>
      <c r="U13" s="106">
        <f>T13-'Table 1.1 complete'!E10</f>
        <v>1.9999999999996021E-2</v>
      </c>
      <c r="V13" s="113">
        <f>T13-'Table 1.2 complete'!K10</f>
        <v>0</v>
      </c>
      <c r="W13" s="106">
        <f>'Table 1.2 complete'!K10-'Table 1.1 complete'!E10</f>
        <v>1.9999999999996021E-2</v>
      </c>
    </row>
    <row r="14" spans="1:23" x14ac:dyDescent="0.25">
      <c r="A14" s="346"/>
      <c r="B14" s="180" t="str">
        <f>'Table 1.2 complete'!A11</f>
        <v>Denmark</v>
      </c>
      <c r="C14" s="211">
        <f>'Table 1.2 complete'!B11</f>
        <v>9</v>
      </c>
      <c r="D14" s="180" t="s">
        <v>236</v>
      </c>
      <c r="E14" s="139">
        <v>5</v>
      </c>
      <c r="F14" s="109" t="str">
        <f>'Table 1.2 complete'!E11</f>
        <v>-</v>
      </c>
      <c r="G14" s="109">
        <f>'Table 1.2 complete'!F11</f>
        <v>0.03</v>
      </c>
      <c r="H14" s="109" t="str">
        <f>'Table 1.2 complete'!G11</f>
        <v>-</v>
      </c>
      <c r="I14" s="109">
        <f>'Table 1.2 complete'!H11</f>
        <v>7.18</v>
      </c>
      <c r="J14" s="109">
        <f>'Table 1.3 complete'!E11</f>
        <v>19.899999999999999</v>
      </c>
      <c r="K14" s="109" t="str">
        <f>'Table 1.3 complete'!F11</f>
        <v>-</v>
      </c>
      <c r="L14" s="109" t="str">
        <f>'Table 1.3 complete'!G11</f>
        <v>-</v>
      </c>
      <c r="M14" s="109" t="str">
        <f>'Table 1.3 complete'!H11</f>
        <v>-</v>
      </c>
      <c r="N14" s="109">
        <f>'Table 1.3 complete'!I11</f>
        <v>1.28</v>
      </c>
      <c r="O14" s="109">
        <f>'Table 1.3 complete'!J11</f>
        <v>6.91</v>
      </c>
      <c r="P14" s="109">
        <f>'Table 1.3 complete'!K11</f>
        <v>1.83</v>
      </c>
      <c r="Q14" s="109" t="str">
        <f>'Table 1.3 complete'!L11</f>
        <v>-</v>
      </c>
      <c r="R14" s="109">
        <f>'Table 1.3 complete'!M11</f>
        <v>1.76</v>
      </c>
      <c r="S14" s="109">
        <f>'Table 1.3 complete'!N11</f>
        <v>0.27</v>
      </c>
      <c r="T14" s="149">
        <f>SUM(F14:S14)</f>
        <v>39.159999999999997</v>
      </c>
      <c r="U14" s="106">
        <f>T14-'Table 1.1 complete'!E11</f>
        <v>-4.0000000000006253E-2</v>
      </c>
      <c r="V14" s="113">
        <f>T14-'Table 1.2 complete'!K11</f>
        <v>9.9999999999980105E-3</v>
      </c>
      <c r="W14" s="106">
        <f>'Table 1.2 complete'!K11-'Table 1.1 complete'!E11</f>
        <v>-5.0000000000004263E-2</v>
      </c>
    </row>
    <row r="15" spans="1:23" x14ac:dyDescent="0.25">
      <c r="A15" s="346"/>
      <c r="B15" s="180" t="str">
        <f>'Table 1.2 complete'!A12</f>
        <v>Estonia</v>
      </c>
      <c r="C15" s="211">
        <f>'Table 1.2 complete'!B12</f>
        <v>128</v>
      </c>
      <c r="D15" s="180" t="s">
        <v>236</v>
      </c>
      <c r="E15" s="139">
        <v>5</v>
      </c>
      <c r="F15" s="109" t="str">
        <f>'Table 1.2 complete'!E12</f>
        <v>-</v>
      </c>
      <c r="G15" s="109">
        <f>'Table 1.2 complete'!F12</f>
        <v>0.02</v>
      </c>
      <c r="H15" s="109" t="str">
        <f>'Table 1.2 complete'!G12</f>
        <v>-</v>
      </c>
      <c r="I15" s="109">
        <f>'Table 1.2 complete'!H12</f>
        <v>0.09</v>
      </c>
      <c r="J15" s="109" t="str">
        <f>'Table 1.3 complete'!E12</f>
        <v>-</v>
      </c>
      <c r="K15" s="109">
        <f>'Table 1.3 complete'!F12</f>
        <v>11.4</v>
      </c>
      <c r="L15" s="109">
        <f>'Table 1.3 complete'!G12</f>
        <v>0.02</v>
      </c>
      <c r="M15" s="109" t="str">
        <f>'Table 1.3 complete'!H12</f>
        <v>-</v>
      </c>
      <c r="N15" s="109">
        <f>'Table 1.3 complete'!I12</f>
        <v>0.03</v>
      </c>
      <c r="O15" s="109">
        <f>'Table 1.3 complete'!J12</f>
        <v>0.59</v>
      </c>
      <c r="P15" s="109">
        <f>'Table 1.3 complete'!K12</f>
        <v>0.02</v>
      </c>
      <c r="Q15" s="109" t="str">
        <f>'Table 1.3 complete'!L12</f>
        <v>-</v>
      </c>
      <c r="R15" s="109" t="str">
        <f>'Table 1.3 complete'!M12</f>
        <v>-</v>
      </c>
      <c r="S15" s="109">
        <f>'Table 1.3 complete'!N12</f>
        <v>0.01</v>
      </c>
      <c r="T15" s="149">
        <f>SUM(F15:S15)</f>
        <v>12.179999999999998</v>
      </c>
      <c r="U15" s="106">
        <f>T15-'Table 1.1 complete'!E12</f>
        <v>-2.000000000000135E-2</v>
      </c>
      <c r="V15" s="113">
        <f>T15-'Table 1.2 complete'!K12</f>
        <v>-1.0000000000001563E-2</v>
      </c>
      <c r="W15" s="106">
        <f>'Table 1.2 complete'!K12-'Table 1.1 complete'!E12</f>
        <v>-9.9999999999997868E-3</v>
      </c>
    </row>
    <row r="16" spans="1:23" x14ac:dyDescent="0.25">
      <c r="A16" s="346"/>
      <c r="B16" s="261" t="str">
        <f>'Table 1.2 complete'!A13</f>
        <v>Finland</v>
      </c>
      <c r="C16" s="262">
        <f>'Table 1.2 complete'!B13</f>
        <v>10</v>
      </c>
      <c r="D16" s="261" t="s">
        <v>236</v>
      </c>
      <c r="E16" s="263">
        <v>5</v>
      </c>
      <c r="F16" s="109">
        <f>'Table 1.2 complete'!E13</f>
        <v>23.42</v>
      </c>
      <c r="G16" s="109">
        <f>'Table 1.2 complete'!F13</f>
        <v>14.18</v>
      </c>
      <c r="H16" s="109" t="str">
        <f>'Table 1.2 complete'!G13</f>
        <v>-</v>
      </c>
      <c r="I16" s="109">
        <f>'Table 1.2 complete'!H13</f>
        <v>0.57999999999999996</v>
      </c>
      <c r="J16" s="109">
        <f>'Table 1.3 complete'!E13</f>
        <v>13.96</v>
      </c>
      <c r="K16" s="109">
        <f>'Table 1.3 complete'!F13</f>
        <v>0.01</v>
      </c>
      <c r="L16" s="109">
        <f>'Table 1.3 complete'!G13</f>
        <v>7.4</v>
      </c>
      <c r="M16" s="109">
        <f>'Table 1.3 complete'!H13</f>
        <v>0.59</v>
      </c>
      <c r="N16" s="109">
        <f>'Table 1.3 complete'!I13</f>
        <v>0.47</v>
      </c>
      <c r="O16" s="109">
        <f>'Table 1.3 complete'!J13</f>
        <v>10.54</v>
      </c>
      <c r="P16" s="109">
        <f>'Table 1.3 complete'!K13</f>
        <v>9.66</v>
      </c>
      <c r="Q16" s="109">
        <f>'Table 1.3 complete'!L13</f>
        <v>0.04</v>
      </c>
      <c r="R16" s="109">
        <f>'Table 1.3 complete'!M13</f>
        <v>0.37</v>
      </c>
      <c r="S16" s="109">
        <f>'Table 1.3 complete'!N13</f>
        <v>0.03</v>
      </c>
      <c r="T16" s="149">
        <f>SUM(F16:S16)</f>
        <v>81.250000000000014</v>
      </c>
      <c r="U16" s="106">
        <f>T16-'Table 1.1 complete'!E13</f>
        <v>5.0000000000011369E-2</v>
      </c>
      <c r="V16" s="113">
        <f>T16-'Table 1.2 complete'!K13</f>
        <v>0</v>
      </c>
      <c r="W16" s="106">
        <f>'Table 1.2 complete'!K13-'Table 1.1 complete'!E13</f>
        <v>4.9999999999997158E-2</v>
      </c>
    </row>
    <row r="17" spans="1:23" x14ac:dyDescent="0.25">
      <c r="A17" s="346"/>
      <c r="B17" s="180" t="str">
        <f>'Table 1.2 complete'!A14</f>
        <v>Gibraltar</v>
      </c>
      <c r="C17" s="211">
        <f>'Table 1.2 complete'!B14</f>
        <v>119</v>
      </c>
      <c r="D17" s="180" t="s">
        <v>236</v>
      </c>
      <c r="E17" s="139">
        <v>5</v>
      </c>
      <c r="F17" s="109" t="str">
        <f>'Table 1.2 complete'!E14</f>
        <v>-</v>
      </c>
      <c r="G17" s="109" t="str">
        <f>'Table 1.2 complete'!F14</f>
        <v>-</v>
      </c>
      <c r="H17" s="109" t="str">
        <f>'Table 1.2 complete'!G14</f>
        <v>-</v>
      </c>
      <c r="I17" s="109" t="str">
        <f>'Table 1.2 complete'!H14</f>
        <v>-</v>
      </c>
      <c r="J17" s="109" t="str">
        <f>'Table 1.3 complete'!E14</f>
        <v>-</v>
      </c>
      <c r="K17" s="109" t="str">
        <f>'Table 1.3 complete'!F14</f>
        <v>-</v>
      </c>
      <c r="L17" s="109" t="str">
        <f>'Table 1.3 complete'!G14</f>
        <v>-</v>
      </c>
      <c r="M17" s="109" t="str">
        <f>'Table 1.3 complete'!H14</f>
        <v>-</v>
      </c>
      <c r="N17" s="109">
        <f>'Table 1.3 complete'!I14</f>
        <v>0.16</v>
      </c>
      <c r="O17" s="109" t="str">
        <f>'Table 1.3 complete'!J14</f>
        <v>-</v>
      </c>
      <c r="P17" s="109" t="str">
        <f>'Table 1.3 complete'!K14</f>
        <v>-</v>
      </c>
      <c r="Q17" s="109" t="str">
        <f>'Table 1.3 complete'!L14</f>
        <v>-</v>
      </c>
      <c r="R17" s="109" t="str">
        <f>'Table 1.3 complete'!M14</f>
        <v>-</v>
      </c>
      <c r="S17" s="109" t="str">
        <f>'Table 1.3 complete'!N14</f>
        <v>-</v>
      </c>
      <c r="T17" s="149">
        <f>SUM(F17:S17)</f>
        <v>0.16</v>
      </c>
      <c r="U17" s="106">
        <f>T17-'Table 1.1 complete'!E14</f>
        <v>-4.0000000000000008E-2</v>
      </c>
      <c r="V17" s="113">
        <f>T17-'Table 1.2 complete'!K14</f>
        <v>0</v>
      </c>
      <c r="W17" s="106">
        <f>'Table 1.2 complete'!K14-'Table 1.1 complete'!E14</f>
        <v>-4.0000000000000008E-2</v>
      </c>
    </row>
    <row r="18" spans="1:23" x14ac:dyDescent="0.25">
      <c r="A18" s="346"/>
      <c r="B18" s="180" t="str">
        <f>'Table 1.2 complete'!A15</f>
        <v>Ireland</v>
      </c>
      <c r="C18" s="211">
        <f>'Table 1.2 complete'!B15</f>
        <v>16</v>
      </c>
      <c r="D18" s="180" t="s">
        <v>236</v>
      </c>
      <c r="E18" s="139">
        <v>5</v>
      </c>
      <c r="F18" s="109" t="str">
        <f>'Table 1.2 complete'!E15</f>
        <v>-</v>
      </c>
      <c r="G18" s="109">
        <f>'Table 1.2 complete'!F15</f>
        <v>1.02</v>
      </c>
      <c r="H18" s="109" t="str">
        <f>'Table 1.2 complete'!G15</f>
        <v>-</v>
      </c>
      <c r="I18" s="109">
        <f>'Table 1.2 complete'!H15</f>
        <v>1.96</v>
      </c>
      <c r="J18" s="109">
        <f>'Table 1.3 complete'!E15</f>
        <v>5.5</v>
      </c>
      <c r="K18" s="109" t="str">
        <f>'Table 1.3 complete'!F15</f>
        <v>-</v>
      </c>
      <c r="L18" s="109">
        <f>'Table 1.3 complete'!G15</f>
        <v>2.17</v>
      </c>
      <c r="M18" s="109" t="str">
        <f>'Table 1.3 complete'!H15</f>
        <v>-</v>
      </c>
      <c r="N18" s="109">
        <f>'Table 1.3 complete'!I15</f>
        <v>1.98</v>
      </c>
      <c r="O18" s="109">
        <f>'Table 1.3 complete'!J15</f>
        <v>15.47</v>
      </c>
      <c r="P18" s="109">
        <f>'Table 1.3 complete'!K15</f>
        <v>0.01</v>
      </c>
      <c r="Q18" s="109" t="str">
        <f>'Table 1.3 complete'!L15</f>
        <v>-</v>
      </c>
      <c r="R18" s="109" t="str">
        <f>'Table 1.3 complete'!M15</f>
        <v>-</v>
      </c>
      <c r="S18" s="109">
        <f>'Table 1.3 complete'!N15</f>
        <v>0.12</v>
      </c>
      <c r="T18" s="149">
        <f>SUM(F18:S18)</f>
        <v>28.230000000000004</v>
      </c>
      <c r="U18" s="106">
        <f>T18-'Table 1.1 complete'!E15</f>
        <v>3.000000000000469E-2</v>
      </c>
      <c r="V18" s="113">
        <f>T18-'Table 1.2 complete'!K15</f>
        <v>0</v>
      </c>
      <c r="W18" s="106">
        <f>'Table 1.2 complete'!K15-'Table 1.1 complete'!E15</f>
        <v>3.0000000000001137E-2</v>
      </c>
    </row>
    <row r="19" spans="1:23" x14ac:dyDescent="0.25">
      <c r="A19" s="346"/>
      <c r="B19" s="180" t="str">
        <f>'Table 1.2 complete'!A16</f>
        <v>Latvia</v>
      </c>
      <c r="C19" s="211">
        <f>'Table 1.2 complete'!B16</f>
        <v>132</v>
      </c>
      <c r="D19" s="180" t="str">
        <f>'Table 1.2 complete'!C16</f>
        <v>EUN</v>
      </c>
      <c r="E19" s="139">
        <v>5</v>
      </c>
      <c r="F19" s="109" t="str">
        <f>'Table 1.2 complete'!E16</f>
        <v>-</v>
      </c>
      <c r="G19" s="109">
        <f>'Table 1.2 complete'!F16</f>
        <v>2.73</v>
      </c>
      <c r="H19" s="109" t="str">
        <f>'Table 1.2 complete'!G16</f>
        <v>-</v>
      </c>
      <c r="I19" s="109">
        <f>'Table 1.2 complete'!H16</f>
        <v>0.05</v>
      </c>
      <c r="J19" s="109">
        <f>'Table 1.3 complete'!E16</f>
        <v>0</v>
      </c>
      <c r="K19" s="109" t="str">
        <f>'Table 1.3 complete'!F16</f>
        <v>-</v>
      </c>
      <c r="L19" s="109" t="str">
        <f>'Table 1.3 complete'!G16</f>
        <v>-</v>
      </c>
      <c r="M19" s="109" t="str">
        <f>'Table 1.3 complete'!H16</f>
        <v>-</v>
      </c>
      <c r="N19" s="109">
        <f>'Table 1.3 complete'!I16</f>
        <v>0.02</v>
      </c>
      <c r="O19" s="109">
        <f>'Table 1.3 complete'!J16</f>
        <v>1.93</v>
      </c>
      <c r="P19" s="109">
        <f>'Table 1.3 complete'!K16</f>
        <v>0.01</v>
      </c>
      <c r="Q19" s="109" t="str">
        <f>'Table 1.3 complete'!L16</f>
        <v>-</v>
      </c>
      <c r="R19" s="109" t="str">
        <f>'Table 1.3 complete'!M16</f>
        <v>-</v>
      </c>
      <c r="S19" s="109">
        <f>'Table 1.3 complete'!N16</f>
        <v>0.04</v>
      </c>
      <c r="T19" s="149">
        <f>SUM(F19:S19)</f>
        <v>4.7799999999999994</v>
      </c>
      <c r="U19" s="106">
        <f>T19-'Table 1.1 complete'!E16</f>
        <v>-2.0000000000000462E-2</v>
      </c>
      <c r="V19" s="113">
        <f>T19-'Table 1.2 complete'!K16</f>
        <v>9.9999999999997868E-3</v>
      </c>
      <c r="W19" s="106">
        <f>'Table 1.2 complete'!K16-'Table 1.1 complete'!E16</f>
        <v>-3.0000000000000249E-2</v>
      </c>
    </row>
    <row r="20" spans="1:23" x14ac:dyDescent="0.25">
      <c r="A20" s="346"/>
      <c r="B20" s="180" t="str">
        <f>'Table 1.2 complete'!A17</f>
        <v>Lithuania</v>
      </c>
      <c r="C20" s="211">
        <f>'Table 1.2 complete'!B17</f>
        <v>133</v>
      </c>
      <c r="D20" s="180" t="s">
        <v>236</v>
      </c>
      <c r="E20" s="139">
        <v>5</v>
      </c>
      <c r="F20" s="109">
        <f>'Table 1.2 complete'!E17</f>
        <v>9.83</v>
      </c>
      <c r="G20" s="109">
        <f>'Table 1.2 complete'!F17</f>
        <v>0.96</v>
      </c>
      <c r="H20" s="109" t="str">
        <f>'Table 1.2 complete'!G17</f>
        <v>-</v>
      </c>
      <c r="I20" s="109">
        <f>'Table 1.2 complete'!H17</f>
        <v>0.34</v>
      </c>
      <c r="J20" s="109" t="str">
        <f>'Table 1.3 complete'!E17</f>
        <v>-</v>
      </c>
      <c r="K20" s="109" t="str">
        <f>'Table 1.3 complete'!F17</f>
        <v>-</v>
      </c>
      <c r="L20" s="109">
        <f>'Table 1.3 complete'!G17</f>
        <v>0.01</v>
      </c>
      <c r="M20" s="109" t="str">
        <f>'Table 1.3 complete'!H17</f>
        <v>-</v>
      </c>
      <c r="N20" s="109">
        <f>'Table 1.3 complete'!I17</f>
        <v>0.41</v>
      </c>
      <c r="O20" s="109">
        <f>'Table 1.3 complete'!J17</f>
        <v>2.41</v>
      </c>
      <c r="P20" s="109">
        <f>'Table 1.3 complete'!K17</f>
        <v>0.05</v>
      </c>
      <c r="Q20" s="109" t="str">
        <f>'Table 1.3 complete'!L17</f>
        <v>-</v>
      </c>
      <c r="R20" s="109" t="str">
        <f>'Table 1.3 complete'!M17</f>
        <v>-</v>
      </c>
      <c r="S20" s="109">
        <f>'Table 1.3 complete'!N17</f>
        <v>0.01</v>
      </c>
      <c r="T20" s="149">
        <f>SUM(F20:S20)</f>
        <v>14.02</v>
      </c>
      <c r="U20" s="106">
        <f>T20-'Table 1.1 complete'!E17</f>
        <v>1.9999999999999574E-2</v>
      </c>
      <c r="V20" s="113">
        <f>T20-'Table 1.2 complete'!K17</f>
        <v>9.9999999999997868E-3</v>
      </c>
      <c r="W20" s="106">
        <f>'Table 1.2 complete'!K17-'Table 1.1 complete'!E17</f>
        <v>9.9999999999997868E-3</v>
      </c>
    </row>
    <row r="21" spans="1:23" x14ac:dyDescent="0.25">
      <c r="A21" s="346"/>
      <c r="B21" s="180" t="str">
        <f>'Table 1.2 complete'!A18</f>
        <v>Luxembourg</v>
      </c>
      <c r="C21" s="211">
        <f>'Table 1.2 complete'!B18</f>
        <v>20</v>
      </c>
      <c r="D21" s="180" t="str">
        <f>'Table 1.2 complete'!C18</f>
        <v>EUN</v>
      </c>
      <c r="E21" s="139">
        <v>5</v>
      </c>
      <c r="F21" s="109" t="str">
        <f>'Table 1.2 complete'!E18</f>
        <v>-</v>
      </c>
      <c r="G21" s="109">
        <f>'Table 1.2 complete'!F18</f>
        <v>0.92</v>
      </c>
      <c r="H21" s="109" t="str">
        <f>'Table 1.2 complete'!G18</f>
        <v>-</v>
      </c>
      <c r="I21" s="109">
        <f>'Table 1.2 complete'!H18</f>
        <v>0.09</v>
      </c>
      <c r="J21" s="109" t="str">
        <f>'Table 1.3 complete'!E18</f>
        <v>-</v>
      </c>
      <c r="K21" s="109" t="str">
        <f>'Table 1.3 complete'!F18</f>
        <v>-</v>
      </c>
      <c r="L21" s="109" t="str">
        <f>'Table 1.3 complete'!G18</f>
        <v>-</v>
      </c>
      <c r="M21" s="109" t="str">
        <f>'Table 1.3 complete'!H18</f>
        <v>-</v>
      </c>
      <c r="N21" s="109" t="str">
        <f>'Table 1.3 complete'!I18</f>
        <v>-</v>
      </c>
      <c r="O21" s="109">
        <f>'Table 1.3 complete'!J18</f>
        <v>2.9</v>
      </c>
      <c r="P21" s="109" t="str">
        <f>'Table 1.3 complete'!K18</f>
        <v>-</v>
      </c>
      <c r="Q21" s="109" t="str">
        <f>'Table 1.3 complete'!L18</f>
        <v>-</v>
      </c>
      <c r="R21" s="109">
        <f>'Table 1.3 complete'!M18</f>
        <v>7.0000000000000007E-2</v>
      </c>
      <c r="S21" s="109">
        <f>'Table 1.3 complete'!N18</f>
        <v>0.04</v>
      </c>
      <c r="T21" s="149">
        <f>SUM(F21:S21)</f>
        <v>4.0199999999999996</v>
      </c>
      <c r="U21" s="106">
        <f>T21-'Table 1.1 complete'!E18</f>
        <v>1.9999999999999574E-2</v>
      </c>
      <c r="V21" s="113">
        <f>T21-'Table 1.2 complete'!K18</f>
        <v>1.9999999999999574E-2</v>
      </c>
      <c r="W21" s="106">
        <f>'Table 1.2 complete'!K18-'Table 1.1 complete'!E18</f>
        <v>0</v>
      </c>
    </row>
    <row r="22" spans="1:23" x14ac:dyDescent="0.25">
      <c r="A22" s="346"/>
      <c r="B22" s="180" t="str">
        <f>'Table 1.2 complete'!A19</f>
        <v>Netherlands</v>
      </c>
      <c r="C22" s="211">
        <f>'Table 1.2 complete'!B19</f>
        <v>22</v>
      </c>
      <c r="D22" s="180" t="s">
        <v>236</v>
      </c>
      <c r="E22" s="139">
        <v>5</v>
      </c>
      <c r="F22" s="109">
        <f>'Table 1.2 complete'!E19</f>
        <v>4.2</v>
      </c>
      <c r="G22" s="109">
        <f>'Table 1.2 complete'!F19</f>
        <v>0.11</v>
      </c>
      <c r="H22" s="109" t="str">
        <f>'Table 1.2 complete'!G19</f>
        <v>-</v>
      </c>
      <c r="I22" s="109">
        <f>'Table 1.2 complete'!H19</f>
        <v>3.65</v>
      </c>
      <c r="J22" s="109">
        <f>'Table 1.3 complete'!E19</f>
        <v>24.92</v>
      </c>
      <c r="K22" s="109" t="str">
        <f>'Table 1.3 complete'!F19</f>
        <v>-</v>
      </c>
      <c r="L22" s="109" t="str">
        <f>'Table 1.3 complete'!G19</f>
        <v>-</v>
      </c>
      <c r="M22" s="109">
        <f>'Table 1.3 complete'!H19</f>
        <v>3.55</v>
      </c>
      <c r="N22" s="109">
        <f>'Table 1.3 complete'!I19</f>
        <v>2.2200000000000002</v>
      </c>
      <c r="O22" s="109">
        <f>'Table 1.3 complete'!J19</f>
        <v>59.04</v>
      </c>
      <c r="P22" s="109">
        <f>'Table 1.3 complete'!K19</f>
        <v>1.97</v>
      </c>
      <c r="Q22" s="109" t="str">
        <f>'Table 1.3 complete'!L19</f>
        <v>-</v>
      </c>
      <c r="R22" s="109">
        <f>'Table 1.3 complete'!M19</f>
        <v>2.96</v>
      </c>
      <c r="S22" s="109">
        <f>'Table 1.3 complete'!N19</f>
        <v>0.64</v>
      </c>
      <c r="T22" s="149">
        <f>SUM(F22:S22)</f>
        <v>103.25999999999999</v>
      </c>
      <c r="U22" s="106">
        <f>T22-'Table 1.1 complete'!E19</f>
        <v>5.9999999999988063E-2</v>
      </c>
      <c r="V22" s="113">
        <f>T22-'Table 1.2 complete'!K19</f>
        <v>1.9999999999996021E-2</v>
      </c>
      <c r="W22" s="106">
        <f>'Table 1.2 complete'!K19-'Table 1.1 complete'!E19</f>
        <v>3.9999999999992042E-2</v>
      </c>
    </row>
    <row r="23" spans="1:23" x14ac:dyDescent="0.25">
      <c r="A23" s="346"/>
      <c r="B23" s="180" t="str">
        <f>'Table 1.2 complete'!A20</f>
        <v>Sweden</v>
      </c>
      <c r="C23" s="211">
        <f>'Table 1.2 complete'!B20</f>
        <v>29</v>
      </c>
      <c r="D23" s="180" t="s">
        <v>236</v>
      </c>
      <c r="E23" s="139">
        <v>5</v>
      </c>
      <c r="F23" s="109">
        <f>'Table 1.2 complete'!E20</f>
        <v>66.97</v>
      </c>
      <c r="G23" s="109">
        <f>'Table 1.2 complete'!F20</f>
        <v>66.19</v>
      </c>
      <c r="H23" s="109" t="str">
        <f>'Table 1.2 complete'!G20</f>
        <v>-</v>
      </c>
      <c r="I23" s="109">
        <f>'Table 1.2 complete'!H20</f>
        <v>1.43</v>
      </c>
      <c r="J23" s="109">
        <f>'Table 1.3 complete'!E20</f>
        <v>0.65</v>
      </c>
      <c r="K23" s="109" t="str">
        <f>'Table 1.3 complete'!F20</f>
        <v>-</v>
      </c>
      <c r="L23" s="109">
        <f>'Table 1.3 complete'!G20</f>
        <v>0.36</v>
      </c>
      <c r="M23" s="109">
        <f>'Table 1.3 complete'!H20</f>
        <v>0.7</v>
      </c>
      <c r="N23" s="109">
        <f>'Table 1.3 complete'!I20</f>
        <v>1.08</v>
      </c>
      <c r="O23" s="109">
        <f>'Table 1.3 complete'!J20</f>
        <v>0.82</v>
      </c>
      <c r="P23" s="109">
        <f>'Table 1.3 complete'!K20</f>
        <v>8.5</v>
      </c>
      <c r="Q23" s="109">
        <f>'Table 1.3 complete'!L20</f>
        <v>0.08</v>
      </c>
      <c r="R23" s="109">
        <f>'Table 1.3 complete'!M20</f>
        <v>1.85</v>
      </c>
      <c r="S23" s="109">
        <f>'Table 1.3 complete'!N20</f>
        <v>0.23</v>
      </c>
      <c r="T23" s="149">
        <f>SUM(F23:S23)</f>
        <v>148.86000000000001</v>
      </c>
      <c r="U23" s="106">
        <f>T23-'Table 1.1 complete'!E20</f>
        <v>6.0000000000002274E-2</v>
      </c>
      <c r="V23" s="113">
        <f>T23-'Table 1.2 complete'!K20</f>
        <v>1.0000000000019327E-2</v>
      </c>
      <c r="W23" s="106">
        <f>'Table 1.2 complete'!K20-'Table 1.1 complete'!E20</f>
        <v>4.9999999999982947E-2</v>
      </c>
    </row>
    <row r="24" spans="1:23" x14ac:dyDescent="0.25">
      <c r="A24" s="346"/>
      <c r="B24" s="180" t="str">
        <f>'Table 1.2 complete'!A21</f>
        <v>United Kingdom</v>
      </c>
      <c r="C24" s="211">
        <f>'Table 1.2 complete'!B21</f>
        <v>32</v>
      </c>
      <c r="D24" s="180" t="str">
        <f>'Table 1.2 complete'!C21</f>
        <v>EUN</v>
      </c>
      <c r="E24" s="139">
        <v>5</v>
      </c>
      <c r="F24" s="109">
        <f>'Table 1.2 complete'!E21</f>
        <v>63.03</v>
      </c>
      <c r="G24" s="109">
        <f>'Table 1.2 complete'!F21</f>
        <v>8.9499999999999993</v>
      </c>
      <c r="H24" s="109" t="str">
        <f>'Table 1.2 complete'!G21</f>
        <v>-</v>
      </c>
      <c r="I24" s="109">
        <f>'Table 1.2 complete'!H21</f>
        <v>5.29</v>
      </c>
      <c r="J24" s="109">
        <f>'Table 1.3 complete'!E21</f>
        <v>136.69</v>
      </c>
      <c r="K24" s="109" t="str">
        <f>'Table 1.3 complete'!F21</f>
        <v>-</v>
      </c>
      <c r="L24" s="109" t="str">
        <f>'Table 1.3 complete'!G21</f>
        <v>-</v>
      </c>
      <c r="M24" s="109">
        <f>'Table 1.3 complete'!H21</f>
        <v>1.64</v>
      </c>
      <c r="N24" s="109">
        <f>'Table 1.3 complete'!I21</f>
        <v>4.6900000000000004</v>
      </c>
      <c r="O24" s="109">
        <f>'Table 1.3 complete'!J21</f>
        <v>164.47</v>
      </c>
      <c r="P24" s="109">
        <f>'Table 1.3 complete'!K21</f>
        <v>2.92</v>
      </c>
      <c r="Q24" s="109">
        <f>'Table 1.3 complete'!L21</f>
        <v>1.4</v>
      </c>
      <c r="R24" s="109">
        <f>'Table 1.3 complete'!M21</f>
        <v>1.88</v>
      </c>
      <c r="S24" s="109">
        <f>'Table 1.3 complete'!N21</f>
        <v>5.19</v>
      </c>
      <c r="T24" s="149">
        <f>SUM(F24:S24)</f>
        <v>396.15</v>
      </c>
      <c r="U24" s="106">
        <f>T24-'Table 1.1 complete'!E21</f>
        <v>4.9999999999954525E-2</v>
      </c>
      <c r="V24" s="113">
        <f>T24-'Table 1.2 complete'!K21</f>
        <v>9.9999999999909051E-3</v>
      </c>
      <c r="W24" s="106">
        <f>'Table 1.2 complete'!K21-'Table 1.1 complete'!E21</f>
        <v>3.999999999996362E-2</v>
      </c>
    </row>
    <row r="25" spans="1:23" x14ac:dyDescent="0.25">
      <c r="A25" s="346"/>
      <c r="B25" s="164" t="str">
        <f>'Table 1.2 complete'!A22</f>
        <v>Croatia</v>
      </c>
      <c r="C25" s="194">
        <f>'Table 1.2 complete'!B22</f>
        <v>116</v>
      </c>
      <c r="D25" s="164" t="str">
        <f>'Table 1.2 complete'!C22</f>
        <v>EUS</v>
      </c>
      <c r="E25" s="124">
        <v>6</v>
      </c>
      <c r="F25" s="109" t="str">
        <f>'Table 1.2 complete'!E22</f>
        <v>-</v>
      </c>
      <c r="G25" s="109">
        <f>'Table 1.2 complete'!F22</f>
        <v>4.4000000000000004</v>
      </c>
      <c r="H25" s="109" t="str">
        <f>'Table 1.2 complete'!G22</f>
        <v>-</v>
      </c>
      <c r="I25" s="109">
        <f>'Table 1.2 complete'!H22</f>
        <v>0.04</v>
      </c>
      <c r="J25" s="109">
        <f>'Table 1.3 complete'!E22</f>
        <v>2.4</v>
      </c>
      <c r="K25" s="109">
        <f>'Table 1.3 complete'!F22</f>
        <v>0.02</v>
      </c>
      <c r="L25" s="109" t="str">
        <f>'Table 1.3 complete'!G22</f>
        <v>-</v>
      </c>
      <c r="M25" s="109" t="str">
        <f>'Table 1.3 complete'!H22</f>
        <v>-</v>
      </c>
      <c r="N25" s="109">
        <f>'Table 1.3 complete'!I22</f>
        <v>2.3199999999999998</v>
      </c>
      <c r="O25" s="109">
        <f>'Table 1.3 complete'!J22</f>
        <v>3.06</v>
      </c>
      <c r="P25" s="109">
        <f>'Table 1.3 complete'!K22</f>
        <v>0</v>
      </c>
      <c r="Q25" s="109" t="str">
        <f>'Table 1.3 complete'!L22</f>
        <v>-</v>
      </c>
      <c r="R25" s="109" t="str">
        <f>'Table 1.3 complete'!M22</f>
        <v>-</v>
      </c>
      <c r="S25" s="109">
        <f>'Table 1.3 complete'!N22</f>
        <v>0.01</v>
      </c>
      <c r="T25" s="149">
        <f>SUM(F25:S25)</f>
        <v>12.25</v>
      </c>
      <c r="U25" s="106">
        <f>T25-'Table 1.1 complete'!E22</f>
        <v>5.0000000000000711E-2</v>
      </c>
      <c r="V25" s="113">
        <f>T25-'Table 1.2 complete'!K22</f>
        <v>0</v>
      </c>
      <c r="W25" s="106">
        <f>'Table 1.2 complete'!K22-'Table 1.1 complete'!E22</f>
        <v>5.0000000000000711E-2</v>
      </c>
    </row>
    <row r="26" spans="1:23" x14ac:dyDescent="0.25">
      <c r="A26" s="346"/>
      <c r="B26" s="164" t="str">
        <f>'Table 1.2 complete'!A23</f>
        <v>Cyprus</v>
      </c>
      <c r="C26" s="194">
        <f>'Table 1.2 complete'!B23</f>
        <v>117</v>
      </c>
      <c r="D26" s="164" t="str">
        <f>'Table 1.2 complete'!C23</f>
        <v>EUS</v>
      </c>
      <c r="E26" s="124">
        <v>6</v>
      </c>
      <c r="F26" s="109" t="str">
        <f>'Table 1.2 complete'!E23</f>
        <v>-</v>
      </c>
      <c r="G26" s="109" t="str">
        <f>'Table 1.2 complete'!F23</f>
        <v>-</v>
      </c>
      <c r="H26" s="109" t="str">
        <f>'Table 1.2 complete'!G23</f>
        <v>-</v>
      </c>
      <c r="I26" s="109">
        <f>'Table 1.2 complete'!H23</f>
        <v>0</v>
      </c>
      <c r="J26" s="109" t="str">
        <f>'Table 1.3 complete'!E23</f>
        <v>-</v>
      </c>
      <c r="K26" s="109" t="str">
        <f>'Table 1.3 complete'!F23</f>
        <v>-</v>
      </c>
      <c r="L26" s="109" t="str">
        <f>'Table 1.3 complete'!G23</f>
        <v>-</v>
      </c>
      <c r="M26" s="109" t="str">
        <f>'Table 1.3 complete'!H23</f>
        <v>-</v>
      </c>
      <c r="N26" s="109">
        <f>'Table 1.3 complete'!I23</f>
        <v>4.87</v>
      </c>
      <c r="O26" s="109" t="str">
        <f>'Table 1.3 complete'!J23</f>
        <v>-</v>
      </c>
      <c r="P26" s="109" t="str">
        <f>'Table 1.3 complete'!K23</f>
        <v>-</v>
      </c>
      <c r="Q26" s="109" t="str">
        <f>'Table 1.3 complete'!L23</f>
        <v>-</v>
      </c>
      <c r="R26" s="109" t="str">
        <f>'Table 1.3 complete'!M23</f>
        <v>-</v>
      </c>
      <c r="S26" s="109" t="str">
        <f>'Table 1.3 complete'!N23</f>
        <v>-</v>
      </c>
      <c r="T26" s="149">
        <f>SUM(F26:S26)</f>
        <v>4.87</v>
      </c>
      <c r="U26" s="106">
        <f>T26-'Table 1.1 complete'!E23</f>
        <v>-3.0000000000000249E-2</v>
      </c>
      <c r="V26" s="113">
        <f>T26-'Table 1.2 complete'!K23</f>
        <v>0</v>
      </c>
      <c r="W26" s="106">
        <f>'Table 1.2 complete'!K23-'Table 1.1 complete'!E23</f>
        <v>-3.0000000000000249E-2</v>
      </c>
    </row>
    <row r="27" spans="1:23" x14ac:dyDescent="0.25">
      <c r="A27" s="346"/>
      <c r="B27" s="164" t="str">
        <f>'Table 1.2 complete'!A24</f>
        <v>Greece</v>
      </c>
      <c r="C27" s="194">
        <f>'Table 1.2 complete'!B24</f>
        <v>13</v>
      </c>
      <c r="D27" s="164" t="str">
        <f>'Table 1.2 complete'!C24</f>
        <v>EUS</v>
      </c>
      <c r="E27" s="124">
        <v>6</v>
      </c>
      <c r="F27" s="109" t="str">
        <f>'Table 1.2 complete'!E24</f>
        <v>-</v>
      </c>
      <c r="G27" s="109">
        <f>'Table 1.2 complete'!F24</f>
        <v>3.38</v>
      </c>
      <c r="H27" s="109" t="str">
        <f>'Table 1.2 complete'!G24</f>
        <v>-</v>
      </c>
      <c r="I27" s="109">
        <f>'Table 1.2 complete'!H24</f>
        <v>1.82</v>
      </c>
      <c r="J27" s="109" t="str">
        <f>'Table 1.3 complete'!E24</f>
        <v>-</v>
      </c>
      <c r="K27" s="109">
        <f>'Table 1.3 complete'!F24</f>
        <v>34.68</v>
      </c>
      <c r="L27" s="109" t="str">
        <f>'Table 1.3 complete'!G24</f>
        <v>-</v>
      </c>
      <c r="M27" s="109" t="str">
        <f>'Table 1.3 complete'!H24</f>
        <v>-</v>
      </c>
      <c r="N27" s="109">
        <f>'Table 1.3 complete'!I24</f>
        <v>9.64</v>
      </c>
      <c r="O27" s="109">
        <f>'Table 1.3 complete'!J24</f>
        <v>13.77</v>
      </c>
      <c r="P27" s="109" t="str">
        <f>'Table 1.3 complete'!K24</f>
        <v>-</v>
      </c>
      <c r="Q27" s="109">
        <f>'Table 1.3 complete'!L24</f>
        <v>0.03</v>
      </c>
      <c r="R27" s="109" t="str">
        <f>'Table 1.3 complete'!M24</f>
        <v>-</v>
      </c>
      <c r="S27" s="109">
        <f>'Table 1.3 complete'!N24</f>
        <v>0.18</v>
      </c>
      <c r="T27" s="149">
        <f>SUM(F27:S27)</f>
        <v>63.500000000000007</v>
      </c>
      <c r="U27" s="106">
        <f>T27-'Table 1.1 complete'!E24</f>
        <v>0</v>
      </c>
      <c r="V27" s="113">
        <f>T27-'Table 1.2 complete'!K24</f>
        <v>0</v>
      </c>
      <c r="W27" s="106">
        <f>'Table 1.2 complete'!K24-'Table 1.1 complete'!E24</f>
        <v>0</v>
      </c>
    </row>
    <row r="28" spans="1:23" x14ac:dyDescent="0.25">
      <c r="A28" s="346"/>
      <c r="B28" s="164" t="str">
        <f>'Table 1.2 complete'!A25</f>
        <v>Italy</v>
      </c>
      <c r="C28" s="194">
        <f>'Table 1.2 complete'!B25</f>
        <v>17</v>
      </c>
      <c r="D28" s="164" t="str">
        <f>'Table 1.2 complete'!C25</f>
        <v>EUS</v>
      </c>
      <c r="E28" s="124">
        <v>6</v>
      </c>
      <c r="F28" s="109" t="str">
        <f>'Table 1.2 complete'!E25</f>
        <v>-</v>
      </c>
      <c r="G28" s="109">
        <f>'Table 1.2 complete'!F25</f>
        <v>38.479999999999997</v>
      </c>
      <c r="H28" s="109">
        <f>'Table 1.2 complete'!G25</f>
        <v>5.57</v>
      </c>
      <c r="I28" s="109">
        <f>'Table 1.2 complete'!H25</f>
        <v>5.09</v>
      </c>
      <c r="J28" s="109">
        <f>'Table 1.3 complete'!E25</f>
        <v>44.11</v>
      </c>
      <c r="K28" s="109" t="str">
        <f>'Table 1.3 complete'!F25</f>
        <v>-</v>
      </c>
      <c r="L28" s="109" t="str">
        <f>'Table 1.3 complete'!G25</f>
        <v>-</v>
      </c>
      <c r="M28" s="109">
        <f>'Table 1.3 complete'!H25</f>
        <v>5.62</v>
      </c>
      <c r="N28" s="109">
        <f>'Table 1.3 complete'!I25</f>
        <v>35.409999999999997</v>
      </c>
      <c r="O28" s="109">
        <f>'Table 1.3 complete'!J25</f>
        <v>172.65</v>
      </c>
      <c r="P28" s="109">
        <f>'Table 1.3 complete'!K25</f>
        <v>2.2999999999999998</v>
      </c>
      <c r="Q28" s="109">
        <f>'Table 1.3 complete'!L25</f>
        <v>0.18</v>
      </c>
      <c r="R28" s="109">
        <f>'Table 1.3 complete'!M25</f>
        <v>3.02</v>
      </c>
      <c r="S28" s="109">
        <f>'Table 1.3 complete'!N25</f>
        <v>1.45</v>
      </c>
      <c r="T28" s="149">
        <f>SUM(F28:S28)</f>
        <v>313.88</v>
      </c>
      <c r="U28" s="106">
        <f>T28-'Table 1.1 complete'!E25</f>
        <v>-1.999999999998181E-2</v>
      </c>
      <c r="V28" s="113">
        <f>T28-'Table 1.2 complete'!K25</f>
        <v>-9.9999999999909051E-3</v>
      </c>
      <c r="W28" s="106">
        <f>'Table 1.2 complete'!K25-'Table 1.1 complete'!E25</f>
        <v>-9.9999999999909051E-3</v>
      </c>
    </row>
    <row r="29" spans="1:23" x14ac:dyDescent="0.25">
      <c r="A29" s="346"/>
      <c r="B29" s="164" t="str">
        <f>'Table 1.2 complete'!A26</f>
        <v>Malta</v>
      </c>
      <c r="C29" s="194">
        <f>'Table 1.2 complete'!B26</f>
        <v>120</v>
      </c>
      <c r="D29" s="164" t="str">
        <f>'Table 1.2 complete'!C26</f>
        <v>EUS</v>
      </c>
      <c r="E29" s="124">
        <v>6</v>
      </c>
      <c r="F29" s="109" t="str">
        <f>'Table 1.2 complete'!E26</f>
        <v>-</v>
      </c>
      <c r="G29" s="109" t="str">
        <f>'Table 1.2 complete'!F26</f>
        <v>-</v>
      </c>
      <c r="H29" s="109" t="str">
        <f>'Table 1.2 complete'!G26</f>
        <v>-</v>
      </c>
      <c r="I29" s="109" t="str">
        <f>'Table 1.2 complete'!H26</f>
        <v>-</v>
      </c>
      <c r="J29" s="109" t="str">
        <f>'Table 1.3 complete'!E26</f>
        <v>-</v>
      </c>
      <c r="K29" s="109" t="str">
        <f>'Table 1.3 complete'!F26</f>
        <v>-</v>
      </c>
      <c r="L29" s="109" t="str">
        <f>'Table 1.3 complete'!G26</f>
        <v>-</v>
      </c>
      <c r="M29" s="109" t="str">
        <f>'Table 1.3 complete'!H26</f>
        <v>-</v>
      </c>
      <c r="N29" s="109">
        <f>'Table 1.3 complete'!I26</f>
        <v>2.2999999999999998</v>
      </c>
      <c r="O29" s="109" t="str">
        <f>'Table 1.3 complete'!J26</f>
        <v>-</v>
      </c>
      <c r="P29" s="109" t="str">
        <f>'Table 1.3 complete'!K26</f>
        <v>-</v>
      </c>
      <c r="Q29" s="109" t="str">
        <f>'Table 1.3 complete'!L26</f>
        <v>-</v>
      </c>
      <c r="R29" s="109" t="str">
        <f>'Table 1.3 complete'!M26</f>
        <v>-</v>
      </c>
      <c r="S29" s="109" t="str">
        <f>'Table 1.3 complete'!N26</f>
        <v>-</v>
      </c>
      <c r="T29" s="149">
        <f>SUM(F29:S29)</f>
        <v>2.2999999999999998</v>
      </c>
      <c r="U29" s="106">
        <f>T29-'Table 1.1 complete'!E26</f>
        <v>0</v>
      </c>
      <c r="V29" s="113">
        <f>T29-'Table 1.2 complete'!K26</f>
        <v>0</v>
      </c>
      <c r="W29" s="106">
        <f>'Table 1.2 complete'!K26-'Table 1.1 complete'!E26</f>
        <v>0</v>
      </c>
    </row>
    <row r="30" spans="1:23" x14ac:dyDescent="0.25">
      <c r="A30" s="346"/>
      <c r="B30" s="164" t="str">
        <f>'Table 1.2 complete'!A27</f>
        <v>Portugal</v>
      </c>
      <c r="C30" s="194">
        <f>'Table 1.2 complete'!B27</f>
        <v>26</v>
      </c>
      <c r="D30" s="164" t="str">
        <f>'Table 1.2 complete'!C27</f>
        <v>EUS</v>
      </c>
      <c r="E30" s="124">
        <v>6</v>
      </c>
      <c r="F30" s="109" t="str">
        <f>'Table 1.2 complete'!E27</f>
        <v>-</v>
      </c>
      <c r="G30" s="109">
        <f>'Table 1.2 complete'!F27</f>
        <v>10.45</v>
      </c>
      <c r="H30" s="109">
        <f>'Table 1.2 complete'!G27</f>
        <v>0.2</v>
      </c>
      <c r="I30" s="109">
        <f>'Table 1.2 complete'!H27</f>
        <v>4.0599999999999996</v>
      </c>
      <c r="J30" s="109">
        <f>'Table 1.3 complete'!E27</f>
        <v>12.4</v>
      </c>
      <c r="K30" s="109" t="str">
        <f>'Table 1.3 complete'!F27</f>
        <v>-</v>
      </c>
      <c r="L30" s="109" t="str">
        <f>'Table 1.3 complete'!G27</f>
        <v>-</v>
      </c>
      <c r="M30" s="109" t="str">
        <f>'Table 1.3 complete'!H27</f>
        <v>-</v>
      </c>
      <c r="N30" s="109">
        <f>'Table 1.3 complete'!I27</f>
        <v>4.87</v>
      </c>
      <c r="O30" s="109">
        <f>'Table 1.3 complete'!J27</f>
        <v>13.12</v>
      </c>
      <c r="P30" s="109">
        <f>'Table 1.3 complete'!K27</f>
        <v>1.53</v>
      </c>
      <c r="Q30" s="109">
        <f>'Table 1.3 complete'!L27</f>
        <v>0.01</v>
      </c>
      <c r="R30" s="109">
        <f>'Table 1.3 complete'!M27</f>
        <v>0.55000000000000004</v>
      </c>
      <c r="S30" s="109">
        <f>'Table 1.3 complete'!N27</f>
        <v>0.06</v>
      </c>
      <c r="T30" s="149">
        <f>SUM(F30:S30)</f>
        <v>47.25</v>
      </c>
      <c r="U30" s="106">
        <f>T30-'Table 1.1 complete'!E27</f>
        <v>-4.9999999999997158E-2</v>
      </c>
      <c r="V30" s="113">
        <f>T30-'Table 1.2 complete'!K27</f>
        <v>0</v>
      </c>
      <c r="W30" s="106">
        <f>'Table 1.2 complete'!K27-'Table 1.1 complete'!E27</f>
        <v>-4.9999999999997158E-2</v>
      </c>
    </row>
    <row r="31" spans="1:23" x14ac:dyDescent="0.25">
      <c r="A31" s="346"/>
      <c r="B31" s="164" t="str">
        <f>'Table 1.2 complete'!A28</f>
        <v>Slovenia</v>
      </c>
      <c r="C31" s="194">
        <f>'Table 1.2 complete'!B28</f>
        <v>123</v>
      </c>
      <c r="D31" s="164" t="str">
        <f>'Table 1.2 complete'!C28</f>
        <v>EUS</v>
      </c>
      <c r="E31" s="124">
        <v>6</v>
      </c>
      <c r="F31" s="109">
        <f>'Table 1.2 complete'!E28</f>
        <v>5.7</v>
      </c>
      <c r="G31" s="109">
        <f>'Table 1.2 complete'!F28</f>
        <v>3.27</v>
      </c>
      <c r="H31" s="109" t="str">
        <f>'Table 1.2 complete'!G28</f>
        <v>-</v>
      </c>
      <c r="I31" s="109" t="str">
        <f>'Table 1.2 complete'!H28</f>
        <v>-</v>
      </c>
      <c r="J31" s="109">
        <f>'Table 1.3 complete'!E28</f>
        <v>0.54</v>
      </c>
      <c r="K31" s="109">
        <f>'Table 1.3 complete'!F28</f>
        <v>4.9400000000000004</v>
      </c>
      <c r="L31" s="109" t="str">
        <f>'Table 1.3 complete'!G28</f>
        <v>-</v>
      </c>
      <c r="M31" s="109" t="str">
        <f>'Table 1.3 complete'!H28</f>
        <v>-</v>
      </c>
      <c r="N31" s="109">
        <f>'Table 1.3 complete'!I28</f>
        <v>0.03</v>
      </c>
      <c r="O31" s="109">
        <f>'Table 1.3 complete'!J28</f>
        <v>0.45</v>
      </c>
      <c r="P31" s="109">
        <f>'Table 1.3 complete'!K28</f>
        <v>0.06</v>
      </c>
      <c r="Q31" s="109">
        <f>'Table 1.3 complete'!L28</f>
        <v>0.01</v>
      </c>
      <c r="R31" s="109" t="str">
        <f>'Table 1.3 complete'!M28</f>
        <v>-</v>
      </c>
      <c r="S31" s="109">
        <f>'Table 1.3 complete'!N28</f>
        <v>0.05</v>
      </c>
      <c r="T31" s="149">
        <f>SUM(F31:S31)</f>
        <v>15.050000000000002</v>
      </c>
      <c r="U31" s="106">
        <f>T31-'Table 1.1 complete'!E28</f>
        <v>5.0000000000002487E-2</v>
      </c>
      <c r="V31" s="113">
        <f>T31-'Table 1.2 complete'!K28</f>
        <v>1.000000000000334E-2</v>
      </c>
      <c r="W31" s="106">
        <f>'Table 1.2 complete'!K28-'Table 1.1 complete'!E28</f>
        <v>3.9999999999999147E-2</v>
      </c>
    </row>
    <row r="32" spans="1:23" x14ac:dyDescent="0.25">
      <c r="A32" s="346"/>
      <c r="B32" s="164" t="str">
        <f>'Table 1.2 complete'!A29</f>
        <v>Spain</v>
      </c>
      <c r="C32" s="194">
        <f>'Table 1.2 complete'!B29</f>
        <v>28</v>
      </c>
      <c r="D32" s="164" t="s">
        <v>235</v>
      </c>
      <c r="E32" s="124">
        <v>6</v>
      </c>
      <c r="F32" s="109">
        <f>'Table 1.2 complete'!E29</f>
        <v>55.1</v>
      </c>
      <c r="G32" s="109">
        <f>'Table 1.2 complete'!F29</f>
        <v>30.81</v>
      </c>
      <c r="H32" s="109" t="str">
        <f>'Table 1.2 complete'!G29</f>
        <v>-</v>
      </c>
      <c r="I32" s="109">
        <f>'Table 1.2 complete'!H29</f>
        <v>28.34</v>
      </c>
      <c r="J32" s="109">
        <f>'Table 1.3 complete'!E29</f>
        <v>64.73</v>
      </c>
      <c r="K32" s="109">
        <f>'Table 1.3 complete'!F29</f>
        <v>8.3699999999999992</v>
      </c>
      <c r="L32" s="109" t="str">
        <f>'Table 1.3 complete'!G29</f>
        <v>-</v>
      </c>
      <c r="M32" s="109">
        <f>'Table 1.3 complete'!H29</f>
        <v>1.29</v>
      </c>
      <c r="N32" s="109">
        <f>'Table 1.3 complete'!I29</f>
        <v>18.510000000000002</v>
      </c>
      <c r="O32" s="109">
        <f>'Table 1.3 complete'!J29</f>
        <v>92.51</v>
      </c>
      <c r="P32" s="109">
        <f>'Table 1.3 complete'!K29</f>
        <v>1.55</v>
      </c>
      <c r="Q32" s="109" t="str">
        <f>'Table 1.3 complete'!L29</f>
        <v>-</v>
      </c>
      <c r="R32" s="109">
        <f>'Table 1.3 complete'!M29</f>
        <v>1.47</v>
      </c>
      <c r="S32" s="109">
        <f>'Table 1.3 complete'!N29</f>
        <v>0.61</v>
      </c>
      <c r="T32" s="149">
        <f>SUM(F32:S32)</f>
        <v>303.29000000000008</v>
      </c>
      <c r="U32" s="106">
        <f>T32-'Table 1.1 complete'!E29</f>
        <v>-9.9999999999340616E-3</v>
      </c>
      <c r="V32" s="113">
        <f>T32-'Table 1.2 complete'!K29</f>
        <v>0</v>
      </c>
      <c r="W32" s="106">
        <f>'Table 1.2 complete'!K29-'Table 1.1 complete'!E29</f>
        <v>-9.9999999999909051E-3</v>
      </c>
    </row>
    <row r="33" spans="1:23" x14ac:dyDescent="0.25">
      <c r="A33" s="346"/>
      <c r="B33" s="161" t="str">
        <f>'Table 1.2 complete'!A30</f>
        <v>Bulgaria</v>
      </c>
      <c r="C33" s="191">
        <f>'Table 1.2 complete'!B30</f>
        <v>115</v>
      </c>
      <c r="D33" s="161" t="str">
        <f>'Table 1.2 complete'!C30</f>
        <v>EUE</v>
      </c>
      <c r="E33" s="121">
        <v>7</v>
      </c>
      <c r="F33" s="109">
        <f>'Table 1.2 complete'!E30</f>
        <v>14.64</v>
      </c>
      <c r="G33" s="109">
        <f>'Table 1.2 complete'!F30</f>
        <v>3.23</v>
      </c>
      <c r="H33" s="109" t="str">
        <f>'Table 1.2 complete'!G30</f>
        <v>-</v>
      </c>
      <c r="I33" s="109">
        <f>'Table 1.2 complete'!H30</f>
        <v>0.05</v>
      </c>
      <c r="J33" s="109">
        <f>'Table 1.3 complete'!E30</f>
        <v>5.92</v>
      </c>
      <c r="K33" s="109">
        <f>'Table 1.3 complete'!F30</f>
        <v>16.45</v>
      </c>
      <c r="L33" s="109" t="str">
        <f>'Table 1.3 complete'!G30</f>
        <v>-</v>
      </c>
      <c r="M33" s="109">
        <f>'Table 1.3 complete'!H30</f>
        <v>0.1</v>
      </c>
      <c r="N33" s="109">
        <f>'Table 1.3 complete'!I30</f>
        <v>0.56999999999999995</v>
      </c>
      <c r="O33" s="109">
        <f>'Table 1.3 complete'!J30</f>
        <v>2.34</v>
      </c>
      <c r="P33" s="109" t="str">
        <f>'Table 1.3 complete'!K30</f>
        <v>-</v>
      </c>
      <c r="Q33" s="109">
        <f>'Table 1.3 complete'!L30</f>
        <v>0.01</v>
      </c>
      <c r="R33" s="109" t="str">
        <f>'Table 1.3 complete'!M30</f>
        <v>-</v>
      </c>
      <c r="S33" s="109" t="str">
        <f>'Table 1.3 complete'!N30</f>
        <v>-</v>
      </c>
      <c r="T33" s="149">
        <f>SUM(F33:S33)</f>
        <v>43.310000000000009</v>
      </c>
      <c r="U33" s="106">
        <f>T33-'Table 1.1 complete'!E30</f>
        <v>1.0000000000012221E-2</v>
      </c>
      <c r="V33" s="113">
        <f>T33-'Table 1.2 complete'!K30</f>
        <v>1.0000000000012221E-2</v>
      </c>
      <c r="W33" s="106">
        <f>'Table 1.2 complete'!K30-'Table 1.1 complete'!E30</f>
        <v>0</v>
      </c>
    </row>
    <row r="34" spans="1:23" x14ac:dyDescent="0.25">
      <c r="A34" s="346"/>
      <c r="B34" s="161" t="str">
        <f>'Table 1.2 complete'!A31</f>
        <v>Czech Republic</v>
      </c>
      <c r="C34" s="191">
        <f>'Table 1.2 complete'!B31</f>
        <v>8</v>
      </c>
      <c r="D34" s="161" t="str">
        <f>'Table 1.2 complete'!C31</f>
        <v>EUE</v>
      </c>
      <c r="E34" s="121">
        <v>7</v>
      </c>
      <c r="F34" s="109">
        <f>'Table 1.2 complete'!E31</f>
        <v>26.17</v>
      </c>
      <c r="G34" s="109">
        <f>'Table 1.2 complete'!F31</f>
        <v>2.52</v>
      </c>
      <c r="H34" s="109" t="str">
        <f>'Table 1.2 complete'!G31</f>
        <v>-</v>
      </c>
      <c r="I34" s="109">
        <f>'Table 1.2 complete'!H31</f>
        <v>0.13</v>
      </c>
      <c r="J34" s="109" t="str">
        <f>'Table 1.3 complete'!E31</f>
        <v>-</v>
      </c>
      <c r="K34" s="109">
        <f>'Table 1.3 complete'!F31</f>
        <v>53.79</v>
      </c>
      <c r="L34" s="109" t="str">
        <f>'Table 1.3 complete'!G31</f>
        <v>-</v>
      </c>
      <c r="M34" s="109">
        <f>'Table 1.3 complete'!H31</f>
        <v>1.0900000000000001</v>
      </c>
      <c r="N34" s="109">
        <f>'Table 1.3 complete'!I31</f>
        <v>0.12</v>
      </c>
      <c r="O34" s="109">
        <f>'Table 1.3 complete'!J31</f>
        <v>3.18</v>
      </c>
      <c r="P34" s="109">
        <f>'Table 1.3 complete'!K31</f>
        <v>0.97</v>
      </c>
      <c r="Q34" s="109" t="str">
        <f>'Table 1.3 complete'!L31</f>
        <v>-</v>
      </c>
      <c r="R34" s="109">
        <f>'Table 1.3 complete'!M31</f>
        <v>0.02</v>
      </c>
      <c r="S34" s="109">
        <f>'Table 1.3 complete'!N31</f>
        <v>0.22</v>
      </c>
      <c r="T34" s="149">
        <f>SUM(F34:S34)</f>
        <v>88.210000000000008</v>
      </c>
      <c r="U34" s="106">
        <f>T34-'Table 1.1 complete'!E31</f>
        <v>1.0000000000005116E-2</v>
      </c>
      <c r="V34" s="113">
        <f>T34-'Table 1.2 complete'!K31</f>
        <v>1.0000000000005116E-2</v>
      </c>
      <c r="W34" s="106">
        <f>'Table 1.2 complete'!K31-'Table 1.1 complete'!E31</f>
        <v>0</v>
      </c>
    </row>
    <row r="35" spans="1:23" x14ac:dyDescent="0.25">
      <c r="A35" s="346"/>
      <c r="B35" s="161" t="str">
        <f>'Table 1.2 complete'!A32</f>
        <v>Hungary</v>
      </c>
      <c r="C35" s="191">
        <f>'Table 1.2 complete'!B32</f>
        <v>14</v>
      </c>
      <c r="D35" s="161" t="str">
        <f>'Table 1.2 complete'!C32</f>
        <v>EUE</v>
      </c>
      <c r="E35" s="121">
        <v>7</v>
      </c>
      <c r="F35" s="109">
        <f>'Table 1.2 complete'!E32</f>
        <v>14.68</v>
      </c>
      <c r="G35" s="109">
        <f>'Table 1.2 complete'!F32</f>
        <v>0.21</v>
      </c>
      <c r="H35" s="109" t="str">
        <f>'Table 1.2 complete'!G32</f>
        <v>-</v>
      </c>
      <c r="I35" s="109">
        <f>'Table 1.2 complete'!H32</f>
        <v>0.11</v>
      </c>
      <c r="J35" s="109">
        <f>'Table 1.3 complete'!E32</f>
        <v>0.34</v>
      </c>
      <c r="K35" s="109">
        <f>'Table 1.3 complete'!F32</f>
        <v>7.04</v>
      </c>
      <c r="L35" s="109" t="str">
        <f>'Table 1.3 complete'!G32</f>
        <v>-</v>
      </c>
      <c r="M35" s="109">
        <f>'Table 1.3 complete'!H32</f>
        <v>0.11</v>
      </c>
      <c r="N35" s="109">
        <f>'Table 1.3 complete'!I32</f>
        <v>0.54</v>
      </c>
      <c r="O35" s="109">
        <f>'Table 1.3 complete'!J32</f>
        <v>15.23</v>
      </c>
      <c r="P35" s="109">
        <f>'Table 1.3 complete'!K32</f>
        <v>1.37</v>
      </c>
      <c r="Q35" s="109">
        <f>'Table 1.3 complete'!L32</f>
        <v>0.01</v>
      </c>
      <c r="R35" s="109">
        <f>'Table 1.3 complete'!M32</f>
        <v>0.28000000000000003</v>
      </c>
      <c r="S35" s="109">
        <f>'Table 1.3 complete'!N32</f>
        <v>0.05</v>
      </c>
      <c r="T35" s="149">
        <f>SUM(F35:S35)</f>
        <v>39.969999999999992</v>
      </c>
      <c r="U35" s="106">
        <f>T35-'Table 1.1 complete'!E32</f>
        <v>-3.0000000000008242E-2</v>
      </c>
      <c r="V35" s="113">
        <f>T35-'Table 1.2 complete'!K32</f>
        <v>9.9999999999909051E-3</v>
      </c>
      <c r="W35" s="106">
        <f>'Table 1.2 complete'!K32-'Table 1.1 complete'!E32</f>
        <v>-3.9999999999999147E-2</v>
      </c>
    </row>
    <row r="36" spans="1:23" x14ac:dyDescent="0.25">
      <c r="A36" s="346"/>
      <c r="B36" s="161" t="str">
        <f>'Table 1.2 complete'!A33</f>
        <v>Poland</v>
      </c>
      <c r="C36" s="191">
        <f>'Table 1.2 complete'!B33</f>
        <v>25</v>
      </c>
      <c r="D36" s="161" t="str">
        <f>'Table 1.2 complete'!C33</f>
        <v>EUE</v>
      </c>
      <c r="E36" s="121">
        <v>7</v>
      </c>
      <c r="F36" s="109" t="str">
        <f>'Table 1.2 complete'!E33</f>
        <v>-</v>
      </c>
      <c r="G36" s="109">
        <f>'Table 1.2 complete'!F33</f>
        <v>2.94</v>
      </c>
      <c r="H36" s="109" t="str">
        <f>'Table 1.2 complete'!G33</f>
        <v>-</v>
      </c>
      <c r="I36" s="109">
        <f>'Table 1.2 complete'!H33</f>
        <v>0.52</v>
      </c>
      <c r="J36" s="109">
        <f>'Table 1.3 complete'!E33</f>
        <v>90.81</v>
      </c>
      <c r="K36" s="109">
        <f>'Table 1.3 complete'!F33</f>
        <v>54.76</v>
      </c>
      <c r="L36" s="109" t="str">
        <f>'Table 1.3 complete'!G33</f>
        <v>-</v>
      </c>
      <c r="M36" s="109">
        <f>'Table 1.3 complete'!H33</f>
        <v>2.06</v>
      </c>
      <c r="N36" s="109">
        <f>'Table 1.3 complete'!I33</f>
        <v>2.2999999999999998</v>
      </c>
      <c r="O36" s="109">
        <f>'Table 1.3 complete'!J33</f>
        <v>3.06</v>
      </c>
      <c r="P36" s="109">
        <f>'Table 1.3 complete'!K33</f>
        <v>2.36</v>
      </c>
      <c r="Q36" s="109">
        <f>'Table 1.3 complete'!L33</f>
        <v>0.34</v>
      </c>
      <c r="R36" s="109" t="str">
        <f>'Table 1.3 complete'!M33</f>
        <v>-</v>
      </c>
      <c r="S36" s="109">
        <f>'Table 1.3 complete'!N33</f>
        <v>0.2</v>
      </c>
      <c r="T36" s="149">
        <f>SUM(F36:S36)</f>
        <v>159.35000000000002</v>
      </c>
      <c r="U36" s="106">
        <f>T36-'Table 1.1 complete'!E33</f>
        <v>5.0000000000011369E-2</v>
      </c>
      <c r="V36" s="113">
        <f>T36-'Table 1.2 complete'!K33</f>
        <v>0</v>
      </c>
      <c r="W36" s="106">
        <f>'Table 1.2 complete'!K33-'Table 1.1 complete'!E33</f>
        <v>4.9999999999982947E-2</v>
      </c>
    </row>
    <row r="37" spans="1:23" x14ac:dyDescent="0.25">
      <c r="A37" s="346"/>
      <c r="B37" s="161" t="str">
        <f>'Table 1.2 complete'!A34</f>
        <v>Romania</v>
      </c>
      <c r="C37" s="191">
        <f>'Table 1.2 complete'!B34</f>
        <v>121</v>
      </c>
      <c r="D37" s="161" t="str">
        <f>'Table 1.2 complete'!C34</f>
        <v>EUE</v>
      </c>
      <c r="E37" s="121">
        <v>7</v>
      </c>
      <c r="F37" s="109">
        <f>'Table 1.2 complete'!E34</f>
        <v>7.71</v>
      </c>
      <c r="G37" s="109">
        <f>'Table 1.2 complete'!F34</f>
        <v>15.97</v>
      </c>
      <c r="H37" s="109" t="str">
        <f>'Table 1.2 complete'!G34</f>
        <v>-</v>
      </c>
      <c r="I37" s="109">
        <f>'Table 1.2 complete'!H34</f>
        <v>0</v>
      </c>
      <c r="J37" s="109">
        <f>'Table 1.3 complete'!E34</f>
        <v>1.89</v>
      </c>
      <c r="K37" s="109">
        <f>'Table 1.3 complete'!F34</f>
        <v>23.21</v>
      </c>
      <c r="L37" s="109" t="str">
        <f>'Table 1.3 complete'!G34</f>
        <v>-</v>
      </c>
      <c r="M37" s="109">
        <f>'Table 1.3 complete'!H34</f>
        <v>0.21</v>
      </c>
      <c r="N37" s="109">
        <f>'Table 1.3 complete'!I34</f>
        <v>1.1000000000000001</v>
      </c>
      <c r="O37" s="109">
        <f>'Table 1.3 complete'!J34</f>
        <v>11.56</v>
      </c>
      <c r="P37" s="109">
        <f>'Table 1.3 complete'!K34</f>
        <v>0.03</v>
      </c>
      <c r="Q37" s="109" t="str">
        <f>'Table 1.3 complete'!L34</f>
        <v>-</v>
      </c>
      <c r="R37" s="109" t="str">
        <f>'Table 1.3 complete'!M34</f>
        <v>-</v>
      </c>
      <c r="S37" s="109">
        <f>'Table 1.3 complete'!N34</f>
        <v>0</v>
      </c>
      <c r="T37" s="149">
        <f>SUM(F37:S37)</f>
        <v>61.680000000000007</v>
      </c>
      <c r="U37" s="106">
        <f>T37-'Table 1.1 complete'!E34</f>
        <v>-1.9999999999996021E-2</v>
      </c>
      <c r="V37" s="113">
        <f>T37-'Table 1.2 complete'!K34</f>
        <v>1.0000000000005116E-2</v>
      </c>
      <c r="W37" s="106">
        <f>'Table 1.2 complete'!K34-'Table 1.1 complete'!E34</f>
        <v>-3.0000000000001137E-2</v>
      </c>
    </row>
    <row r="38" spans="1:23" x14ac:dyDescent="0.25">
      <c r="A38" s="346"/>
      <c r="B38" s="161" t="str">
        <f>'Table 1.2 complete'!A35</f>
        <v>Slovak Republic</v>
      </c>
      <c r="C38" s="191">
        <f>'Table 1.2 complete'!B35</f>
        <v>27</v>
      </c>
      <c r="D38" s="161" t="s">
        <v>233</v>
      </c>
      <c r="E38" s="121">
        <v>7</v>
      </c>
      <c r="F38" s="109">
        <f>'Table 1.2 complete'!E35</f>
        <v>15.33</v>
      </c>
      <c r="G38" s="109">
        <f>'Table 1.2 complete'!F35</f>
        <v>4.62</v>
      </c>
      <c r="H38" s="109" t="str">
        <f>'Table 1.2 complete'!G35</f>
        <v>-</v>
      </c>
      <c r="I38" s="109">
        <f>'Table 1.2 complete'!H35</f>
        <v>0.06</v>
      </c>
      <c r="J38" s="109">
        <f>'Table 1.3 complete'!E35</f>
        <v>2.89</v>
      </c>
      <c r="K38" s="109">
        <f>'Table 1.3 complete'!F35</f>
        <v>1.91</v>
      </c>
      <c r="L38" s="109" t="str">
        <f>'Table 1.3 complete'!G35</f>
        <v>-</v>
      </c>
      <c r="M38" s="109">
        <f>'Table 1.3 complete'!H35</f>
        <v>0.42</v>
      </c>
      <c r="N38" s="109">
        <f>'Table 1.3 complete'!I35</f>
        <v>0.71</v>
      </c>
      <c r="O38" s="109">
        <f>'Table 1.3 complete'!J35</f>
        <v>1.62</v>
      </c>
      <c r="P38" s="109">
        <f>'Table 1.3 complete'!K35</f>
        <v>0.44</v>
      </c>
      <c r="Q38" s="109">
        <f>'Table 1.3 complete'!L35</f>
        <v>0</v>
      </c>
      <c r="R38" s="109">
        <f>'Table 1.3 complete'!M35</f>
        <v>0.05</v>
      </c>
      <c r="S38" s="109">
        <f>'Table 1.3 complete'!N35</f>
        <v>0.01</v>
      </c>
      <c r="T38" s="149">
        <f>SUM(F38:S38)</f>
        <v>28.060000000000006</v>
      </c>
      <c r="U38" s="106">
        <f>T38-'Table 1.1 complete'!E35</f>
        <v>-3.9999999999995595E-2</v>
      </c>
      <c r="V38" s="113">
        <f>T38-'Table 1.2 complete'!K35</f>
        <v>0</v>
      </c>
      <c r="W38" s="106">
        <f>'Table 1.2 complete'!K35-'Table 1.1 complete'!E35</f>
        <v>-4.00000000000027E-2</v>
      </c>
    </row>
    <row r="39" spans="1:23" x14ac:dyDescent="0.25">
      <c r="A39" s="346"/>
      <c r="B39" s="170" t="str">
        <f>'Table 1.2 complete'!A36</f>
        <v>Australia</v>
      </c>
      <c r="C39" s="201">
        <f>'Table 1.2 complete'!B36</f>
        <v>4</v>
      </c>
      <c r="D39" s="170" t="s">
        <v>420</v>
      </c>
      <c r="E39" s="130">
        <v>8</v>
      </c>
      <c r="F39" s="109" t="str">
        <f>'Table 1.2 complete'!E36</f>
        <v>-</v>
      </c>
      <c r="G39" s="109">
        <f>'Table 1.2 complete'!F36</f>
        <v>14.72</v>
      </c>
      <c r="H39" s="109" t="str">
        <f>'Table 1.2 complete'!G36</f>
        <v>-</v>
      </c>
      <c r="I39" s="109">
        <f>'Table 1.2 complete'!H36</f>
        <v>2.62</v>
      </c>
      <c r="J39" s="109">
        <f>'Table 1.3 complete'!E36</f>
        <v>134.62</v>
      </c>
      <c r="K39" s="109">
        <f>'Table 1.3 complete'!F36</f>
        <v>57.5</v>
      </c>
      <c r="L39" s="109" t="str">
        <f>'Table 1.3 complete'!G36</f>
        <v>-</v>
      </c>
      <c r="M39" s="109">
        <f>'Table 1.3 complete'!H36</f>
        <v>2.12</v>
      </c>
      <c r="N39" s="109">
        <f>'Table 1.3 complete'!I36</f>
        <v>2.1800000000000002</v>
      </c>
      <c r="O39" s="109">
        <f>'Table 1.3 complete'!J36</f>
        <v>39.17</v>
      </c>
      <c r="P39" s="109">
        <f>'Table 1.3 complete'!K36</f>
        <v>1.1000000000000001</v>
      </c>
      <c r="Q39" s="109" t="str">
        <f>'Table 1.3 complete'!L36</f>
        <v>-</v>
      </c>
      <c r="R39" s="109" t="str">
        <f>'Table 1.3 complete'!M36</f>
        <v>-</v>
      </c>
      <c r="S39" s="109">
        <f>'Table 1.3 complete'!N36</f>
        <v>0.93</v>
      </c>
      <c r="T39" s="149">
        <f>SUM(F39:S39)</f>
        <v>254.96</v>
      </c>
      <c r="U39" s="106">
        <f>T39-'Table 1.1 complete'!E36</f>
        <v>-3.9999999999992042E-2</v>
      </c>
      <c r="V39" s="113">
        <f>T39-'Table 1.2 complete'!K36</f>
        <v>-9.9999999999909051E-3</v>
      </c>
      <c r="W39" s="106">
        <f>'Table 1.2 complete'!K36-'Table 1.1 complete'!E36</f>
        <v>-3.0000000000001137E-2</v>
      </c>
    </row>
    <row r="40" spans="1:23" x14ac:dyDescent="0.25">
      <c r="A40" s="346"/>
      <c r="B40" s="170" t="str">
        <f>'Table 1.2 complete'!A37</f>
        <v>Canada</v>
      </c>
      <c r="C40" s="201">
        <f>'Table 1.2 complete'!B37</f>
        <v>7</v>
      </c>
      <c r="D40" s="170" t="s">
        <v>420</v>
      </c>
      <c r="E40" s="130">
        <v>8</v>
      </c>
      <c r="F40" s="109">
        <f>'Table 1.2 complete'!E37</f>
        <v>93.49</v>
      </c>
      <c r="G40" s="109">
        <f>'Table 1.2 complete'!F37</f>
        <v>368.52</v>
      </c>
      <c r="H40" s="109" t="str">
        <f>'Table 1.2 complete'!G37</f>
        <v>-</v>
      </c>
      <c r="I40" s="109">
        <f>'Table 1.2 complete'!H37</f>
        <v>3.08</v>
      </c>
      <c r="J40" s="109">
        <f>'Table 1.3 complete'!E37</f>
        <v>45.89</v>
      </c>
      <c r="K40" s="109">
        <f>'Table 1.3 complete'!F37</f>
        <v>69.75</v>
      </c>
      <c r="L40" s="109" t="str">
        <f>'Table 1.3 complete'!G37</f>
        <v>-</v>
      </c>
      <c r="M40" s="109">
        <f>'Table 1.3 complete'!H37</f>
        <v>0.11</v>
      </c>
      <c r="N40" s="109">
        <f>'Table 1.3 complete'!I37</f>
        <v>9.85</v>
      </c>
      <c r="O40" s="109">
        <f>'Table 1.3 complete'!J37</f>
        <v>40.700000000000003</v>
      </c>
      <c r="P40" s="109">
        <f>'Table 1.3 complete'!K37</f>
        <v>7.53</v>
      </c>
      <c r="Q40" s="109" t="str">
        <f>'Table 1.3 complete'!L37</f>
        <v>-</v>
      </c>
      <c r="R40" s="109">
        <f>'Table 1.3 complete'!M37</f>
        <v>0.16</v>
      </c>
      <c r="S40" s="109">
        <f>'Table 1.3 complete'!N37</f>
        <v>0.77</v>
      </c>
      <c r="T40" s="149">
        <f>SUM(F40:S40)</f>
        <v>639.85</v>
      </c>
      <c r="U40" s="106">
        <f>T40-'Table 1.1 complete'!E37</f>
        <v>5.0000000000068212E-2</v>
      </c>
      <c r="V40" s="113">
        <f>T40-'Table 1.2 complete'!K37</f>
        <v>9.9999999999909051E-3</v>
      </c>
      <c r="W40" s="106">
        <f>'Table 1.2 complete'!K37-'Table 1.1 complete'!E37</f>
        <v>4.0000000000077307E-2</v>
      </c>
    </row>
    <row r="41" spans="1:23" x14ac:dyDescent="0.25">
      <c r="A41" s="346"/>
      <c r="B41" s="170" t="str">
        <f>'Table 1.2 complete'!A38</f>
        <v>Iceland</v>
      </c>
      <c r="C41" s="201">
        <f>'Table 1.2 complete'!B38</f>
        <v>15</v>
      </c>
      <c r="D41" s="170" t="str">
        <f>'Table 1.2 complete'!C38</f>
        <v>OEC</v>
      </c>
      <c r="E41" s="130">
        <v>8</v>
      </c>
      <c r="F41" s="109" t="str">
        <f>'Table 1.2 complete'!E38</f>
        <v>-</v>
      </c>
      <c r="G41" s="109">
        <f>'Table 1.2 complete'!F38</f>
        <v>8.39</v>
      </c>
      <c r="H41" s="109">
        <f>'Table 1.2 complete'!G38</f>
        <v>3.58</v>
      </c>
      <c r="I41" s="109" t="str">
        <f>'Table 1.2 complete'!H38</f>
        <v>-</v>
      </c>
      <c r="J41" s="109" t="str">
        <f>'Table 1.3 complete'!E38</f>
        <v>-</v>
      </c>
      <c r="K41" s="109" t="str">
        <f>'Table 1.3 complete'!F38</f>
        <v>-</v>
      </c>
      <c r="L41" s="109" t="str">
        <f>'Table 1.3 complete'!G38</f>
        <v>-</v>
      </c>
      <c r="M41" s="109" t="str">
        <f>'Table 1.3 complete'!H38</f>
        <v>-</v>
      </c>
      <c r="N41" s="109">
        <f>'Table 1.3 complete'!I38</f>
        <v>0</v>
      </c>
      <c r="O41" s="109" t="str">
        <f>'Table 1.3 complete'!J38</f>
        <v>-</v>
      </c>
      <c r="P41" s="109" t="str">
        <f>'Table 1.3 complete'!K38</f>
        <v>-</v>
      </c>
      <c r="Q41" s="109" t="str">
        <f>'Table 1.3 complete'!L38</f>
        <v>-</v>
      </c>
      <c r="R41" s="109">
        <f>'Table 1.3 complete'!M38</f>
        <v>0</v>
      </c>
      <c r="S41" s="109" t="str">
        <f>'Table 1.3 complete'!N38</f>
        <v>-</v>
      </c>
      <c r="T41" s="149">
        <f>SUM(F41:S41)</f>
        <v>11.97</v>
      </c>
      <c r="U41" s="106">
        <f>T41-'Table 1.1 complete'!E38</f>
        <v>-2.9999999999999361E-2</v>
      </c>
      <c r="V41" s="113">
        <f>T41-'Table 1.2 complete'!K38</f>
        <v>-9.9999999999997868E-3</v>
      </c>
      <c r="W41" s="106">
        <f>'Table 1.2 complete'!K38-'Table 1.1 complete'!E38</f>
        <v>-1.9999999999999574E-2</v>
      </c>
    </row>
    <row r="42" spans="1:23" x14ac:dyDescent="0.25">
      <c r="A42" s="346"/>
      <c r="B42" s="170" t="str">
        <f>'Table 1.2 complete'!A39</f>
        <v>Japan</v>
      </c>
      <c r="C42" s="201">
        <f>'Table 1.2 complete'!B39</f>
        <v>18</v>
      </c>
      <c r="D42" s="170" t="str">
        <f>'Table 1.2 complete'!C39</f>
        <v>OEC</v>
      </c>
      <c r="E42" s="130">
        <v>8</v>
      </c>
      <c r="F42" s="109">
        <f>'Table 1.2 complete'!E39</f>
        <v>263.83</v>
      </c>
      <c r="G42" s="109">
        <f>'Table 1.2 complete'!F39</f>
        <v>84.23</v>
      </c>
      <c r="H42" s="109">
        <f>'Table 1.2 complete'!G39</f>
        <v>3.04</v>
      </c>
      <c r="I42" s="109">
        <f>'Table 1.2 complete'!H39</f>
        <v>2.63</v>
      </c>
      <c r="J42" s="109">
        <f>'Table 1.3 complete'!E39</f>
        <v>272.27</v>
      </c>
      <c r="K42" s="109" t="str">
        <f>'Table 1.3 complete'!F39</f>
        <v>-</v>
      </c>
      <c r="L42" s="109" t="str">
        <f>'Table 1.3 complete'!G39</f>
        <v>-</v>
      </c>
      <c r="M42" s="109">
        <f>'Table 1.3 complete'!H39</f>
        <v>38.53</v>
      </c>
      <c r="N42" s="109">
        <f>'Table 1.3 complete'!I39</f>
        <v>156.28</v>
      </c>
      <c r="O42" s="109">
        <f>'Table 1.3 complete'!J39</f>
        <v>289.88</v>
      </c>
      <c r="P42" s="109">
        <f>'Table 1.3 complete'!K39</f>
        <v>15.76</v>
      </c>
      <c r="Q42" s="109">
        <f>'Table 1.3 complete'!L39</f>
        <v>0.43</v>
      </c>
      <c r="R42" s="109">
        <f>'Table 1.3 complete'!M39</f>
        <v>6.84</v>
      </c>
      <c r="S42" s="109" t="str">
        <f>'Table 1.3 complete'!N39</f>
        <v>-</v>
      </c>
      <c r="T42" s="149">
        <f>SUM(F42:S42)</f>
        <v>1133.72</v>
      </c>
      <c r="U42" s="106">
        <f>T42-'Table 1.1 complete'!E39</f>
        <v>1.999999999998181E-2</v>
      </c>
      <c r="V42" s="113">
        <f>T42-'Table 1.2 complete'!K39</f>
        <v>9.9999999999909051E-3</v>
      </c>
      <c r="W42" s="106">
        <f>'Table 1.2 complete'!K39-'Table 1.1 complete'!E39</f>
        <v>9.9999999999909051E-3</v>
      </c>
    </row>
    <row r="43" spans="1:23" x14ac:dyDescent="0.25">
      <c r="A43" s="346"/>
      <c r="B43" s="170" t="str">
        <f>'Table 1.2 complete'!A40</f>
        <v>Korea</v>
      </c>
      <c r="C43" s="201">
        <f>'Table 1.2 complete'!B40</f>
        <v>19</v>
      </c>
      <c r="D43" s="170" t="str">
        <f>'Table 1.2 complete'!C40</f>
        <v>OEC</v>
      </c>
      <c r="E43" s="130">
        <v>8</v>
      </c>
      <c r="F43" s="109">
        <f>'Table 1.2 complete'!E40</f>
        <v>142.94</v>
      </c>
      <c r="G43" s="109">
        <f>'Table 1.2 complete'!F40</f>
        <v>5.04</v>
      </c>
      <c r="H43" s="109" t="str">
        <f>'Table 1.2 complete'!G40</f>
        <v>-</v>
      </c>
      <c r="I43" s="109">
        <f>'Table 1.2 complete'!H40</f>
        <v>0.52</v>
      </c>
      <c r="J43" s="109">
        <f>'Table 1.3 complete'!E40</f>
        <v>157.75</v>
      </c>
      <c r="K43" s="109" t="str">
        <f>'Table 1.3 complete'!F40</f>
        <v>-</v>
      </c>
      <c r="L43" s="109" t="str">
        <f>'Table 1.3 complete'!G40</f>
        <v>-</v>
      </c>
      <c r="M43" s="109">
        <f>'Table 1.3 complete'!H40</f>
        <v>12.96</v>
      </c>
      <c r="N43" s="109">
        <f>'Table 1.3 complete'!I40</f>
        <v>25.18</v>
      </c>
      <c r="O43" s="109">
        <f>'Table 1.3 complete'!J40</f>
        <v>82.36</v>
      </c>
      <c r="P43" s="109">
        <f>'Table 1.3 complete'!K40</f>
        <v>0.03</v>
      </c>
      <c r="Q43" s="109">
        <f>'Table 1.3 complete'!L40</f>
        <v>0.01</v>
      </c>
      <c r="R43" s="109">
        <f>'Table 1.3 complete'!M40</f>
        <v>0.2</v>
      </c>
      <c r="S43" s="109">
        <f>'Table 1.3 complete'!N40</f>
        <v>0.34</v>
      </c>
      <c r="T43" s="149">
        <f>SUM(F43:S43)</f>
        <v>427.32999999999993</v>
      </c>
      <c r="U43" s="106">
        <f>T43-'Table 1.1 complete'!E40</f>
        <v>2.9999999999915872E-2</v>
      </c>
      <c r="V43" s="113">
        <f>T43-'Table 1.2 complete'!K40</f>
        <v>9.9999999999340616E-3</v>
      </c>
      <c r="W43" s="106">
        <f>'Table 1.2 complete'!K40-'Table 1.1 complete'!E40</f>
        <v>1.999999999998181E-2</v>
      </c>
    </row>
    <row r="44" spans="1:23" x14ac:dyDescent="0.25">
      <c r="A44" s="346"/>
      <c r="B44" s="170" t="str">
        <f>'Table 1.2 complete'!A41</f>
        <v>Mexico</v>
      </c>
      <c r="C44" s="201">
        <f>'Table 1.2 complete'!B41</f>
        <v>21</v>
      </c>
      <c r="D44" s="170" t="str">
        <f>'Table 1.2 complete'!C41</f>
        <v>OEC</v>
      </c>
      <c r="E44" s="130">
        <v>8</v>
      </c>
      <c r="F44" s="109">
        <f>'Table 1.2 complete'!E41</f>
        <v>10.42</v>
      </c>
      <c r="G44" s="109">
        <f>'Table 1.2 complete'!F41</f>
        <v>27.28</v>
      </c>
      <c r="H44" s="109">
        <f>'Table 1.2 complete'!G41</f>
        <v>7.4</v>
      </c>
      <c r="I44" s="109">
        <f>'Table 1.2 complete'!H41</f>
        <v>0.27</v>
      </c>
      <c r="J44" s="109">
        <f>'Table 1.3 complete'!E41</f>
        <v>31.33</v>
      </c>
      <c r="K44" s="109" t="str">
        <f>'Table 1.3 complete'!F41</f>
        <v>-</v>
      </c>
      <c r="L44" s="109" t="str">
        <f>'Table 1.3 complete'!G41</f>
        <v>-</v>
      </c>
      <c r="M44" s="109">
        <f>'Table 1.3 complete'!H41</f>
        <v>0.23</v>
      </c>
      <c r="N44" s="109">
        <f>'Table 1.3 complete'!I41</f>
        <v>52.26</v>
      </c>
      <c r="O44" s="109">
        <f>'Table 1.3 complete'!J41</f>
        <v>125.61</v>
      </c>
      <c r="P44" s="109">
        <f>'Table 1.3 complete'!K41</f>
        <v>2.62</v>
      </c>
      <c r="Q44" s="109" t="str">
        <f>'Table 1.3 complete'!L41</f>
        <v>-</v>
      </c>
      <c r="R44" s="109" t="str">
        <f>'Table 1.3 complete'!M41</f>
        <v>-</v>
      </c>
      <c r="S44" s="109">
        <f>'Table 1.3 complete'!N41</f>
        <v>0.03</v>
      </c>
      <c r="T44" s="149">
        <f>SUM(F44:S44)</f>
        <v>257.45</v>
      </c>
      <c r="U44" s="106">
        <f>T44-'Table 1.1 complete'!E41</f>
        <v>-5.0000000000011369E-2</v>
      </c>
      <c r="V44" s="113">
        <f>T44-'Table 1.2 complete'!K41</f>
        <v>-9.9999999999909051E-3</v>
      </c>
      <c r="W44" s="106">
        <f>'Table 1.2 complete'!K41-'Table 1.1 complete'!E41</f>
        <v>-4.0000000000020464E-2</v>
      </c>
    </row>
    <row r="45" spans="1:23" x14ac:dyDescent="0.25">
      <c r="A45" s="346"/>
      <c r="B45" s="170" t="str">
        <f>'Table 1.2 complete'!A42</f>
        <v>New Zealand</v>
      </c>
      <c r="C45" s="201">
        <f>'Table 1.2 complete'!B42</f>
        <v>23</v>
      </c>
      <c r="D45" s="170" t="str">
        <f>'Table 1.2 complete'!C42</f>
        <v>OEC</v>
      </c>
      <c r="E45" s="130">
        <v>8</v>
      </c>
      <c r="F45" s="109" t="str">
        <f>'Table 1.2 complete'!E42</f>
        <v>-</v>
      </c>
      <c r="G45" s="109">
        <f>'Table 1.2 complete'!F42</f>
        <v>23.52</v>
      </c>
      <c r="H45" s="109">
        <f>'Table 1.2 complete'!G42</f>
        <v>3.46</v>
      </c>
      <c r="I45" s="109">
        <f>'Table 1.2 complete'!H42</f>
        <v>0.98</v>
      </c>
      <c r="J45" s="109">
        <f>'Table 1.3 complete'!E42</f>
        <v>2.58</v>
      </c>
      <c r="K45" s="109" t="str">
        <f>'Table 1.3 complete'!F42</f>
        <v>-</v>
      </c>
      <c r="L45" s="109" t="str">
        <f>'Table 1.3 complete'!G42</f>
        <v>-</v>
      </c>
      <c r="M45" s="109">
        <f>'Table 1.3 complete'!H42</f>
        <v>0.55000000000000004</v>
      </c>
      <c r="N45" s="109">
        <f>'Table 1.3 complete'!I42</f>
        <v>0</v>
      </c>
      <c r="O45" s="109">
        <f>'Table 1.3 complete'!J42</f>
        <v>11.98</v>
      </c>
      <c r="P45" s="109">
        <f>'Table 1.3 complete'!K42</f>
        <v>0.56999999999999995</v>
      </c>
      <c r="Q45" s="109" t="str">
        <f>'Table 1.3 complete'!L42</f>
        <v>-</v>
      </c>
      <c r="R45" s="109" t="str">
        <f>'Table 1.3 complete'!M42</f>
        <v>-</v>
      </c>
      <c r="S45" s="109">
        <f>'Table 1.3 complete'!N42</f>
        <v>0.21</v>
      </c>
      <c r="T45" s="149">
        <f>SUM(F45:S45)</f>
        <v>43.85</v>
      </c>
      <c r="U45" s="106">
        <f>T45-'Table 1.1 complete'!E42</f>
        <v>5.0000000000004263E-2</v>
      </c>
      <c r="V45" s="113">
        <f>T45-'Table 1.2 complete'!K42</f>
        <v>0</v>
      </c>
      <c r="W45" s="106">
        <f>'Table 1.2 complete'!K42-'Table 1.1 complete'!E42</f>
        <v>5.0000000000004263E-2</v>
      </c>
    </row>
    <row r="46" spans="1:23" x14ac:dyDescent="0.25">
      <c r="A46" s="346"/>
      <c r="B46" s="170" t="str">
        <f>'Table 1.2 complete'!A43</f>
        <v>Norway</v>
      </c>
      <c r="C46" s="201">
        <f>'Table 1.2 complete'!B43</f>
        <v>24</v>
      </c>
      <c r="D46" s="170" t="str">
        <f>'Table 1.2 complete'!C43</f>
        <v>OEC</v>
      </c>
      <c r="E46" s="130">
        <v>8</v>
      </c>
      <c r="F46" s="109" t="str">
        <f>'Table 1.2 complete'!E43</f>
        <v>-</v>
      </c>
      <c r="G46" s="109">
        <f>'Table 1.2 complete'!F43</f>
        <v>135.05000000000001</v>
      </c>
      <c r="H46" s="109" t="str">
        <f>'Table 1.2 complete'!G43</f>
        <v>-</v>
      </c>
      <c r="I46" s="109">
        <f>'Table 1.2 complete'!H43</f>
        <v>1.08</v>
      </c>
      <c r="J46" s="109">
        <f>'Table 1.3 complete'!E43</f>
        <v>0.05</v>
      </c>
      <c r="K46" s="109" t="str">
        <f>'Table 1.3 complete'!F43</f>
        <v>-</v>
      </c>
      <c r="L46" s="109" t="str">
        <f>'Table 1.3 complete'!G43</f>
        <v>-</v>
      </c>
      <c r="M46" s="109">
        <f>'Table 1.3 complete'!H43</f>
        <v>0.09</v>
      </c>
      <c r="N46" s="109">
        <f>'Table 1.3 complete'!I43</f>
        <v>0.03</v>
      </c>
      <c r="O46" s="109">
        <f>'Table 1.3 complete'!J43</f>
        <v>0.73</v>
      </c>
      <c r="P46" s="109">
        <f>'Table 1.3 complete'!K43</f>
        <v>0.32</v>
      </c>
      <c r="Q46" s="109">
        <f>'Table 1.3 complete'!L43</f>
        <v>0.01</v>
      </c>
      <c r="R46" s="109">
        <f>'Table 1.3 complete'!M43</f>
        <v>0.12</v>
      </c>
      <c r="S46" s="109" t="str">
        <f>'Table 1.3 complete'!N43</f>
        <v>-</v>
      </c>
      <c r="T46" s="149">
        <f>SUM(F46:S46)</f>
        <v>137.48000000000002</v>
      </c>
      <c r="U46" s="106">
        <f>T46-'Table 1.1 complete'!E43</f>
        <v>-1.999999999998181E-2</v>
      </c>
      <c r="V46" s="113">
        <f>T46-'Table 1.2 complete'!K43</f>
        <v>1.0000000000019327E-2</v>
      </c>
      <c r="W46" s="106">
        <f>'Table 1.2 complete'!K43-'Table 1.1 complete'!E43</f>
        <v>-3.0000000000001137E-2</v>
      </c>
    </row>
    <row r="47" spans="1:23" x14ac:dyDescent="0.25">
      <c r="A47" s="346"/>
      <c r="B47" s="181" t="str">
        <f>'Table 1.2 complete'!A44</f>
        <v>United States</v>
      </c>
      <c r="C47" s="212">
        <f>'Table 1.2 complete'!B44</f>
        <v>33</v>
      </c>
      <c r="D47" s="181" t="str">
        <f>'Table 1.2 complete'!C44</f>
        <v>USA</v>
      </c>
      <c r="E47" s="140">
        <v>9</v>
      </c>
      <c r="F47" s="109">
        <f>'Table 1.2 complete'!E44</f>
        <v>836.63</v>
      </c>
      <c r="G47" s="109">
        <f>'Table 1.2 complete'!F44</f>
        <v>275.55</v>
      </c>
      <c r="H47" s="109">
        <f>'Table 1.2 complete'!G44</f>
        <v>16.8</v>
      </c>
      <c r="I47" s="109">
        <f>'Table 1.2 complete'!H44</f>
        <v>36.44</v>
      </c>
      <c r="J47" s="109">
        <f>'Table 1.3 complete'!E44</f>
        <v>2024.23</v>
      </c>
      <c r="K47" s="109">
        <f>'Table 1.3 complete'!F44</f>
        <v>90.23</v>
      </c>
      <c r="L47" s="109" t="str">
        <f>'Table 1.3 complete'!G44</f>
        <v>-</v>
      </c>
      <c r="M47" s="109">
        <f>'Table 1.3 complete'!H44</f>
        <v>3.99</v>
      </c>
      <c r="N47" s="109">
        <f>'Table 1.3 complete'!I44</f>
        <v>78.14</v>
      </c>
      <c r="O47" s="109">
        <f>'Table 1.3 complete'!J44</f>
        <v>915.2</v>
      </c>
      <c r="P47" s="109">
        <f>'Table 1.3 complete'!K44</f>
        <v>41.99</v>
      </c>
      <c r="Q47" s="109">
        <f>'Table 1.3 complete'!L44</f>
        <v>5.01</v>
      </c>
      <c r="R47" s="109">
        <f>'Table 1.3 complete'!M44</f>
        <v>17.100000000000001</v>
      </c>
      <c r="S47" s="109">
        <f>'Table 1.3 complete'!N44</f>
        <v>7.55</v>
      </c>
      <c r="T47" s="149">
        <f>SUM(F47:S47)</f>
        <v>4348.8600000000006</v>
      </c>
      <c r="U47" s="106">
        <f>T47-'Table 1.1 complete'!E44</f>
        <v>-3.9999999999054126E-2</v>
      </c>
      <c r="V47" s="113">
        <f>T47-'Table 1.2 complete'!K44</f>
        <v>0</v>
      </c>
      <c r="W47" s="106">
        <f>'Table 1.2 complete'!K44-'Table 1.1 complete'!E44</f>
        <v>-3.999999999996362E-2</v>
      </c>
    </row>
    <row r="48" spans="1:23" x14ac:dyDescent="0.25">
      <c r="A48" s="346"/>
      <c r="B48" s="158" t="str">
        <f>'Table 1.2 complete'!A45</f>
        <v>Brazil</v>
      </c>
      <c r="C48" s="188">
        <f>'Table 1.2 complete'!B45</f>
        <v>69</v>
      </c>
      <c r="D48" s="158" t="s">
        <v>232</v>
      </c>
      <c r="E48" s="118">
        <v>10</v>
      </c>
      <c r="F48" s="109">
        <f>'Table 1.2 complete'!E45</f>
        <v>12.35</v>
      </c>
      <c r="G48" s="109">
        <f>'Table 1.2 complete'!F45</f>
        <v>374.02</v>
      </c>
      <c r="H48" s="109" t="str">
        <f>'Table 1.2 complete'!G45</f>
        <v>-</v>
      </c>
      <c r="I48" s="109">
        <f>'Table 1.2 complete'!H45</f>
        <v>2</v>
      </c>
      <c r="J48" s="109">
        <f>'Table 1.3 complete'!E45</f>
        <v>0.1</v>
      </c>
      <c r="K48" s="109">
        <f>'Table 1.3 complete'!F45</f>
        <v>5.96</v>
      </c>
      <c r="L48" s="109" t="str">
        <f>'Table 1.3 complete'!G45</f>
        <v>-</v>
      </c>
      <c r="M48" s="109">
        <f>'Table 1.3 complete'!H45</f>
        <v>4.0599999999999996</v>
      </c>
      <c r="N48" s="109">
        <f>'Table 1.3 complete'!I45</f>
        <v>13.77</v>
      </c>
      <c r="O48" s="109">
        <f>'Table 1.3 complete'!J45</f>
        <v>15.5</v>
      </c>
      <c r="P48" s="109">
        <f>'Table 1.3 complete'!K45</f>
        <v>17.399999999999999</v>
      </c>
      <c r="Q48" s="109" t="str">
        <f>'Table 1.3 complete'!L45</f>
        <v>-</v>
      </c>
      <c r="R48" s="109" t="str">
        <f>'Table 1.3 complete'!M45</f>
        <v>-</v>
      </c>
      <c r="S48" s="109" t="str">
        <f>'Table 1.3 complete'!N45</f>
        <v>-</v>
      </c>
      <c r="T48" s="149">
        <f>SUM(F48:S48)</f>
        <v>445.15999999999997</v>
      </c>
      <c r="U48" s="106">
        <f>T48-'Table 1.1 complete'!E45</f>
        <v>5.999999999994543E-2</v>
      </c>
      <c r="V48" s="113">
        <f>T48-'Table 1.2 complete'!K45</f>
        <v>1.999999999998181E-2</v>
      </c>
      <c r="W48" s="106">
        <f>'Table 1.2 complete'!K45-'Table 1.1 complete'!E45</f>
        <v>3.999999999996362E-2</v>
      </c>
    </row>
    <row r="49" spans="1:23" x14ac:dyDescent="0.25">
      <c r="A49" s="346"/>
      <c r="B49" s="178" t="str">
        <f>'Table 1.2 complete'!A46</f>
        <v>Russia</v>
      </c>
      <c r="C49" s="209">
        <f>'Table 1.2 complete'!B46</f>
        <v>135</v>
      </c>
      <c r="D49" s="178" t="s">
        <v>244</v>
      </c>
      <c r="E49" s="137">
        <v>11</v>
      </c>
      <c r="F49" s="109">
        <f>'Table 1.2 complete'!E46</f>
        <v>160.04</v>
      </c>
      <c r="G49" s="109">
        <f>'Table 1.2 complete'!F46</f>
        <v>178.98</v>
      </c>
      <c r="H49" s="109">
        <f>'Table 1.2 complete'!G46</f>
        <v>0.49</v>
      </c>
      <c r="I49" s="109">
        <f>'Table 1.2 complete'!H46</f>
        <v>0.01</v>
      </c>
      <c r="J49" s="109">
        <f>'Table 1.3 complete'!E46</f>
        <v>100.1</v>
      </c>
      <c r="K49" s="109">
        <f>'Table 1.3 complete'!F46</f>
        <v>61.52</v>
      </c>
      <c r="L49" s="109">
        <f>'Table 1.3 complete'!G46</f>
        <v>0.75</v>
      </c>
      <c r="M49" s="109">
        <f>'Table 1.3 complete'!H46</f>
        <v>7.51</v>
      </c>
      <c r="N49" s="109">
        <f>'Table 1.3 complete'!I46</f>
        <v>17.23</v>
      </c>
      <c r="O49" s="109">
        <f>'Table 1.3 complete'!J46</f>
        <v>486.71</v>
      </c>
      <c r="P49" s="109">
        <f>'Table 1.3 complete'!K46</f>
        <v>0.01</v>
      </c>
      <c r="Q49" s="109">
        <f>'Table 1.3 complete'!L46</f>
        <v>1.98</v>
      </c>
      <c r="R49" s="109" t="str">
        <f>'Table 1.3 complete'!M46</f>
        <v>-</v>
      </c>
      <c r="S49" s="109" t="str">
        <f>'Table 1.3 complete'!N46</f>
        <v>-</v>
      </c>
      <c r="T49" s="149">
        <f>SUM(F49:S49)</f>
        <v>1015.3299999999999</v>
      </c>
      <c r="U49" s="106">
        <f>T49-'Table 1.1 complete'!E46</f>
        <v>2.9999999999972715E-2</v>
      </c>
      <c r="V49" s="113">
        <f>T49-'Table 1.2 complete'!K46</f>
        <v>0</v>
      </c>
      <c r="W49" s="106">
        <f>'Table 1.2 complete'!K46-'Table 1.1 complete'!E46</f>
        <v>3.0000000000086402E-2</v>
      </c>
    </row>
    <row r="50" spans="1:23" x14ac:dyDescent="0.25">
      <c r="A50" s="346"/>
      <c r="B50" s="166" t="str">
        <f>'Table 1.2 complete'!A47</f>
        <v>India</v>
      </c>
      <c r="C50" s="196">
        <f>'Table 1.2 complete'!B47</f>
        <v>94</v>
      </c>
      <c r="D50" s="166" t="s">
        <v>241</v>
      </c>
      <c r="E50" s="126">
        <v>12</v>
      </c>
      <c r="F50" s="109">
        <f>'Table 1.2 complete'!E47</f>
        <v>16.78</v>
      </c>
      <c r="G50" s="109">
        <f>'Table 1.2 complete'!F47</f>
        <v>123.83</v>
      </c>
      <c r="H50" s="109" t="str">
        <f>'Table 1.2 complete'!G47</f>
        <v>-</v>
      </c>
      <c r="I50" s="109">
        <f>'Table 1.2 complete'!H47</f>
        <v>11.67</v>
      </c>
      <c r="J50" s="109">
        <f>'Table 1.3 complete'!E47</f>
        <v>516.57000000000005</v>
      </c>
      <c r="K50" s="109">
        <f>'Table 1.3 complete'!F47</f>
        <v>18.87</v>
      </c>
      <c r="L50" s="109" t="str">
        <f>'Table 1.3 complete'!G47</f>
        <v>-</v>
      </c>
      <c r="M50" s="109">
        <f>'Table 1.3 complete'!H47</f>
        <v>1.48</v>
      </c>
      <c r="N50" s="109">
        <f>'Table 1.3 complete'!I47</f>
        <v>35.520000000000003</v>
      </c>
      <c r="O50" s="109">
        <f>'Table 1.3 complete'!J47</f>
        <v>65.760000000000005</v>
      </c>
      <c r="P50" s="109">
        <f>'Table 1.3 complete'!K47</f>
        <v>1.95</v>
      </c>
      <c r="Q50" s="109" t="str">
        <f>'Table 1.3 complete'!L47</f>
        <v>-</v>
      </c>
      <c r="R50" s="109" t="str">
        <f>'Table 1.3 complete'!M47</f>
        <v>-</v>
      </c>
      <c r="S50" s="109" t="str">
        <f>'Table 1.3 complete'!N47</f>
        <v>-</v>
      </c>
      <c r="T50" s="149">
        <f>SUM(F50:S50)</f>
        <v>792.43000000000006</v>
      </c>
      <c r="U50" s="106">
        <f>T50-'Table 1.1 complete'!E47</f>
        <v>3.0000000000086402E-2</v>
      </c>
      <c r="V50" s="113">
        <f>T50-'Table 1.2 complete'!K47</f>
        <v>1.0000000000104592E-2</v>
      </c>
      <c r="W50" s="106">
        <f>'Table 1.2 complete'!K47-'Table 1.1 complete'!E47</f>
        <v>1.999999999998181E-2</v>
      </c>
    </row>
    <row r="51" spans="1:23" x14ac:dyDescent="0.25">
      <c r="A51" s="346"/>
      <c r="B51" s="159" t="str">
        <f>'Table 1.2 complete'!A48</f>
        <v>Hong Kong</v>
      </c>
      <c r="C51" s="189">
        <f>'Table 1.2 complete'!B48</f>
        <v>111</v>
      </c>
      <c r="D51" s="159" t="s">
        <v>239</v>
      </c>
      <c r="E51" s="119">
        <v>13</v>
      </c>
      <c r="F51" s="109" t="str">
        <f>'Table 1.2 complete'!E48</f>
        <v>-</v>
      </c>
      <c r="G51" s="109" t="str">
        <f>'Table 1.2 complete'!F48</f>
        <v>-</v>
      </c>
      <c r="H51" s="109" t="str">
        <f>'Table 1.2 complete'!G48</f>
        <v>-</v>
      </c>
      <c r="I51" s="109">
        <f>'Table 1.2 complete'!H48</f>
        <v>0</v>
      </c>
      <c r="J51" s="109">
        <f>'Table 1.3 complete'!E48</f>
        <v>28.54</v>
      </c>
      <c r="K51" s="109" t="str">
        <f>'Table 1.3 complete'!F48</f>
        <v>-</v>
      </c>
      <c r="L51" s="109" t="str">
        <f>'Table 1.3 complete'!G48</f>
        <v>-</v>
      </c>
      <c r="M51" s="109" t="str">
        <f>'Table 1.3 complete'!H48</f>
        <v>-</v>
      </c>
      <c r="N51" s="109">
        <f>'Table 1.3 complete'!I48</f>
        <v>0.1</v>
      </c>
      <c r="O51" s="109">
        <f>'Table 1.3 complete'!J48</f>
        <v>10.32</v>
      </c>
      <c r="P51" s="109" t="str">
        <f>'Table 1.3 complete'!K48</f>
        <v>-</v>
      </c>
      <c r="Q51" s="109" t="str">
        <f>'Table 1.3 complete'!L48</f>
        <v>-</v>
      </c>
      <c r="R51" s="109" t="str">
        <f>'Table 1.3 complete'!M48</f>
        <v>-</v>
      </c>
      <c r="S51" s="109" t="str">
        <f>'Table 1.3 complete'!N48</f>
        <v>-</v>
      </c>
      <c r="T51" s="149">
        <f>SUM(F51:S51)</f>
        <v>38.96</v>
      </c>
      <c r="U51" s="106">
        <f>T51-'Table 1.1 complete'!E48</f>
        <v>-3.9999999999999147E-2</v>
      </c>
      <c r="V51" s="113">
        <f>T51-'Table 1.2 complete'!K48</f>
        <v>9.9999999999980105E-3</v>
      </c>
      <c r="W51" s="106">
        <f>'Table 1.2 complete'!K48-'Table 1.1 complete'!E48</f>
        <v>-4.9999999999997158E-2</v>
      </c>
    </row>
    <row r="52" spans="1:23" x14ac:dyDescent="0.25">
      <c r="A52" s="346"/>
      <c r="B52" s="159" t="str">
        <f>'Table 1.2 complete'!A49</f>
        <v>PR of China</v>
      </c>
      <c r="C52" s="189">
        <f>'Table 1.2 complete'!B49</f>
        <v>110</v>
      </c>
      <c r="D52" s="159" t="s">
        <v>239</v>
      </c>
      <c r="E52" s="119">
        <v>13</v>
      </c>
      <c r="F52" s="109">
        <f>'Table 1.2 complete'!E49</f>
        <v>62.13</v>
      </c>
      <c r="G52" s="109">
        <f>'Table 1.2 complete'!F49</f>
        <v>485.26</v>
      </c>
      <c r="H52" s="109" t="str">
        <f>'Table 1.2 complete'!G49</f>
        <v>-</v>
      </c>
      <c r="I52" s="109">
        <f>'Table 1.2 complete'!H49</f>
        <v>8.91</v>
      </c>
      <c r="J52" s="109">
        <f>'Table 1.3 complete'!E49</f>
        <v>2634.31</v>
      </c>
      <c r="K52" s="109" t="str">
        <f>'Table 1.3 complete'!F49</f>
        <v>-</v>
      </c>
      <c r="L52" s="109" t="str">
        <f>'Table 1.3 complete'!G49</f>
        <v>-</v>
      </c>
      <c r="M52" s="109">
        <f>'Table 1.3 complete'!H49</f>
        <v>22.12</v>
      </c>
      <c r="N52" s="109">
        <f>'Table 1.3 complete'!I49</f>
        <v>33.65</v>
      </c>
      <c r="O52" s="109">
        <f>'Table 1.3 complete'!J49</f>
        <v>30.54</v>
      </c>
      <c r="P52" s="109">
        <f>'Table 1.3 complete'!K49</f>
        <v>2.31</v>
      </c>
      <c r="Q52" s="109" t="str">
        <f>'Table 1.3 complete'!L49</f>
        <v>-</v>
      </c>
      <c r="R52" s="109" t="str">
        <f>'Table 1.3 complete'!M49</f>
        <v>-</v>
      </c>
      <c r="S52" s="109" t="str">
        <f>'Table 1.3 complete'!N49</f>
        <v>-</v>
      </c>
      <c r="T52" s="149">
        <f>SUM(F52:S52)</f>
        <v>3279.2299999999996</v>
      </c>
      <c r="U52" s="106">
        <f>T52-'Table 1.1 complete'!E49</f>
        <v>2.9999999999745341E-2</v>
      </c>
      <c r="V52" s="113">
        <f>T52-'Table 1.2 complete'!K49</f>
        <v>0</v>
      </c>
      <c r="W52" s="106">
        <f>'Table 1.2 complete'!K49-'Table 1.1 complete'!E49</f>
        <v>3.0000000000200089E-2</v>
      </c>
    </row>
    <row r="53" spans="1:23" x14ac:dyDescent="0.25">
      <c r="A53" s="346"/>
      <c r="B53" s="609" t="str">
        <f>'Table 1.2 complete'!A50</f>
        <v>South Africa</v>
      </c>
      <c r="C53" s="610">
        <f>'Table 1.2 complete'!B50</f>
        <v>58</v>
      </c>
      <c r="D53" s="609" t="s">
        <v>245</v>
      </c>
      <c r="E53" s="611">
        <v>14</v>
      </c>
      <c r="F53" s="109">
        <f>'Table 1.2 complete'!E50</f>
        <v>11.32</v>
      </c>
      <c r="G53" s="109">
        <f>'Table 1.2 complete'!F50</f>
        <v>3.91</v>
      </c>
      <c r="H53" s="109" t="str">
        <f>'Table 1.2 complete'!G50</f>
        <v>-</v>
      </c>
      <c r="I53" s="109">
        <f>'Table 1.2 complete'!H50</f>
        <v>0.05</v>
      </c>
      <c r="J53" s="109">
        <f>'Table 1.3 complete'!E50</f>
        <v>246.79</v>
      </c>
      <c r="K53" s="109" t="str">
        <f>'Table 1.3 complete'!F50</f>
        <v>-</v>
      </c>
      <c r="L53" s="109" t="str">
        <f>'Table 1.3 complete'!G50</f>
        <v>-</v>
      </c>
      <c r="M53" s="109" t="str">
        <f>'Table 1.3 complete'!H50</f>
        <v>-</v>
      </c>
      <c r="N53" s="109">
        <f>'Table 1.3 complete'!I50</f>
        <v>1.1499999999999999</v>
      </c>
      <c r="O53" s="109" t="str">
        <f>'Table 1.3 complete'!J50</f>
        <v>-</v>
      </c>
      <c r="P53" s="109">
        <f>'Table 1.3 complete'!K50</f>
        <v>0.26</v>
      </c>
      <c r="Q53" s="109" t="str">
        <f>'Table 1.3 complete'!L50</f>
        <v>-</v>
      </c>
      <c r="R53" s="109" t="str">
        <f>'Table 1.3 complete'!M50</f>
        <v>-</v>
      </c>
      <c r="S53" s="109" t="str">
        <f>'Table 1.3 complete'!N50</f>
        <v>-</v>
      </c>
      <c r="T53" s="149">
        <f>SUM(F53:S53)</f>
        <v>263.47999999999996</v>
      </c>
      <c r="U53" s="106">
        <f>T53-'Table 1.1 complete'!E50</f>
        <v>-2.0000000000038654E-2</v>
      </c>
      <c r="V53" s="113">
        <f>T53-'Table 1.2 complete'!K50</f>
        <v>0</v>
      </c>
      <c r="W53" s="106">
        <f>'Table 1.2 complete'!K50-'Table 1.1 complete'!E50</f>
        <v>-1.999999999998181E-2</v>
      </c>
    </row>
    <row r="54" spans="1:23" x14ac:dyDescent="0.25">
      <c r="A54" s="346"/>
      <c r="B54" s="170" t="str">
        <f>'Table 1.2 complete'!A51</f>
        <v xml:space="preserve">Algeria       </v>
      </c>
      <c r="C54" s="201">
        <f>'Table 1.2 complete'!B51</f>
        <v>38</v>
      </c>
      <c r="D54" s="170" t="s">
        <v>422</v>
      </c>
      <c r="E54" s="130">
        <v>15</v>
      </c>
      <c r="F54" s="109" t="str">
        <f>'Table 1.2 complete'!E51</f>
        <v>-</v>
      </c>
      <c r="G54" s="109">
        <f>'Table 1.2 complete'!F51</f>
        <v>0.23</v>
      </c>
      <c r="H54" s="109" t="str">
        <f>'Table 1.2 complete'!G51</f>
        <v>-</v>
      </c>
      <c r="I54" s="109" t="str">
        <f>'Table 1.2 complete'!H51</f>
        <v>-</v>
      </c>
      <c r="J54" s="109" t="str">
        <f>'Table 1.3 complete'!E51</f>
        <v>-</v>
      </c>
      <c r="K54" s="109" t="str">
        <f>'Table 1.3 complete'!F51</f>
        <v>-</v>
      </c>
      <c r="L54" s="109" t="str">
        <f>'Table 1.3 complete'!G51</f>
        <v>-</v>
      </c>
      <c r="M54" s="109" t="str">
        <f>'Table 1.3 complete'!H51</f>
        <v>-</v>
      </c>
      <c r="N54" s="109">
        <f>'Table 1.3 complete'!I51</f>
        <v>0.79</v>
      </c>
      <c r="O54" s="109">
        <f>'Table 1.3 complete'!J51</f>
        <v>36.18</v>
      </c>
      <c r="P54" s="109" t="str">
        <f>'Table 1.3 complete'!K51</f>
        <v>-</v>
      </c>
      <c r="Q54" s="109" t="str">
        <f>'Table 1.3 complete'!L51</f>
        <v>-</v>
      </c>
      <c r="R54" s="109" t="str">
        <f>'Table 1.3 complete'!M51</f>
        <v>-</v>
      </c>
      <c r="S54" s="109" t="str">
        <f>'Table 1.3 complete'!N51</f>
        <v>-</v>
      </c>
      <c r="T54" s="149">
        <f>SUM(F54:S54)</f>
        <v>37.200000000000003</v>
      </c>
      <c r="U54" s="106">
        <f>T54-'Table 1.1 complete'!E51</f>
        <v>0</v>
      </c>
      <c r="V54" s="113">
        <f>T54-'Table 1.2 complete'!K51</f>
        <v>0</v>
      </c>
      <c r="W54" s="106">
        <f>'Table 1.2 complete'!K51-'Table 1.1 complete'!E51</f>
        <v>0</v>
      </c>
    </row>
    <row r="55" spans="1:23" x14ac:dyDescent="0.25">
      <c r="A55" s="346"/>
      <c r="B55" s="167" t="str">
        <f>'Table 1.2 complete'!A52</f>
        <v>Bahrain</v>
      </c>
      <c r="C55" s="198">
        <f>'Table 1.2 complete'!B52</f>
        <v>141</v>
      </c>
      <c r="D55" s="167" t="s">
        <v>422</v>
      </c>
      <c r="E55" s="127">
        <v>15</v>
      </c>
      <c r="F55" s="109" t="str">
        <f>'Table 1.2 complete'!E52</f>
        <v>-</v>
      </c>
      <c r="G55" s="109" t="str">
        <f>'Table 1.2 complete'!F52</f>
        <v>-</v>
      </c>
      <c r="H55" s="109" t="str">
        <f>'Table 1.2 complete'!G52</f>
        <v>-</v>
      </c>
      <c r="I55" s="109" t="str">
        <f>'Table 1.2 complete'!H52</f>
        <v>-</v>
      </c>
      <c r="J55" s="109" t="str">
        <f>'Table 1.3 complete'!E52</f>
        <v>-</v>
      </c>
      <c r="K55" s="109" t="str">
        <f>'Table 1.3 complete'!F52</f>
        <v>-</v>
      </c>
      <c r="L55" s="109" t="str">
        <f>'Table 1.3 complete'!G52</f>
        <v>-</v>
      </c>
      <c r="M55" s="109" t="str">
        <f>'Table 1.3 complete'!H52</f>
        <v>-</v>
      </c>
      <c r="N55" s="109">
        <f>'Table 1.3 complete'!I52</f>
        <v>0.34</v>
      </c>
      <c r="O55" s="109">
        <f>'Table 1.3 complete'!J52</f>
        <v>10.57</v>
      </c>
      <c r="P55" s="109" t="str">
        <f>'Table 1.3 complete'!K52</f>
        <v>-</v>
      </c>
      <c r="Q55" s="109" t="str">
        <f>'Table 1.3 complete'!L52</f>
        <v>-</v>
      </c>
      <c r="R55" s="109" t="str">
        <f>'Table 1.3 complete'!M52</f>
        <v>-</v>
      </c>
      <c r="S55" s="109" t="str">
        <f>'Table 1.3 complete'!N52</f>
        <v>-</v>
      </c>
      <c r="T55" s="149">
        <f>SUM(F55:S55)</f>
        <v>10.91</v>
      </c>
      <c r="U55" s="106">
        <f>T55-'Table 1.1 complete'!E52</f>
        <v>9.9999999999997868E-3</v>
      </c>
      <c r="V55" s="113">
        <f>T55-'Table 1.2 complete'!K52</f>
        <v>0</v>
      </c>
      <c r="W55" s="106">
        <f>'Table 1.2 complete'!K52-'Table 1.1 complete'!E52</f>
        <v>9.9999999999997868E-3</v>
      </c>
    </row>
    <row r="56" spans="1:23" x14ac:dyDescent="0.25">
      <c r="A56" s="346"/>
      <c r="B56" s="167" t="str">
        <f>'Table 1.2 complete'!A53</f>
        <v>Egypt</v>
      </c>
      <c r="C56" s="198">
        <f>'Table 1.2 complete'!B53</f>
        <v>46</v>
      </c>
      <c r="D56" s="167" t="s">
        <v>422</v>
      </c>
      <c r="E56" s="127">
        <v>15</v>
      </c>
      <c r="F56" s="109" t="str">
        <f>'Table 1.2 complete'!E53</f>
        <v>-</v>
      </c>
      <c r="G56" s="109">
        <f>'Table 1.2 complete'!F53</f>
        <v>15.51</v>
      </c>
      <c r="H56" s="109" t="str">
        <f>'Table 1.2 complete'!G53</f>
        <v>-</v>
      </c>
      <c r="I56" s="109">
        <f>'Table 1.2 complete'!H53</f>
        <v>0.83</v>
      </c>
      <c r="J56" s="109" t="str">
        <f>'Table 1.3 complete'!E53</f>
        <v>-</v>
      </c>
      <c r="K56" s="109" t="str">
        <f>'Table 1.3 complete'!F53</f>
        <v>-</v>
      </c>
      <c r="L56" s="109" t="str">
        <f>'Table 1.3 complete'!G53</f>
        <v>-</v>
      </c>
      <c r="M56" s="109" t="str">
        <f>'Table 1.3 complete'!H53</f>
        <v>-</v>
      </c>
      <c r="N56" s="109">
        <f>'Table 1.3 complete'!I53</f>
        <v>23.24</v>
      </c>
      <c r="O56" s="109">
        <f>'Table 1.3 complete'!J53</f>
        <v>85.55</v>
      </c>
      <c r="P56" s="109" t="str">
        <f>'Table 1.3 complete'!K53</f>
        <v>-</v>
      </c>
      <c r="Q56" s="109" t="str">
        <f>'Table 1.3 complete'!L53</f>
        <v>-</v>
      </c>
      <c r="R56" s="109" t="str">
        <f>'Table 1.3 complete'!M53</f>
        <v>-</v>
      </c>
      <c r="S56" s="109" t="str">
        <f>'Table 1.3 complete'!N53</f>
        <v>-</v>
      </c>
      <c r="T56" s="149">
        <f>SUM(F56:S56)</f>
        <v>125.13</v>
      </c>
      <c r="U56" s="106">
        <f>T56-'Table 1.1 complete'!E53</f>
        <v>3.0000000000001137E-2</v>
      </c>
      <c r="V56" s="113">
        <f>T56-'Table 1.2 complete'!K53</f>
        <v>0</v>
      </c>
      <c r="W56" s="106">
        <f>'Table 1.2 complete'!K53-'Table 1.1 complete'!E53</f>
        <v>3.0000000000001137E-2</v>
      </c>
    </row>
    <row r="57" spans="1:23" x14ac:dyDescent="0.25">
      <c r="A57" s="346"/>
      <c r="B57" s="167" t="str">
        <f>'Table 1.2 complete'!A54</f>
        <v>IR of Iran</v>
      </c>
      <c r="C57" s="198">
        <f>'Table 1.2 complete'!B54</f>
        <v>142</v>
      </c>
      <c r="D57" s="167" t="s">
        <v>422</v>
      </c>
      <c r="E57" s="127">
        <v>15</v>
      </c>
      <c r="F57" s="109" t="str">
        <f>'Table 1.2 complete'!E54</f>
        <v>-</v>
      </c>
      <c r="G57" s="109">
        <f>'Table 1.2 complete'!F54</f>
        <v>17.989999999999998</v>
      </c>
      <c r="H57" s="109" t="str">
        <f>'Table 1.2 complete'!G54</f>
        <v>-</v>
      </c>
      <c r="I57" s="109">
        <f>'Table 1.2 complete'!H54</f>
        <v>0.14000000000000001</v>
      </c>
      <c r="J57" s="109" t="str">
        <f>'Table 1.3 complete'!E54</f>
        <v>-</v>
      </c>
      <c r="K57" s="109" t="str">
        <f>'Table 1.3 complete'!F54</f>
        <v>-</v>
      </c>
      <c r="L57" s="109" t="str">
        <f>'Table 1.3 complete'!G54</f>
        <v>-</v>
      </c>
      <c r="M57" s="109" t="str">
        <f>'Table 1.3 complete'!H54</f>
        <v>-</v>
      </c>
      <c r="N57" s="109">
        <f>'Table 1.3 complete'!I54</f>
        <v>25.57</v>
      </c>
      <c r="O57" s="109">
        <f>'Table 1.3 complete'!J54</f>
        <v>160.28</v>
      </c>
      <c r="P57" s="109" t="str">
        <f>'Table 1.3 complete'!K54</f>
        <v>-</v>
      </c>
      <c r="Q57" s="109" t="str">
        <f>'Table 1.3 complete'!L54</f>
        <v>-</v>
      </c>
      <c r="R57" s="109" t="str">
        <f>'Table 1.3 complete'!M54</f>
        <v>-</v>
      </c>
      <c r="S57" s="109" t="str">
        <f>'Table 1.3 complete'!N54</f>
        <v>-</v>
      </c>
      <c r="T57" s="149">
        <f>SUM(F57:S57)</f>
        <v>203.98000000000002</v>
      </c>
      <c r="U57" s="106">
        <f>T57-'Table 1.1 complete'!E54</f>
        <v>-1.999999999998181E-2</v>
      </c>
      <c r="V57" s="113">
        <f>T57-'Table 1.2 complete'!K54</f>
        <v>-9.9999999999909051E-3</v>
      </c>
      <c r="W57" s="106">
        <f>'Table 1.2 complete'!K54-'Table 1.1 complete'!E54</f>
        <v>-9.9999999999909051E-3</v>
      </c>
    </row>
    <row r="58" spans="1:23" x14ac:dyDescent="0.25">
      <c r="A58" s="346"/>
      <c r="B58" s="167" t="str">
        <f>'Table 1.2 complete'!A55</f>
        <v>Iraq</v>
      </c>
      <c r="C58" s="198">
        <f>'Table 1.2 complete'!B55</f>
        <v>143</v>
      </c>
      <c r="D58" s="167" t="s">
        <v>422</v>
      </c>
      <c r="E58" s="127">
        <v>15</v>
      </c>
      <c r="F58" s="109" t="str">
        <f>'Table 1.2 complete'!E55</f>
        <v>-</v>
      </c>
      <c r="G58" s="109">
        <f>'Table 1.2 complete'!F55</f>
        <v>0.51</v>
      </c>
      <c r="H58" s="109" t="str">
        <f>'Table 1.2 complete'!G55</f>
        <v>-</v>
      </c>
      <c r="I58" s="109" t="str">
        <f>'Table 1.2 complete'!H55</f>
        <v>-</v>
      </c>
      <c r="J58" s="109" t="str">
        <f>'Table 1.3 complete'!E55</f>
        <v>-</v>
      </c>
      <c r="K58" s="109" t="str">
        <f>'Table 1.3 complete'!F55</f>
        <v>-</v>
      </c>
      <c r="L58" s="109" t="str">
        <f>'Table 1.3 complete'!G55</f>
        <v>-</v>
      </c>
      <c r="M58" s="109" t="str">
        <f>'Table 1.3 complete'!H55</f>
        <v>-</v>
      </c>
      <c r="N58" s="109">
        <f>'Table 1.3 complete'!I55</f>
        <v>32.68</v>
      </c>
      <c r="O58" s="109" t="str">
        <f>'Table 1.3 complete'!J55</f>
        <v>-</v>
      </c>
      <c r="P58" s="109" t="str">
        <f>'Table 1.3 complete'!K55</f>
        <v>-</v>
      </c>
      <c r="Q58" s="109" t="str">
        <f>'Table 1.3 complete'!L55</f>
        <v>-</v>
      </c>
      <c r="R58" s="109" t="str">
        <f>'Table 1.3 complete'!M55</f>
        <v>-</v>
      </c>
      <c r="S58" s="109" t="str">
        <f>'Table 1.3 complete'!N55</f>
        <v>-</v>
      </c>
      <c r="T58" s="149">
        <f>SUM(F58:S58)</f>
        <v>33.19</v>
      </c>
      <c r="U58" s="106">
        <f>T58-'Table 1.1 complete'!E55</f>
        <v>-1.0000000000005116E-2</v>
      </c>
      <c r="V58" s="113">
        <f>T58-'Table 1.2 complete'!K55</f>
        <v>9.9999999999980105E-3</v>
      </c>
      <c r="W58" s="106">
        <f>'Table 1.2 complete'!K55-'Table 1.1 complete'!E55</f>
        <v>-2.0000000000003126E-2</v>
      </c>
    </row>
    <row r="59" spans="1:23" x14ac:dyDescent="0.25">
      <c r="A59" s="346"/>
      <c r="B59" s="167" t="str">
        <f>'Table 1.2 complete'!A56</f>
        <v>Jordan</v>
      </c>
      <c r="C59" s="198">
        <f>'Table 1.2 complete'!B56</f>
        <v>145</v>
      </c>
      <c r="D59" s="167" t="s">
        <v>422</v>
      </c>
      <c r="E59" s="127">
        <v>15</v>
      </c>
      <c r="F59" s="109" t="str">
        <f>'Table 1.2 complete'!E56</f>
        <v>-</v>
      </c>
      <c r="G59" s="109">
        <f>'Table 1.2 complete'!F56</f>
        <v>0.06</v>
      </c>
      <c r="H59" s="109" t="str">
        <f>'Table 1.2 complete'!G56</f>
        <v>-</v>
      </c>
      <c r="I59" s="109">
        <f>'Table 1.2 complete'!H56</f>
        <v>0</v>
      </c>
      <c r="J59" s="109" t="str">
        <f>'Table 1.3 complete'!E56</f>
        <v>-</v>
      </c>
      <c r="K59" s="109" t="str">
        <f>'Table 1.3 complete'!F56</f>
        <v>-</v>
      </c>
      <c r="L59" s="109" t="str">
        <f>'Table 1.3 complete'!G56</f>
        <v>-</v>
      </c>
      <c r="M59" s="109" t="str">
        <f>'Table 1.3 complete'!H56</f>
        <v>-</v>
      </c>
      <c r="N59" s="109">
        <f>'Table 1.3 complete'!I56</f>
        <v>2.99</v>
      </c>
      <c r="O59" s="109">
        <f>'Table 1.3 complete'!J56</f>
        <v>9.94</v>
      </c>
      <c r="P59" s="109" t="str">
        <f>'Table 1.3 complete'!K56</f>
        <v>-</v>
      </c>
      <c r="Q59" s="109" t="str">
        <f>'Table 1.3 complete'!L56</f>
        <v>-</v>
      </c>
      <c r="R59" s="109" t="str">
        <f>'Table 1.3 complete'!M56</f>
        <v>-</v>
      </c>
      <c r="S59" s="109">
        <f>'Table 1.3 complete'!N56</f>
        <v>0.01</v>
      </c>
      <c r="T59" s="149">
        <f>SUM(F59:S59)</f>
        <v>13</v>
      </c>
      <c r="U59" s="106">
        <f>T59-'Table 1.1 complete'!E56</f>
        <v>0</v>
      </c>
      <c r="V59" s="113">
        <f>T59-'Table 1.2 complete'!K56</f>
        <v>0</v>
      </c>
      <c r="W59" s="106">
        <f>'Table 1.2 complete'!K56-'Table 1.1 complete'!E56</f>
        <v>0</v>
      </c>
    </row>
    <row r="60" spans="1:23" x14ac:dyDescent="0.25">
      <c r="A60" s="346"/>
      <c r="B60" s="167" t="str">
        <f>'Table 1.2 complete'!A57</f>
        <v>Kuwait</v>
      </c>
      <c r="C60" s="198">
        <f>'Table 1.2 complete'!B57</f>
        <v>146</v>
      </c>
      <c r="D60" s="167" t="s">
        <v>422</v>
      </c>
      <c r="E60" s="127">
        <v>15</v>
      </c>
      <c r="F60" s="109" t="str">
        <f>'Table 1.2 complete'!E57</f>
        <v>-</v>
      </c>
      <c r="G60" s="109" t="str">
        <f>'Table 1.2 complete'!F57</f>
        <v>-</v>
      </c>
      <c r="H60" s="109" t="str">
        <f>'Table 1.2 complete'!G57</f>
        <v>-</v>
      </c>
      <c r="I60" s="109" t="str">
        <f>'Table 1.2 complete'!H57</f>
        <v>-</v>
      </c>
      <c r="J60" s="109" t="str">
        <f>'Table 1.3 complete'!E57</f>
        <v>-</v>
      </c>
      <c r="K60" s="109" t="str">
        <f>'Table 1.3 complete'!F57</f>
        <v>-</v>
      </c>
      <c r="L60" s="109" t="str">
        <f>'Table 1.3 complete'!G57</f>
        <v>-</v>
      </c>
      <c r="M60" s="109" t="str">
        <f>'Table 1.3 complete'!H57</f>
        <v>-</v>
      </c>
      <c r="N60" s="109">
        <f>'Table 1.3 complete'!I57</f>
        <v>35.26</v>
      </c>
      <c r="O60" s="109">
        <f>'Table 1.3 complete'!J57</f>
        <v>13.49</v>
      </c>
      <c r="P60" s="109" t="str">
        <f>'Table 1.3 complete'!K57</f>
        <v>-</v>
      </c>
      <c r="Q60" s="109" t="str">
        <f>'Table 1.3 complete'!L57</f>
        <v>-</v>
      </c>
      <c r="R60" s="109" t="str">
        <f>'Table 1.3 complete'!M57</f>
        <v>-</v>
      </c>
      <c r="S60" s="109" t="str">
        <f>'Table 1.3 complete'!N57</f>
        <v>-</v>
      </c>
      <c r="T60" s="149">
        <f>SUM(F60:S60)</f>
        <v>48.75</v>
      </c>
      <c r="U60" s="106">
        <f>T60-'Table 1.1 complete'!E57</f>
        <v>-4.9999999999997158E-2</v>
      </c>
      <c r="V60" s="113">
        <f>T60-'Table 1.2 complete'!K57</f>
        <v>0</v>
      </c>
      <c r="W60" s="106">
        <f>'Table 1.2 complete'!K57-'Table 1.1 complete'!E57</f>
        <v>-4.9999999999997158E-2</v>
      </c>
    </row>
    <row r="61" spans="1:23" x14ac:dyDescent="0.25">
      <c r="A61" s="346"/>
      <c r="B61" s="167" t="str">
        <f>'Table 1.2 complete'!A58</f>
        <v>Lebanon</v>
      </c>
      <c r="C61" s="198">
        <f>'Table 1.2 complete'!B58</f>
        <v>147</v>
      </c>
      <c r="D61" s="167" t="s">
        <v>422</v>
      </c>
      <c r="E61" s="127">
        <v>15</v>
      </c>
      <c r="F61" s="109" t="str">
        <f>'Table 1.2 complete'!E58</f>
        <v>-</v>
      </c>
      <c r="G61" s="109">
        <f>'Table 1.2 complete'!F58</f>
        <v>0.59</v>
      </c>
      <c r="H61" s="109" t="str">
        <f>'Table 1.2 complete'!G58</f>
        <v>-</v>
      </c>
      <c r="I61" s="109" t="str">
        <f>'Table 1.2 complete'!H58</f>
        <v>-</v>
      </c>
      <c r="J61" s="109" t="str">
        <f>'Table 1.3 complete'!E58</f>
        <v>-</v>
      </c>
      <c r="K61" s="109" t="str">
        <f>'Table 1.3 complete'!F58</f>
        <v>-</v>
      </c>
      <c r="L61" s="109" t="str">
        <f>'Table 1.3 complete'!G58</f>
        <v>-</v>
      </c>
      <c r="M61" s="109" t="str">
        <f>'Table 1.3 complete'!H58</f>
        <v>-</v>
      </c>
      <c r="N61" s="109">
        <f>'Table 1.3 complete'!I58</f>
        <v>8.99</v>
      </c>
      <c r="O61" s="109" t="str">
        <f>'Table 1.3 complete'!J58</f>
        <v>-</v>
      </c>
      <c r="P61" s="109" t="str">
        <f>'Table 1.3 complete'!K58</f>
        <v>-</v>
      </c>
      <c r="Q61" s="109" t="str">
        <f>'Table 1.3 complete'!L58</f>
        <v>-</v>
      </c>
      <c r="R61" s="109" t="str">
        <f>'Table 1.3 complete'!M58</f>
        <v>-</v>
      </c>
      <c r="S61" s="109" t="str">
        <f>'Table 1.3 complete'!N58</f>
        <v>-</v>
      </c>
      <c r="T61" s="149">
        <f>SUM(F61:S61)</f>
        <v>9.58</v>
      </c>
      <c r="U61" s="106">
        <f>T61-'Table 1.1 complete'!E58</f>
        <v>-1.9999999999999574E-2</v>
      </c>
      <c r="V61" s="113">
        <f>T61-'Table 1.2 complete'!K58</f>
        <v>0</v>
      </c>
      <c r="W61" s="106">
        <f>'Table 1.2 complete'!K58-'Table 1.1 complete'!E58</f>
        <v>-1.9999999999999574E-2</v>
      </c>
    </row>
    <row r="62" spans="1:23" x14ac:dyDescent="0.25">
      <c r="A62" s="346"/>
      <c r="B62" s="167" t="str">
        <f>'Table 1.2 complete'!A59</f>
        <v>Libya</v>
      </c>
      <c r="C62" s="198">
        <f>'Table 1.2 complete'!B59</f>
        <v>52</v>
      </c>
      <c r="D62" s="167" t="s">
        <v>422</v>
      </c>
      <c r="E62" s="127">
        <v>15</v>
      </c>
      <c r="F62" s="109" t="str">
        <f>'Table 1.2 complete'!E59</f>
        <v>-</v>
      </c>
      <c r="G62" s="109" t="str">
        <f>'Table 1.2 complete'!F59</f>
        <v>-</v>
      </c>
      <c r="H62" s="109" t="str">
        <f>'Table 1.2 complete'!G59</f>
        <v>-</v>
      </c>
      <c r="I62" s="109" t="str">
        <f>'Table 1.2 complete'!H59</f>
        <v>-</v>
      </c>
      <c r="J62" s="109" t="str">
        <f>'Table 1.3 complete'!E59</f>
        <v>-</v>
      </c>
      <c r="K62" s="109" t="str">
        <f>'Table 1.3 complete'!F59</f>
        <v>-</v>
      </c>
      <c r="L62" s="109" t="str">
        <f>'Table 1.3 complete'!G59</f>
        <v>-</v>
      </c>
      <c r="M62" s="109" t="str">
        <f>'Table 1.3 complete'!H59</f>
        <v>-</v>
      </c>
      <c r="N62" s="109">
        <f>'Table 1.3 complete'!I59</f>
        <v>14.15</v>
      </c>
      <c r="O62" s="109">
        <f>'Table 1.3 complete'!J59</f>
        <v>11.54</v>
      </c>
      <c r="P62" s="109" t="str">
        <f>'Table 1.3 complete'!K59</f>
        <v>-</v>
      </c>
      <c r="Q62" s="109" t="str">
        <f>'Table 1.3 complete'!L59</f>
        <v>-</v>
      </c>
      <c r="R62" s="109" t="str">
        <f>'Table 1.3 complete'!M59</f>
        <v>-</v>
      </c>
      <c r="S62" s="109" t="str">
        <f>'Table 1.3 complete'!N59</f>
        <v>-</v>
      </c>
      <c r="T62" s="149">
        <f>SUM(F62:S62)</f>
        <v>25.689999999999998</v>
      </c>
      <c r="U62" s="106">
        <f>T62-'Table 1.1 complete'!E59</f>
        <v>-1.0000000000001563E-2</v>
      </c>
      <c r="V62" s="113">
        <f>T62-'Table 1.2 complete'!K59</f>
        <v>0</v>
      </c>
      <c r="W62" s="106">
        <f>'Table 1.2 complete'!K59-'Table 1.1 complete'!E59</f>
        <v>-9.9999999999980105E-3</v>
      </c>
    </row>
    <row r="63" spans="1:23" x14ac:dyDescent="0.25">
      <c r="A63" s="346"/>
      <c r="B63" s="167" t="str">
        <f>'Table 1.2 complete'!A60</f>
        <v>Morocco</v>
      </c>
      <c r="C63" s="198">
        <f>'Table 1.2 complete'!B60</f>
        <v>53</v>
      </c>
      <c r="D63" s="167" t="s">
        <v>422</v>
      </c>
      <c r="E63" s="127">
        <v>15</v>
      </c>
      <c r="F63" s="109" t="str">
        <f>'Table 1.2 complete'!E60</f>
        <v>-</v>
      </c>
      <c r="G63" s="109">
        <f>'Table 1.2 complete'!F60</f>
        <v>1.33</v>
      </c>
      <c r="H63" s="109" t="str">
        <f>'Table 1.2 complete'!G60</f>
        <v>-</v>
      </c>
      <c r="I63" s="109">
        <f>'Table 1.2 complete'!H60</f>
        <v>0.28000000000000003</v>
      </c>
      <c r="J63" s="109">
        <f>'Table 1.3 complete'!E60</f>
        <v>13.04</v>
      </c>
      <c r="K63" s="109" t="str">
        <f>'Table 1.3 complete'!F60</f>
        <v>-</v>
      </c>
      <c r="L63" s="109" t="str">
        <f>'Table 1.3 complete'!G60</f>
        <v>-</v>
      </c>
      <c r="M63" s="109" t="str">
        <f>'Table 1.3 complete'!H60</f>
        <v>-</v>
      </c>
      <c r="N63" s="109">
        <f>'Table 1.3 complete'!I60</f>
        <v>5.0999999999999996</v>
      </c>
      <c r="O63" s="109">
        <f>'Table 1.3 complete'!J60</f>
        <v>3.11</v>
      </c>
      <c r="P63" s="109" t="str">
        <f>'Table 1.3 complete'!K60</f>
        <v>-</v>
      </c>
      <c r="Q63" s="109" t="str">
        <f>'Table 1.3 complete'!L60</f>
        <v>-</v>
      </c>
      <c r="R63" s="109" t="str">
        <f>'Table 1.3 complete'!M60</f>
        <v>-</v>
      </c>
      <c r="S63" s="109" t="str">
        <f>'Table 1.3 complete'!N60</f>
        <v>-</v>
      </c>
      <c r="T63" s="149">
        <f>SUM(F63:S63)</f>
        <v>22.86</v>
      </c>
      <c r="U63" s="106">
        <f>T63-'Table 1.1 complete'!E60</f>
        <v>-3.9999999999999147E-2</v>
      </c>
      <c r="V63" s="113">
        <f>T63-'Table 1.2 complete'!K60</f>
        <v>0</v>
      </c>
      <c r="W63" s="106">
        <f>'Table 1.2 complete'!K60-'Table 1.1 complete'!E60</f>
        <v>-3.9999999999999147E-2</v>
      </c>
    </row>
    <row r="64" spans="1:23" x14ac:dyDescent="0.25">
      <c r="A64" s="346"/>
      <c r="B64" s="167" t="str">
        <f>'Table 1.2 complete'!A61</f>
        <v>Oman</v>
      </c>
      <c r="C64" s="198">
        <f>'Table 1.2 complete'!B61</f>
        <v>148</v>
      </c>
      <c r="D64" s="167" t="s">
        <v>422</v>
      </c>
      <c r="E64" s="127">
        <v>15</v>
      </c>
      <c r="F64" s="109" t="str">
        <f>'Table 1.2 complete'!E61</f>
        <v>-</v>
      </c>
      <c r="G64" s="109" t="str">
        <f>'Table 1.2 complete'!F61</f>
        <v>-</v>
      </c>
      <c r="H64" s="109" t="str">
        <f>'Table 1.2 complete'!G61</f>
        <v>-</v>
      </c>
      <c r="I64" s="109" t="str">
        <f>'Table 1.2 complete'!H61</f>
        <v>-</v>
      </c>
      <c r="J64" s="109" t="str">
        <f>'Table 1.3 complete'!E61</f>
        <v>-</v>
      </c>
      <c r="K64" s="109" t="str">
        <f>'Table 1.3 complete'!F61</f>
        <v>-</v>
      </c>
      <c r="L64" s="109" t="str">
        <f>'Table 1.3 complete'!G61</f>
        <v>-</v>
      </c>
      <c r="M64" s="109" t="str">
        <f>'Table 1.3 complete'!H61</f>
        <v>-</v>
      </c>
      <c r="N64" s="109">
        <f>'Table 1.3 complete'!I61</f>
        <v>2.6</v>
      </c>
      <c r="O64" s="109">
        <f>'Table 1.3 complete'!J61</f>
        <v>11.84</v>
      </c>
      <c r="P64" s="109" t="str">
        <f>'Table 1.3 complete'!K61</f>
        <v>-</v>
      </c>
      <c r="Q64" s="109" t="str">
        <f>'Table 1.3 complete'!L61</f>
        <v>-</v>
      </c>
      <c r="R64" s="109" t="str">
        <f>'Table 1.3 complete'!M61</f>
        <v>-</v>
      </c>
      <c r="S64" s="109" t="str">
        <f>'Table 1.3 complete'!N61</f>
        <v>-</v>
      </c>
      <c r="T64" s="149">
        <f>SUM(F64:S64)</f>
        <v>14.44</v>
      </c>
      <c r="U64" s="106">
        <f>T64-'Table 1.1 complete'!E61</f>
        <v>3.9999999999999147E-2</v>
      </c>
      <c r="V64" s="113">
        <f>T64-'Table 1.2 complete'!K61</f>
        <v>0</v>
      </c>
      <c r="W64" s="106">
        <f>'Table 1.2 complete'!K61-'Table 1.1 complete'!E61</f>
        <v>3.9999999999999147E-2</v>
      </c>
    </row>
    <row r="65" spans="1:23" x14ac:dyDescent="0.25">
      <c r="A65" s="346"/>
      <c r="B65" s="167" t="str">
        <f>'Table 1.2 complete'!A62</f>
        <v>Qatar</v>
      </c>
      <c r="C65" s="198">
        <f>'Table 1.2 complete'!B62</f>
        <v>149</v>
      </c>
      <c r="D65" s="167" t="s">
        <v>422</v>
      </c>
      <c r="E65" s="127">
        <v>15</v>
      </c>
      <c r="F65" s="109" t="str">
        <f>'Table 1.2 complete'!E62</f>
        <v>-</v>
      </c>
      <c r="G65" s="109" t="str">
        <f>'Table 1.2 complete'!F62</f>
        <v>-</v>
      </c>
      <c r="H65" s="109" t="str">
        <f>'Table 1.2 complete'!G62</f>
        <v>-</v>
      </c>
      <c r="I65" s="109" t="str">
        <f>'Table 1.2 complete'!H62</f>
        <v>-</v>
      </c>
      <c r="J65" s="109" t="str">
        <f>'Table 1.3 complete'!E62</f>
        <v>-</v>
      </c>
      <c r="K65" s="109" t="str">
        <f>'Table 1.3 complete'!F62</f>
        <v>-</v>
      </c>
      <c r="L65" s="109" t="str">
        <f>'Table 1.3 complete'!G62</f>
        <v>-</v>
      </c>
      <c r="M65" s="109" t="str">
        <f>'Table 1.3 complete'!H62</f>
        <v>-</v>
      </c>
      <c r="N65" s="109" t="str">
        <f>'Table 1.3 complete'!I62</f>
        <v>-</v>
      </c>
      <c r="O65" s="109">
        <f>'Table 1.3 complete'!J62</f>
        <v>16.079999999999998</v>
      </c>
      <c r="P65" s="109" t="str">
        <f>'Table 1.3 complete'!K62</f>
        <v>-</v>
      </c>
      <c r="Q65" s="109" t="str">
        <f>'Table 1.3 complete'!L62</f>
        <v>-</v>
      </c>
      <c r="R65" s="109" t="str">
        <f>'Table 1.3 complete'!M62</f>
        <v>-</v>
      </c>
      <c r="S65" s="109" t="str">
        <f>'Table 1.3 complete'!N62</f>
        <v>-</v>
      </c>
      <c r="T65" s="149">
        <f>SUM(F65:S65)</f>
        <v>16.079999999999998</v>
      </c>
      <c r="U65" s="106">
        <f>T65-'Table 1.1 complete'!E62</f>
        <v>-2.0000000000003126E-2</v>
      </c>
      <c r="V65" s="113">
        <f>T65-'Table 1.2 complete'!K62</f>
        <v>0</v>
      </c>
      <c r="W65" s="106">
        <f>'Table 1.2 complete'!K62-'Table 1.1 complete'!E62</f>
        <v>-2.0000000000003126E-2</v>
      </c>
    </row>
    <row r="66" spans="1:23" x14ac:dyDescent="0.25">
      <c r="A66" s="346"/>
      <c r="B66" s="167" t="str">
        <f>'Table 1.2 complete'!A63</f>
        <v>Saudi Arabia</v>
      </c>
      <c r="C66" s="198">
        <f>'Table 1.2 complete'!B63</f>
        <v>150</v>
      </c>
      <c r="D66" s="167" t="s">
        <v>422</v>
      </c>
      <c r="E66" s="127">
        <v>15</v>
      </c>
      <c r="F66" s="109" t="str">
        <f>'Table 1.2 complete'!E63</f>
        <v>-</v>
      </c>
      <c r="G66" s="109" t="str">
        <f>'Table 1.2 complete'!F63</f>
        <v>-</v>
      </c>
      <c r="H66" s="109" t="str">
        <f>'Table 1.2 complete'!G63</f>
        <v>-</v>
      </c>
      <c r="I66" s="109" t="str">
        <f>'Table 1.2 complete'!H63</f>
        <v>-</v>
      </c>
      <c r="J66" s="109" t="str">
        <f>'Table 1.3 complete'!E63</f>
        <v>-</v>
      </c>
      <c r="K66" s="109" t="str">
        <f>'Table 1.3 complete'!F63</f>
        <v>-</v>
      </c>
      <c r="L66" s="109" t="str">
        <f>'Table 1.3 complete'!G63</f>
        <v>-</v>
      </c>
      <c r="M66" s="109" t="str">
        <f>'Table 1.3 complete'!H63</f>
        <v>-</v>
      </c>
      <c r="N66" s="109">
        <f>'Table 1.3 complete'!I63</f>
        <v>104.32</v>
      </c>
      <c r="O66" s="109">
        <f>'Table 1.3 complete'!J63</f>
        <v>84.75</v>
      </c>
      <c r="P66" s="109" t="str">
        <f>'Table 1.3 complete'!K63</f>
        <v>-</v>
      </c>
      <c r="Q66" s="109" t="str">
        <f>'Table 1.3 complete'!L63</f>
        <v>-</v>
      </c>
      <c r="R66" s="109" t="str">
        <f>'Table 1.3 complete'!M63</f>
        <v>-</v>
      </c>
      <c r="S66" s="109" t="str">
        <f>'Table 1.3 complete'!N63</f>
        <v>-</v>
      </c>
      <c r="T66" s="149">
        <f>SUM(F66:S66)</f>
        <v>189.07</v>
      </c>
      <c r="U66" s="106">
        <f>T66-'Table 1.1 complete'!E63</f>
        <v>-3.0000000000001137E-2</v>
      </c>
      <c r="V66" s="113">
        <f>T66-'Table 1.2 complete'!K63</f>
        <v>-1.0000000000019327E-2</v>
      </c>
      <c r="W66" s="106">
        <f>'Table 1.2 complete'!K63-'Table 1.1 complete'!E63</f>
        <v>-1.999999999998181E-2</v>
      </c>
    </row>
    <row r="67" spans="1:23" x14ac:dyDescent="0.25">
      <c r="A67" s="346"/>
      <c r="B67" s="167" t="str">
        <f>'Table 1.2 complete'!A64</f>
        <v>Syria</v>
      </c>
      <c r="C67" s="198">
        <f>'Table 1.2 complete'!B64</f>
        <v>151</v>
      </c>
      <c r="D67" s="167" t="s">
        <v>422</v>
      </c>
      <c r="E67" s="127">
        <v>15</v>
      </c>
      <c r="F67" s="109" t="str">
        <f>'Table 1.2 complete'!E64</f>
        <v>-</v>
      </c>
      <c r="G67" s="109">
        <f>'Table 1.2 complete'!F64</f>
        <v>3.52</v>
      </c>
      <c r="H67" s="109" t="str">
        <f>'Table 1.2 complete'!G64</f>
        <v>-</v>
      </c>
      <c r="I67" s="109" t="str">
        <f>'Table 1.2 complete'!H64</f>
        <v>-</v>
      </c>
      <c r="J67" s="109" t="str">
        <f>'Table 1.3 complete'!E64</f>
        <v>-</v>
      </c>
      <c r="K67" s="109" t="str">
        <f>'Table 1.3 complete'!F64</f>
        <v>-</v>
      </c>
      <c r="L67" s="109" t="str">
        <f>'Table 1.3 complete'!G64</f>
        <v>-</v>
      </c>
      <c r="M67" s="109" t="str">
        <f>'Table 1.3 complete'!H64</f>
        <v>-</v>
      </c>
      <c r="N67" s="109">
        <f>'Table 1.3 complete'!I64</f>
        <v>23.05</v>
      </c>
      <c r="O67" s="109">
        <f>'Table 1.3 complete'!J64</f>
        <v>12.07</v>
      </c>
      <c r="P67" s="109" t="str">
        <f>'Table 1.3 complete'!K64</f>
        <v>-</v>
      </c>
      <c r="Q67" s="109" t="str">
        <f>'Table 1.3 complete'!L64</f>
        <v>-</v>
      </c>
      <c r="R67" s="109" t="str">
        <f>'Table 1.3 complete'!M64</f>
        <v>-</v>
      </c>
      <c r="S67" s="109" t="str">
        <f>'Table 1.3 complete'!N64</f>
        <v>-</v>
      </c>
      <c r="T67" s="149">
        <f>SUM(F67:S67)</f>
        <v>38.64</v>
      </c>
      <c r="U67" s="106">
        <f>T67-'Table 1.1 complete'!E64</f>
        <v>3.9999999999999147E-2</v>
      </c>
      <c r="V67" s="113">
        <f>T67-'Table 1.2 complete'!K64</f>
        <v>0</v>
      </c>
      <c r="W67" s="106">
        <f>'Table 1.2 complete'!K64-'Table 1.1 complete'!E64</f>
        <v>3.9999999999999147E-2</v>
      </c>
    </row>
    <row r="68" spans="1:23" x14ac:dyDescent="0.25">
      <c r="A68" s="346"/>
      <c r="B68" s="167" t="str">
        <f>'Table 1.2 complete'!A65</f>
        <v>Tunisia</v>
      </c>
      <c r="C68" s="198">
        <f>'Table 1.2 complete'!B65</f>
        <v>62</v>
      </c>
      <c r="D68" s="167" t="s">
        <v>422</v>
      </c>
      <c r="E68" s="127">
        <v>15</v>
      </c>
      <c r="F68" s="109" t="str">
        <f>'Table 1.2 complete'!E65</f>
        <v>-</v>
      </c>
      <c r="G68" s="109">
        <f>'Table 1.2 complete'!F65</f>
        <v>0.05</v>
      </c>
      <c r="H68" s="109" t="str">
        <f>'Table 1.2 complete'!G65</f>
        <v>-</v>
      </c>
      <c r="I68" s="109">
        <f>'Table 1.2 complete'!H65</f>
        <v>0.04</v>
      </c>
      <c r="J68" s="109" t="str">
        <f>'Table 1.3 complete'!E65</f>
        <v>-</v>
      </c>
      <c r="K68" s="109" t="str">
        <f>'Table 1.3 complete'!F65</f>
        <v>-</v>
      </c>
      <c r="L68" s="109" t="str">
        <f>'Table 1.3 complete'!G65</f>
        <v>-</v>
      </c>
      <c r="M68" s="109" t="str">
        <f>'Table 1.3 complete'!H65</f>
        <v>-</v>
      </c>
      <c r="N68" s="109">
        <f>'Table 1.3 complete'!I65</f>
        <v>2.38</v>
      </c>
      <c r="O68" s="109">
        <f>'Table 1.3 complete'!J65</f>
        <v>12.19</v>
      </c>
      <c r="P68" s="109" t="str">
        <f>'Table 1.3 complete'!K65</f>
        <v>-</v>
      </c>
      <c r="Q68" s="109" t="str">
        <f>'Table 1.3 complete'!L65</f>
        <v>-</v>
      </c>
      <c r="R68" s="109" t="str">
        <f>'Table 1.3 complete'!M65</f>
        <v>-</v>
      </c>
      <c r="S68" s="109" t="str">
        <f>'Table 1.3 complete'!N65</f>
        <v>-</v>
      </c>
      <c r="T68" s="149">
        <f>SUM(F68:S68)</f>
        <v>14.66</v>
      </c>
      <c r="U68" s="106">
        <f>T68-'Table 1.1 complete'!E65</f>
        <v>-3.9999999999999147E-2</v>
      </c>
      <c r="V68" s="113">
        <f>T68-'Table 1.2 complete'!K65</f>
        <v>0</v>
      </c>
      <c r="W68" s="106">
        <f>'Table 1.2 complete'!K65-'Table 1.1 complete'!E65</f>
        <v>-3.9999999999999147E-2</v>
      </c>
    </row>
    <row r="69" spans="1:23" x14ac:dyDescent="0.25">
      <c r="A69" s="346"/>
      <c r="B69" s="167" t="str">
        <f>'Table 1.2 complete'!A66</f>
        <v>UAE</v>
      </c>
      <c r="C69" s="198">
        <f>'Table 1.2 complete'!B66</f>
        <v>152</v>
      </c>
      <c r="D69" s="167" t="s">
        <v>422</v>
      </c>
      <c r="E69" s="127">
        <v>15</v>
      </c>
      <c r="F69" s="109" t="str">
        <f>'Table 1.2 complete'!E66</f>
        <v>-</v>
      </c>
      <c r="G69" s="109" t="str">
        <f>'Table 1.2 complete'!F66</f>
        <v>-</v>
      </c>
      <c r="H69" s="109" t="str">
        <f>'Table 1.2 complete'!G66</f>
        <v>-</v>
      </c>
      <c r="I69" s="109" t="str">
        <f>'Table 1.2 complete'!H66</f>
        <v>-</v>
      </c>
      <c r="J69" s="109" t="str">
        <f>'Table 1.3 complete'!E66</f>
        <v>-</v>
      </c>
      <c r="K69" s="109" t="str">
        <f>'Table 1.3 complete'!F66</f>
        <v>-</v>
      </c>
      <c r="L69" s="109" t="str">
        <f>'Table 1.3 complete'!G66</f>
        <v>-</v>
      </c>
      <c r="M69" s="109" t="str">
        <f>'Table 1.3 complete'!H66</f>
        <v>-</v>
      </c>
      <c r="N69" s="109">
        <f>'Table 1.3 complete'!I66</f>
        <v>1.42</v>
      </c>
      <c r="O69" s="109">
        <f>'Table 1.3 complete'!J66</f>
        <v>74.69</v>
      </c>
      <c r="P69" s="109" t="str">
        <f>'Table 1.3 complete'!K66</f>
        <v>-</v>
      </c>
      <c r="Q69" s="109" t="str">
        <f>'Table 1.3 complete'!L66</f>
        <v>-</v>
      </c>
      <c r="R69" s="109" t="str">
        <f>'Table 1.3 complete'!M66</f>
        <v>-</v>
      </c>
      <c r="S69" s="109" t="str">
        <f>'Table 1.3 complete'!N66</f>
        <v>-</v>
      </c>
      <c r="T69" s="149">
        <f>SUM(F69:S69)</f>
        <v>76.11</v>
      </c>
      <c r="U69" s="106">
        <f>T69-'Table 1.1 complete'!E66</f>
        <v>1.0000000000005116E-2</v>
      </c>
      <c r="V69" s="113">
        <f>T69-'Table 1.2 complete'!K66</f>
        <v>0</v>
      </c>
      <c r="W69" s="106">
        <f>'Table 1.2 complete'!K66-'Table 1.1 complete'!E66</f>
        <v>1.0000000000005116E-2</v>
      </c>
    </row>
    <row r="70" spans="1:23" x14ac:dyDescent="0.25">
      <c r="A70" s="346"/>
      <c r="B70" s="167" t="str">
        <f>'Table 1.2 complete'!A67</f>
        <v>Yemen</v>
      </c>
      <c r="C70" s="198">
        <f>'Table 1.2 complete'!B67</f>
        <v>153</v>
      </c>
      <c r="D70" s="167" t="s">
        <v>422</v>
      </c>
      <c r="E70" s="127">
        <v>15</v>
      </c>
      <c r="F70" s="109" t="str">
        <f>'Table 1.2 complete'!E67</f>
        <v>-</v>
      </c>
      <c r="G70" s="109" t="str">
        <f>'Table 1.2 complete'!F67</f>
        <v>-</v>
      </c>
      <c r="H70" s="109" t="str">
        <f>'Table 1.2 complete'!G67</f>
        <v>-</v>
      </c>
      <c r="I70" s="109" t="str">
        <f>'Table 1.2 complete'!H67</f>
        <v>-</v>
      </c>
      <c r="J70" s="109" t="str">
        <f>'Table 1.3 complete'!E67</f>
        <v>-</v>
      </c>
      <c r="K70" s="109" t="str">
        <f>'Table 1.3 complete'!F67</f>
        <v>-</v>
      </c>
      <c r="L70" s="109" t="str">
        <f>'Table 1.3 complete'!G67</f>
        <v>-</v>
      </c>
      <c r="M70" s="109" t="str">
        <f>'Table 1.3 complete'!H67</f>
        <v>-</v>
      </c>
      <c r="N70" s="109">
        <f>'Table 1.3 complete'!I67</f>
        <v>6.03</v>
      </c>
      <c r="O70" s="109" t="str">
        <f>'Table 1.3 complete'!J67</f>
        <v>-</v>
      </c>
      <c r="P70" s="109" t="str">
        <f>'Table 1.3 complete'!K67</f>
        <v>-</v>
      </c>
      <c r="Q70" s="109" t="str">
        <f>'Table 1.3 complete'!L67</f>
        <v>-</v>
      </c>
      <c r="R70" s="109" t="str">
        <f>'Table 1.3 complete'!M67</f>
        <v>-</v>
      </c>
      <c r="S70" s="109" t="str">
        <f>'Table 1.3 complete'!N67</f>
        <v>-</v>
      </c>
      <c r="T70" s="149">
        <f>SUM(F70:S70)</f>
        <v>6.03</v>
      </c>
      <c r="U70" s="106">
        <f>T70-'Table 1.1 complete'!E67</f>
        <v>3.0000000000000249E-2</v>
      </c>
      <c r="V70" s="113">
        <f>T70-'Table 1.2 complete'!K67</f>
        <v>0</v>
      </c>
      <c r="W70" s="106">
        <f>'Table 1.2 complete'!K67-'Table 1.1 complete'!E67</f>
        <v>3.0000000000000249E-2</v>
      </c>
    </row>
    <row r="71" spans="1:23" x14ac:dyDescent="0.25">
      <c r="A71" s="346"/>
      <c r="B71" s="609" t="str">
        <f>'Table 1.2 complete'!A68</f>
        <v>Ecuador</v>
      </c>
      <c r="C71" s="610">
        <f>'Table 1.2 complete'!B68</f>
        <v>75</v>
      </c>
      <c r="D71" s="609" t="s">
        <v>421</v>
      </c>
      <c r="E71" s="611">
        <v>16</v>
      </c>
      <c r="F71" s="109" t="str">
        <f>'Table 1.2 complete'!E68</f>
        <v>-</v>
      </c>
      <c r="G71" s="109">
        <f>'Table 1.2 complete'!F68</f>
        <v>9.0399999999999991</v>
      </c>
      <c r="H71" s="109" t="str">
        <f>'Table 1.2 complete'!G68</f>
        <v>-</v>
      </c>
      <c r="I71" s="109" t="str">
        <f>'Table 1.2 complete'!H68</f>
        <v>-</v>
      </c>
      <c r="J71" s="109" t="str">
        <f>'Table 1.3 complete'!E68</f>
        <v>-</v>
      </c>
      <c r="K71" s="109" t="str">
        <f>'Table 1.3 complete'!F68</f>
        <v>-</v>
      </c>
      <c r="L71" s="109" t="str">
        <f>'Table 1.3 complete'!G68</f>
        <v>-</v>
      </c>
      <c r="M71" s="109" t="str">
        <f>'Table 1.3 complete'!H68</f>
        <v>-</v>
      </c>
      <c r="N71" s="109">
        <f>'Table 1.3 complete'!I68</f>
        <v>7.12</v>
      </c>
      <c r="O71" s="109">
        <f>'Table 1.3 complete'!J68</f>
        <v>1.18</v>
      </c>
      <c r="P71" s="109" t="str">
        <f>'Table 1.3 complete'!K68</f>
        <v>-</v>
      </c>
      <c r="Q71" s="109" t="str">
        <f>'Table 1.3 complete'!L68</f>
        <v>-</v>
      </c>
      <c r="R71" s="109" t="str">
        <f>'Table 1.3 complete'!M68</f>
        <v>-</v>
      </c>
      <c r="S71" s="109" t="str">
        <f>'Table 1.3 complete'!N68</f>
        <v>-</v>
      </c>
      <c r="T71" s="149">
        <f>SUM(F71:S71)</f>
        <v>17.34</v>
      </c>
      <c r="U71" s="106">
        <f>T71-'Table 1.1 complete'!E68</f>
        <v>3.9999999999999147E-2</v>
      </c>
      <c r="V71" s="113">
        <f>T71-'Table 1.2 complete'!K68</f>
        <v>0</v>
      </c>
      <c r="W71" s="106">
        <f>'Table 1.2 complete'!K68-'Table 1.1 complete'!E68</f>
        <v>3.9999999999999147E-2</v>
      </c>
    </row>
    <row r="72" spans="1:23" x14ac:dyDescent="0.25">
      <c r="A72" s="346"/>
      <c r="B72" s="609" t="str">
        <f>'Table 1.2 complete'!A69</f>
        <v>Indonesia</v>
      </c>
      <c r="C72" s="610">
        <f>'Table 1.2 complete'!B69</f>
        <v>95</v>
      </c>
      <c r="D72" s="609" t="s">
        <v>421</v>
      </c>
      <c r="E72" s="611">
        <v>16</v>
      </c>
      <c r="F72" s="109" t="str">
        <f>'Table 1.2 complete'!E69</f>
        <v>-</v>
      </c>
      <c r="G72" s="109">
        <f>'Table 1.2 complete'!F69</f>
        <v>11.29</v>
      </c>
      <c r="H72" s="109">
        <f>'Table 1.2 complete'!G69</f>
        <v>7.02</v>
      </c>
      <c r="I72" s="109" t="str">
        <f>'Table 1.2 complete'!H69</f>
        <v>-</v>
      </c>
      <c r="J72" s="109" t="str">
        <f>'Table 1.3 complete'!E69</f>
        <v>-</v>
      </c>
      <c r="K72" s="109">
        <f>'Table 1.3 complete'!F69</f>
        <v>63.83</v>
      </c>
      <c r="L72" s="109" t="str">
        <f>'Table 1.3 complete'!G69</f>
        <v>-</v>
      </c>
      <c r="M72" s="109" t="str">
        <f>'Table 1.3 complete'!H69</f>
        <v>-</v>
      </c>
      <c r="N72" s="109">
        <f>'Table 1.3 complete'!I69</f>
        <v>37.700000000000003</v>
      </c>
      <c r="O72" s="109">
        <f>'Table 1.3 complete'!J69</f>
        <v>22.4</v>
      </c>
      <c r="P72" s="109" t="str">
        <f>'Table 1.3 complete'!K69</f>
        <v>-</v>
      </c>
      <c r="Q72" s="109" t="str">
        <f>'Table 1.3 complete'!L69</f>
        <v>-</v>
      </c>
      <c r="R72" s="109" t="str">
        <f>'Table 1.3 complete'!M69</f>
        <v>-</v>
      </c>
      <c r="S72" s="109" t="str">
        <f>'Table 1.3 complete'!N69</f>
        <v>-</v>
      </c>
      <c r="T72" s="149">
        <f>SUM(F72:S72)</f>
        <v>142.24</v>
      </c>
      <c r="U72" s="106">
        <f>T72-'Table 1.1 complete'!E69</f>
        <v>4.0000000000020464E-2</v>
      </c>
      <c r="V72" s="113">
        <f>T72-'Table 1.2 complete'!K69</f>
        <v>0</v>
      </c>
      <c r="W72" s="106">
        <f>'Table 1.2 complete'!K69-'Table 1.1 complete'!E69</f>
        <v>4.0000000000020464E-2</v>
      </c>
    </row>
    <row r="73" spans="1:23" x14ac:dyDescent="0.25">
      <c r="A73" s="346"/>
      <c r="B73" s="609" t="str">
        <f>'Table 1.2 complete'!A70</f>
        <v>Nigeria</v>
      </c>
      <c r="C73" s="610">
        <f>'Table 1.2 complete'!B70</f>
        <v>56</v>
      </c>
      <c r="D73" s="609" t="s">
        <v>421</v>
      </c>
      <c r="E73" s="611">
        <v>16</v>
      </c>
      <c r="F73" s="109" t="str">
        <f>'Table 1.2 complete'!E70</f>
        <v>-</v>
      </c>
      <c r="G73" s="109">
        <f>'Table 1.2 complete'!F70</f>
        <v>6.41</v>
      </c>
      <c r="H73" s="109" t="str">
        <f>'Table 1.2 complete'!G70</f>
        <v>-</v>
      </c>
      <c r="I73" s="109" t="str">
        <f>'Table 1.2 complete'!H70</f>
        <v>-</v>
      </c>
      <c r="J73" s="109" t="str">
        <f>'Table 1.3 complete'!E70</f>
        <v>-</v>
      </c>
      <c r="K73" s="109" t="str">
        <f>'Table 1.3 complete'!F70</f>
        <v>-</v>
      </c>
      <c r="L73" s="109" t="str">
        <f>'Table 1.3 complete'!G70</f>
        <v>-</v>
      </c>
      <c r="M73" s="109" t="str">
        <f>'Table 1.3 complete'!H70</f>
        <v>-</v>
      </c>
      <c r="N73" s="109">
        <f>'Table 1.3 complete'!I70</f>
        <v>1.1399999999999999</v>
      </c>
      <c r="O73" s="109">
        <f>'Table 1.3 complete'!J70</f>
        <v>15.44</v>
      </c>
      <c r="P73" s="109" t="str">
        <f>'Table 1.3 complete'!K70</f>
        <v>-</v>
      </c>
      <c r="Q73" s="109" t="str">
        <f>'Table 1.3 complete'!L70</f>
        <v>-</v>
      </c>
      <c r="R73" s="109" t="str">
        <f>'Table 1.3 complete'!M70</f>
        <v>-</v>
      </c>
      <c r="S73" s="109" t="str">
        <f>'Table 1.3 complete'!N70</f>
        <v>-</v>
      </c>
      <c r="T73" s="149">
        <f>SUM(F73:S73)</f>
        <v>22.99</v>
      </c>
      <c r="U73" s="106">
        <f>T73-'Table 1.1 complete'!E70</f>
        <v>-1.0000000000001563E-2</v>
      </c>
      <c r="V73" s="113">
        <f>T73-'Table 1.2 complete'!K70</f>
        <v>9.9999999999980105E-3</v>
      </c>
      <c r="W73" s="106">
        <f>'Table 1.2 complete'!K70-'Table 1.1 complete'!E70</f>
        <v>-1.9999999999999574E-2</v>
      </c>
    </row>
    <row r="74" spans="1:23" x14ac:dyDescent="0.25">
      <c r="A74" s="346"/>
      <c r="B74" s="609" t="str">
        <f>'Table 1.2 complete'!A71</f>
        <v>Venezuela</v>
      </c>
      <c r="C74" s="610">
        <f>'Table 1.2 complete'!B71</f>
        <v>88</v>
      </c>
      <c r="D74" s="609" t="s">
        <v>421</v>
      </c>
      <c r="E74" s="611">
        <v>16</v>
      </c>
      <c r="F74" s="109" t="str">
        <f>'Table 1.2 complete'!E71</f>
        <v>-</v>
      </c>
      <c r="G74" s="109">
        <f>'Table 1.2 complete'!F71</f>
        <v>83.06</v>
      </c>
      <c r="H74" s="109" t="str">
        <f>'Table 1.2 complete'!G71</f>
        <v>-</v>
      </c>
      <c r="I74" s="109" t="str">
        <f>'Table 1.2 complete'!H71</f>
        <v>-</v>
      </c>
      <c r="J74" s="109" t="str">
        <f>'Table 1.3 complete'!E71</f>
        <v>-</v>
      </c>
      <c r="K74" s="109" t="str">
        <f>'Table 1.3 complete'!F71</f>
        <v>-</v>
      </c>
      <c r="L74" s="109" t="str">
        <f>'Table 1.3 complete'!G71</f>
        <v>-</v>
      </c>
      <c r="M74" s="109" t="str">
        <f>'Table 1.3 complete'!H71</f>
        <v>-</v>
      </c>
      <c r="N74" s="109">
        <f>'Table 1.3 complete'!I71</f>
        <v>13.11</v>
      </c>
      <c r="O74" s="109">
        <f>'Table 1.3 complete'!J71</f>
        <v>18.690000000000001</v>
      </c>
      <c r="P74" s="109" t="str">
        <f>'Table 1.3 complete'!K71</f>
        <v>-</v>
      </c>
      <c r="Q74" s="109" t="str">
        <f>'Table 1.3 complete'!L71</f>
        <v>-</v>
      </c>
      <c r="R74" s="109" t="str">
        <f>'Table 1.3 complete'!M71</f>
        <v>-</v>
      </c>
      <c r="S74" s="109" t="str">
        <f>'Table 1.3 complete'!N71</f>
        <v>-</v>
      </c>
      <c r="T74" s="149">
        <f>SUM(F74:S74)</f>
        <v>114.86</v>
      </c>
      <c r="U74" s="106">
        <f>T74-'Table 1.1 complete'!E71</f>
        <v>-4.0000000000006253E-2</v>
      </c>
      <c r="V74" s="113">
        <f>T74-'Table 1.2 complete'!K71</f>
        <v>1.0000000000005116E-2</v>
      </c>
      <c r="W74" s="106">
        <f>'Table 1.2 complete'!K71-'Table 1.1 complete'!E71</f>
        <v>-5.0000000000011369E-2</v>
      </c>
    </row>
    <row r="75" spans="1:23" x14ac:dyDescent="0.25">
      <c r="A75" s="346"/>
      <c r="B75" s="172" t="str">
        <f>'Table 1.2 complete'!A72</f>
        <v>Albania</v>
      </c>
      <c r="C75" s="203">
        <f>'Table 1.2 complete'!B72</f>
        <v>113</v>
      </c>
      <c r="D75" s="172" t="s">
        <v>423</v>
      </c>
      <c r="E75" s="132">
        <v>17</v>
      </c>
      <c r="F75" s="109" t="str">
        <f>'Table 1.2 complete'!E72</f>
        <v>-</v>
      </c>
      <c r="G75" s="109">
        <f>'Table 1.2 complete'!F72</f>
        <v>2.79</v>
      </c>
      <c r="H75" s="109" t="str">
        <f>'Table 1.2 complete'!G72</f>
        <v>-</v>
      </c>
      <c r="I75" s="109" t="str">
        <f>'Table 1.2 complete'!H72</f>
        <v>-</v>
      </c>
      <c r="J75" s="109" t="str">
        <f>'Table 1.3 complete'!E72</f>
        <v>-</v>
      </c>
      <c r="K75" s="109" t="str">
        <f>'Table 1.3 complete'!F72</f>
        <v>-</v>
      </c>
      <c r="L75" s="109" t="str">
        <f>'Table 1.3 complete'!G72</f>
        <v>-</v>
      </c>
      <c r="M75" s="109" t="str">
        <f>'Table 1.3 complete'!H72</f>
        <v>-</v>
      </c>
      <c r="N75" s="109">
        <f>'Table 1.3 complete'!I72</f>
        <v>7.0000000000000007E-2</v>
      </c>
      <c r="O75" s="109" t="str">
        <f>'Table 1.3 complete'!J72</f>
        <v>-</v>
      </c>
      <c r="P75" s="109" t="str">
        <f>'Table 1.3 complete'!K72</f>
        <v>-</v>
      </c>
      <c r="Q75" s="109" t="str">
        <f>'Table 1.3 complete'!L72</f>
        <v>-</v>
      </c>
      <c r="R75" s="109" t="str">
        <f>'Table 1.3 complete'!M72</f>
        <v>-</v>
      </c>
      <c r="S75" s="109" t="str">
        <f>'Table 1.3 complete'!N72</f>
        <v>-</v>
      </c>
      <c r="T75" s="149">
        <f>SUM(F75:S75)</f>
        <v>2.86</v>
      </c>
      <c r="U75" s="106">
        <f>T75-'Table 1.1 complete'!E72</f>
        <v>-4.0000000000000036E-2</v>
      </c>
      <c r="V75" s="113">
        <f>T75-'Table 1.2 complete'!K72</f>
        <v>0</v>
      </c>
      <c r="W75" s="106">
        <f>'Table 1.2 complete'!K72-'Table 1.1 complete'!E72</f>
        <v>-4.0000000000000036E-2</v>
      </c>
    </row>
    <row r="76" spans="1:23" x14ac:dyDescent="0.25">
      <c r="A76" s="346"/>
      <c r="B76" s="172" t="str">
        <f>'Table 1.2 complete'!A73</f>
        <v xml:space="preserve">Angola        </v>
      </c>
      <c r="C76" s="203">
        <f>'Table 1.2 complete'!B73</f>
        <v>39</v>
      </c>
      <c r="D76" s="172" t="s">
        <v>423</v>
      </c>
      <c r="E76" s="132">
        <v>17</v>
      </c>
      <c r="F76" s="109" t="str">
        <f>'Table 1.2 complete'!E73</f>
        <v>-</v>
      </c>
      <c r="G76" s="109">
        <f>'Table 1.2 complete'!F73</f>
        <v>3.2</v>
      </c>
      <c r="H76" s="109" t="str">
        <f>'Table 1.2 complete'!G73</f>
        <v>-</v>
      </c>
      <c r="I76" s="109" t="str">
        <f>'Table 1.2 complete'!H73</f>
        <v>-</v>
      </c>
      <c r="J76" s="109" t="str">
        <f>'Table 1.3 complete'!E73</f>
        <v>-</v>
      </c>
      <c r="K76" s="109" t="str">
        <f>'Table 1.3 complete'!F73</f>
        <v>-</v>
      </c>
      <c r="L76" s="109" t="str">
        <f>'Table 1.3 complete'!G73</f>
        <v>-</v>
      </c>
      <c r="M76" s="109" t="str">
        <f>'Table 1.3 complete'!H73</f>
        <v>-</v>
      </c>
      <c r="N76" s="109">
        <f>'Table 1.3 complete'!I73</f>
        <v>0.59</v>
      </c>
      <c r="O76" s="109" t="str">
        <f>'Table 1.3 complete'!J73</f>
        <v>-</v>
      </c>
      <c r="P76" s="109" t="str">
        <f>'Table 1.3 complete'!K73</f>
        <v>-</v>
      </c>
      <c r="Q76" s="109" t="str">
        <f>'Table 1.3 complete'!L73</f>
        <v>-</v>
      </c>
      <c r="R76" s="109" t="str">
        <f>'Table 1.3 complete'!M73</f>
        <v>-</v>
      </c>
      <c r="S76" s="109" t="str">
        <f>'Table 1.3 complete'!N73</f>
        <v>-</v>
      </c>
      <c r="T76" s="149">
        <f>SUM(F76:S76)</f>
        <v>3.79</v>
      </c>
      <c r="U76" s="106">
        <f>T76-'Table 1.1 complete'!E73</f>
        <v>-9.9999999999997868E-3</v>
      </c>
      <c r="V76" s="113">
        <f>T76-'Table 1.2 complete'!K73</f>
        <v>0</v>
      </c>
      <c r="W76" s="106">
        <f>'Table 1.2 complete'!K73-'Table 1.1 complete'!E73</f>
        <v>-9.9999999999997868E-3</v>
      </c>
    </row>
    <row r="77" spans="1:23" x14ac:dyDescent="0.25">
      <c r="A77" s="346"/>
      <c r="B77" s="172" t="str">
        <f>'Table 1.2 complete'!A74</f>
        <v>Argentina</v>
      </c>
      <c r="C77" s="203">
        <f>'Table 1.2 complete'!B74</f>
        <v>67</v>
      </c>
      <c r="D77" s="172" t="s">
        <v>423</v>
      </c>
      <c r="E77" s="132">
        <v>17</v>
      </c>
      <c r="F77" s="109">
        <f>'Table 1.2 complete'!E74</f>
        <v>7.22</v>
      </c>
      <c r="G77" s="109">
        <f>'Table 1.2 complete'!F74</f>
        <v>30.73</v>
      </c>
      <c r="H77" s="109" t="str">
        <f>'Table 1.2 complete'!G74</f>
        <v>-</v>
      </c>
      <c r="I77" s="109">
        <f>'Table 1.2 complete'!H74</f>
        <v>0.06</v>
      </c>
      <c r="J77" s="109">
        <f>'Table 1.3 complete'!E74</f>
        <v>1.67</v>
      </c>
      <c r="K77" s="109" t="str">
        <f>'Table 1.3 complete'!F74</f>
        <v>-</v>
      </c>
      <c r="L77" s="109" t="str">
        <f>'Table 1.3 complete'!G74</f>
        <v>-</v>
      </c>
      <c r="M77" s="109">
        <f>'Table 1.3 complete'!H74</f>
        <v>0.83</v>
      </c>
      <c r="N77" s="109">
        <f>'Table 1.3 complete'!I74</f>
        <v>10.79</v>
      </c>
      <c r="O77" s="109">
        <f>'Table 1.3 complete'!J74</f>
        <v>62.53</v>
      </c>
      <c r="P77" s="109">
        <f>'Table 1.3 complete'!K74</f>
        <v>1.48</v>
      </c>
      <c r="Q77" s="109" t="str">
        <f>'Table 1.3 complete'!L74</f>
        <v>-</v>
      </c>
      <c r="R77" s="109" t="str">
        <f>'Table 1.3 complete'!M74</f>
        <v>-</v>
      </c>
      <c r="S77" s="109" t="str">
        <f>'Table 1.3 complete'!N74</f>
        <v>-</v>
      </c>
      <c r="T77" s="149">
        <f>SUM(F77:S77)</f>
        <v>115.31000000000002</v>
      </c>
      <c r="U77" s="106">
        <f>T77-'Table 1.1 complete'!E74</f>
        <v>1.0000000000019327E-2</v>
      </c>
      <c r="V77" s="113">
        <f>T77-'Table 1.2 complete'!K74</f>
        <v>1.0000000000019327E-2</v>
      </c>
      <c r="W77" s="106">
        <f>'Table 1.2 complete'!K74-'Table 1.1 complete'!E74</f>
        <v>0</v>
      </c>
    </row>
    <row r="78" spans="1:23" x14ac:dyDescent="0.25">
      <c r="A78" s="346"/>
      <c r="B78" s="172" t="str">
        <f>'Table 1.2 complete'!A75</f>
        <v>Armenia</v>
      </c>
      <c r="C78" s="203">
        <f>'Table 1.2 complete'!B75</f>
        <v>125</v>
      </c>
      <c r="D78" s="172" t="s">
        <v>423</v>
      </c>
      <c r="E78" s="132">
        <v>17</v>
      </c>
      <c r="F78" s="109">
        <f>'Table 1.2 complete'!E75</f>
        <v>2.5499999999999998</v>
      </c>
      <c r="G78" s="109">
        <f>'Table 1.2 complete'!F75</f>
        <v>1.85</v>
      </c>
      <c r="H78" s="109" t="str">
        <f>'Table 1.2 complete'!G75</f>
        <v>-</v>
      </c>
      <c r="I78" s="109">
        <f>'Table 1.2 complete'!H75</f>
        <v>0</v>
      </c>
      <c r="J78" s="109" t="str">
        <f>'Table 1.3 complete'!E75</f>
        <v>-</v>
      </c>
      <c r="K78" s="109" t="str">
        <f>'Table 1.3 complete'!F75</f>
        <v>-</v>
      </c>
      <c r="L78" s="109" t="str">
        <f>'Table 1.3 complete'!G75</f>
        <v>-</v>
      </c>
      <c r="M78" s="109" t="str">
        <f>'Table 1.3 complete'!H75</f>
        <v>-</v>
      </c>
      <c r="N78" s="109" t="str">
        <f>'Table 1.3 complete'!I75</f>
        <v>-</v>
      </c>
      <c r="O78" s="109">
        <f>'Table 1.3 complete'!J75</f>
        <v>1.49</v>
      </c>
      <c r="P78" s="109" t="str">
        <f>'Table 1.3 complete'!K75</f>
        <v>-</v>
      </c>
      <c r="Q78" s="109" t="str">
        <f>'Table 1.3 complete'!L75</f>
        <v>-</v>
      </c>
      <c r="R78" s="109" t="str">
        <f>'Table 1.3 complete'!M75</f>
        <v>-</v>
      </c>
      <c r="S78" s="109" t="str">
        <f>'Table 1.3 complete'!N75</f>
        <v>-</v>
      </c>
      <c r="T78" s="149">
        <f>SUM(F78:S78)</f>
        <v>5.8900000000000006</v>
      </c>
      <c r="U78" s="106">
        <f>T78-'Table 1.1 complete'!E75</f>
        <v>-9.9999999999997868E-3</v>
      </c>
      <c r="V78" s="113">
        <f>T78-'Table 1.2 complete'!K75</f>
        <v>-9.9999999999997868E-3</v>
      </c>
      <c r="W78" s="106">
        <f>'Table 1.2 complete'!K75-'Table 1.1 complete'!E75</f>
        <v>0</v>
      </c>
    </row>
    <row r="79" spans="1:23" x14ac:dyDescent="0.25">
      <c r="A79" s="346"/>
      <c r="B79" s="172" t="str">
        <f>'Table 1.2 complete'!A76</f>
        <v>Azerbaijan</v>
      </c>
      <c r="C79" s="203">
        <f>'Table 1.2 complete'!B76</f>
        <v>126</v>
      </c>
      <c r="D79" s="172" t="s">
        <v>423</v>
      </c>
      <c r="E79" s="132">
        <v>17</v>
      </c>
      <c r="F79" s="109" t="str">
        <f>'Table 1.2 complete'!E76</f>
        <v>-</v>
      </c>
      <c r="G79" s="109">
        <f>'Table 1.2 complete'!F76</f>
        <v>2.36</v>
      </c>
      <c r="H79" s="109" t="str">
        <f>'Table 1.2 complete'!G76</f>
        <v>-</v>
      </c>
      <c r="I79" s="109" t="str">
        <f>'Table 1.2 complete'!H76</f>
        <v>-</v>
      </c>
      <c r="J79" s="109" t="str">
        <f>'Table 1.3 complete'!E76</f>
        <v>-</v>
      </c>
      <c r="K79" s="109" t="str">
        <f>'Table 1.3 complete'!F76</f>
        <v>-</v>
      </c>
      <c r="L79" s="109" t="str">
        <f>'Table 1.3 complete'!G76</f>
        <v>-</v>
      </c>
      <c r="M79" s="109" t="str">
        <f>'Table 1.3 complete'!H76</f>
        <v>-</v>
      </c>
      <c r="N79" s="109">
        <f>'Table 1.3 complete'!I76</f>
        <v>3.8</v>
      </c>
      <c r="O79" s="109">
        <f>'Table 1.3 complete'!J76</f>
        <v>18.05</v>
      </c>
      <c r="P79" s="109" t="str">
        <f>'Table 1.3 complete'!K76</f>
        <v>-</v>
      </c>
      <c r="Q79" s="109" t="str">
        <f>'Table 1.3 complete'!L76</f>
        <v>-</v>
      </c>
      <c r="R79" s="109" t="str">
        <f>'Table 1.3 complete'!M76</f>
        <v>-</v>
      </c>
      <c r="S79" s="109" t="str">
        <f>'Table 1.3 complete'!N76</f>
        <v>-</v>
      </c>
      <c r="T79" s="149">
        <f>SUM(F79:S79)</f>
        <v>24.21</v>
      </c>
      <c r="U79" s="106">
        <f>T79-'Table 1.1 complete'!E76</f>
        <v>1.0000000000001563E-2</v>
      </c>
      <c r="V79" s="113">
        <f>T79-'Table 1.2 complete'!K76</f>
        <v>0</v>
      </c>
      <c r="W79" s="106">
        <f>'Table 1.2 complete'!K76-'Table 1.1 complete'!E76</f>
        <v>1.0000000000001563E-2</v>
      </c>
    </row>
    <row r="80" spans="1:23" x14ac:dyDescent="0.25">
      <c r="A80" s="346"/>
      <c r="B80" s="172" t="str">
        <f>'Table 1.2 complete'!A77</f>
        <v>Bangladesh</v>
      </c>
      <c r="C80" s="203">
        <f>'Table 1.2 complete'!B77</f>
        <v>91</v>
      </c>
      <c r="D80" s="172" t="s">
        <v>423</v>
      </c>
      <c r="E80" s="132">
        <v>17</v>
      </c>
      <c r="F80" s="109" t="str">
        <f>'Table 1.2 complete'!E77</f>
        <v>-</v>
      </c>
      <c r="G80" s="109">
        <f>'Table 1.2 complete'!F77</f>
        <v>1.39</v>
      </c>
      <c r="H80" s="109" t="str">
        <f>'Table 1.2 complete'!G77</f>
        <v>-</v>
      </c>
      <c r="I80" s="109" t="str">
        <f>'Table 1.2 complete'!H77</f>
        <v>-</v>
      </c>
      <c r="J80" s="109" t="str">
        <f>'Table 1.3 complete'!E77</f>
        <v>-</v>
      </c>
      <c r="K80" s="109" t="str">
        <f>'Table 1.3 complete'!F77</f>
        <v>-</v>
      </c>
      <c r="L80" s="109" t="str">
        <f>'Table 1.3 complete'!G77</f>
        <v>-</v>
      </c>
      <c r="M80" s="109" t="str">
        <f>'Table 1.3 complete'!H77</f>
        <v>-</v>
      </c>
      <c r="N80" s="109">
        <f>'Table 1.3 complete'!I77</f>
        <v>1.64</v>
      </c>
      <c r="O80" s="109">
        <f>'Table 1.3 complete'!J77</f>
        <v>21.34</v>
      </c>
      <c r="P80" s="109" t="str">
        <f>'Table 1.3 complete'!K77</f>
        <v>-</v>
      </c>
      <c r="Q80" s="109" t="str">
        <f>'Table 1.3 complete'!L77</f>
        <v>-</v>
      </c>
      <c r="R80" s="109" t="str">
        <f>'Table 1.3 complete'!M77</f>
        <v>-</v>
      </c>
      <c r="S80" s="109" t="str">
        <f>'Table 1.3 complete'!N77</f>
        <v>-</v>
      </c>
      <c r="T80" s="149">
        <f>SUM(F80:S80)</f>
        <v>24.37</v>
      </c>
      <c r="U80" s="106">
        <f>T80-'Table 1.1 complete'!E77</f>
        <v>-2.9999999999997584E-2</v>
      </c>
      <c r="V80" s="113">
        <f>T80-'Table 1.2 complete'!K77</f>
        <v>-9.9999999999980105E-3</v>
      </c>
      <c r="W80" s="106">
        <f>'Table 1.2 complete'!K77-'Table 1.1 complete'!E77</f>
        <v>-1.9999999999999574E-2</v>
      </c>
    </row>
    <row r="81" spans="1:23" x14ac:dyDescent="0.25">
      <c r="A81" s="346"/>
      <c r="B81" s="172" t="str">
        <f>'Table 1.2 complete'!A78</f>
        <v>Belarus</v>
      </c>
      <c r="C81" s="203">
        <f>'Table 1.2 complete'!B78</f>
        <v>127</v>
      </c>
      <c r="D81" s="172" t="s">
        <v>423</v>
      </c>
      <c r="E81" s="132">
        <v>17</v>
      </c>
      <c r="F81" s="109" t="str">
        <f>'Table 1.2 complete'!E78</f>
        <v>-</v>
      </c>
      <c r="G81" s="109">
        <f>'Table 1.2 complete'!F78</f>
        <v>0.04</v>
      </c>
      <c r="H81" s="109" t="str">
        <f>'Table 1.2 complete'!G78</f>
        <v>-</v>
      </c>
      <c r="I81" s="109">
        <f>'Table 1.2 complete'!H78</f>
        <v>0</v>
      </c>
      <c r="J81" s="109" t="str">
        <f>'Table 1.3 complete'!E78</f>
        <v>-</v>
      </c>
      <c r="K81" s="109" t="str">
        <f>'Table 1.3 complete'!F78</f>
        <v>-</v>
      </c>
      <c r="L81" s="109">
        <f>'Table 1.3 complete'!G78</f>
        <v>0.01</v>
      </c>
      <c r="M81" s="109" t="str">
        <f>'Table 1.3 complete'!H78</f>
        <v>-</v>
      </c>
      <c r="N81" s="109">
        <f>'Table 1.3 complete'!I78</f>
        <v>0.17</v>
      </c>
      <c r="O81" s="109">
        <f>'Table 1.3 complete'!J78</f>
        <v>31.52</v>
      </c>
      <c r="P81" s="109">
        <f>'Table 1.3 complete'!K78</f>
        <v>0.01</v>
      </c>
      <c r="Q81" s="109">
        <f>'Table 1.3 complete'!L78</f>
        <v>7.0000000000000007E-2</v>
      </c>
      <c r="R81" s="109" t="str">
        <f>'Table 1.3 complete'!M78</f>
        <v>-</v>
      </c>
      <c r="S81" s="109" t="str">
        <f>'Table 1.3 complete'!N78</f>
        <v>-</v>
      </c>
      <c r="T81" s="149">
        <f>SUM(F81:S81)</f>
        <v>31.82</v>
      </c>
      <c r="U81" s="106">
        <f>T81-'Table 1.1 complete'!E78</f>
        <v>1.9999999999999574E-2</v>
      </c>
      <c r="V81" s="113">
        <f>T81-'Table 1.2 complete'!K78</f>
        <v>-9.9999999999980105E-3</v>
      </c>
      <c r="W81" s="106">
        <f>'Table 1.2 complete'!K78-'Table 1.1 complete'!E78</f>
        <v>2.9999999999997584E-2</v>
      </c>
    </row>
    <row r="82" spans="1:23" x14ac:dyDescent="0.25">
      <c r="A82" s="346"/>
      <c r="B82" s="172" t="str">
        <f>'Table 1.2 complete'!A79</f>
        <v>Benin</v>
      </c>
      <c r="C82" s="203">
        <f>'Table 1.2 complete'!B79</f>
        <v>40</v>
      </c>
      <c r="D82" s="172" t="s">
        <v>423</v>
      </c>
      <c r="E82" s="132">
        <v>17</v>
      </c>
      <c r="F82" s="109" t="str">
        <f>'Table 1.2 complete'!E79</f>
        <v>-</v>
      </c>
      <c r="G82" s="109">
        <f>'Table 1.2 complete'!F79</f>
        <v>0</v>
      </c>
      <c r="H82" s="109" t="str">
        <f>'Table 1.2 complete'!G79</f>
        <v>-</v>
      </c>
      <c r="I82" s="109" t="str">
        <f>'Table 1.2 complete'!H79</f>
        <v>-</v>
      </c>
      <c r="J82" s="109" t="str">
        <f>'Table 1.3 complete'!E79</f>
        <v>-</v>
      </c>
      <c r="K82" s="109" t="str">
        <f>'Table 1.3 complete'!F79</f>
        <v>-</v>
      </c>
      <c r="L82" s="109" t="str">
        <f>'Table 1.3 complete'!G79</f>
        <v>-</v>
      </c>
      <c r="M82" s="109" t="str">
        <f>'Table 1.3 complete'!H79</f>
        <v>-</v>
      </c>
      <c r="N82" s="109">
        <f>'Table 1.3 complete'!I79</f>
        <v>0.13</v>
      </c>
      <c r="O82" s="109" t="str">
        <f>'Table 1.3 complete'!J79</f>
        <v>-</v>
      </c>
      <c r="P82" s="109" t="str">
        <f>'Table 1.3 complete'!K79</f>
        <v>-</v>
      </c>
      <c r="Q82" s="109" t="str">
        <f>'Table 1.3 complete'!L79</f>
        <v>-</v>
      </c>
      <c r="R82" s="109" t="str">
        <f>'Table 1.3 complete'!M79</f>
        <v>-</v>
      </c>
      <c r="S82" s="109" t="str">
        <f>'Table 1.3 complete'!N79</f>
        <v>-</v>
      </c>
      <c r="T82" s="149">
        <f>SUM(F82:S82)</f>
        <v>0.13</v>
      </c>
      <c r="U82" s="106">
        <f>T82-'Table 1.1 complete'!E79</f>
        <v>0.03</v>
      </c>
      <c r="V82" s="113">
        <f>T82-'Table 1.2 complete'!K79</f>
        <v>0</v>
      </c>
      <c r="W82" s="106">
        <f>'Table 1.2 complete'!K79-'Table 1.1 complete'!E79</f>
        <v>0.03</v>
      </c>
    </row>
    <row r="83" spans="1:23" x14ac:dyDescent="0.25">
      <c r="A83" s="346"/>
      <c r="B83" s="172" t="str">
        <f>'Table 1.2 complete'!A80</f>
        <v>Bolivia</v>
      </c>
      <c r="C83" s="203">
        <f>'Table 1.2 complete'!B80</f>
        <v>68</v>
      </c>
      <c r="D83" s="172" t="s">
        <v>423</v>
      </c>
      <c r="E83" s="132">
        <v>17</v>
      </c>
      <c r="F83" s="109" t="str">
        <f>'Table 1.2 complete'!E80</f>
        <v>-</v>
      </c>
      <c r="G83" s="109">
        <f>'Table 1.2 complete'!F80</f>
        <v>2.3199999999999998</v>
      </c>
      <c r="H83" s="109" t="str">
        <f>'Table 1.2 complete'!G80</f>
        <v>-</v>
      </c>
      <c r="I83" s="109" t="str">
        <f>'Table 1.2 complete'!H80</f>
        <v>-</v>
      </c>
      <c r="J83" s="109" t="str">
        <f>'Table 1.3 complete'!E80</f>
        <v>-</v>
      </c>
      <c r="K83" s="109" t="str">
        <f>'Table 1.3 complete'!F80</f>
        <v>-</v>
      </c>
      <c r="L83" s="109" t="str">
        <f>'Table 1.3 complete'!G80</f>
        <v>-</v>
      </c>
      <c r="M83" s="109" t="str">
        <f>'Table 1.3 complete'!H80</f>
        <v>-</v>
      </c>
      <c r="N83" s="109">
        <f>'Table 1.3 complete'!I80</f>
        <v>0.82</v>
      </c>
      <c r="O83" s="109">
        <f>'Table 1.3 complete'!J80</f>
        <v>2.42</v>
      </c>
      <c r="P83" s="109">
        <f>'Table 1.3 complete'!K80</f>
        <v>0.17</v>
      </c>
      <c r="Q83" s="109" t="str">
        <f>'Table 1.3 complete'!L80</f>
        <v>-</v>
      </c>
      <c r="R83" s="109" t="str">
        <f>'Table 1.3 complete'!M80</f>
        <v>-</v>
      </c>
      <c r="S83" s="109" t="str">
        <f>'Table 1.3 complete'!N80</f>
        <v>-</v>
      </c>
      <c r="T83" s="149">
        <f>SUM(F83:S83)</f>
        <v>5.7299999999999995</v>
      </c>
      <c r="U83" s="106">
        <f>T83-'Table 1.1 complete'!E80</f>
        <v>2.9999999999999361E-2</v>
      </c>
      <c r="V83" s="113">
        <f>T83-'Table 1.2 complete'!K80</f>
        <v>0</v>
      </c>
      <c r="W83" s="106">
        <f>'Table 1.2 complete'!K80-'Table 1.1 complete'!E80</f>
        <v>3.0000000000000249E-2</v>
      </c>
    </row>
    <row r="84" spans="1:23" x14ac:dyDescent="0.25">
      <c r="A84" s="346"/>
      <c r="B84" s="172" t="str">
        <f>'Table 1.2 complete'!A81</f>
        <v>Bosnia and H.</v>
      </c>
      <c r="C84" s="203">
        <f>'Table 1.2 complete'!B81</f>
        <v>114</v>
      </c>
      <c r="D84" s="172" t="s">
        <v>423</v>
      </c>
      <c r="E84" s="132">
        <v>17</v>
      </c>
      <c r="F84" s="109" t="str">
        <f>'Table 1.2 complete'!E81</f>
        <v>-</v>
      </c>
      <c r="G84" s="109">
        <f>'Table 1.2 complete'!F81</f>
        <v>4</v>
      </c>
      <c r="H84" s="109" t="str">
        <f>'Table 1.2 complete'!G81</f>
        <v>-</v>
      </c>
      <c r="I84" s="109" t="str">
        <f>'Table 1.2 complete'!H81</f>
        <v>-</v>
      </c>
      <c r="J84" s="109">
        <f>'Table 1.3 complete'!E81</f>
        <v>4.83</v>
      </c>
      <c r="K84" s="109">
        <f>'Table 1.3 complete'!F81</f>
        <v>2.8</v>
      </c>
      <c r="L84" s="109" t="str">
        <f>'Table 1.3 complete'!G81</f>
        <v>-</v>
      </c>
      <c r="M84" s="109">
        <f>'Table 1.3 complete'!H81</f>
        <v>0.04</v>
      </c>
      <c r="N84" s="109">
        <f>'Table 1.3 complete'!I81</f>
        <v>0.16</v>
      </c>
      <c r="O84" s="109" t="str">
        <f>'Table 1.3 complete'!J81</f>
        <v>-</v>
      </c>
      <c r="P84" s="109" t="str">
        <f>'Table 1.3 complete'!K81</f>
        <v>-</v>
      </c>
      <c r="Q84" s="109" t="str">
        <f>'Table 1.3 complete'!L81</f>
        <v>-</v>
      </c>
      <c r="R84" s="109" t="str">
        <f>'Table 1.3 complete'!M81</f>
        <v>-</v>
      </c>
      <c r="S84" s="109" t="str">
        <f>'Table 1.3 complete'!N81</f>
        <v>-</v>
      </c>
      <c r="T84" s="149">
        <f>SUM(F84:S84)</f>
        <v>11.829999999999998</v>
      </c>
      <c r="U84" s="106">
        <f>T84-'Table 1.1 complete'!E81</f>
        <v>2.9999999999997584E-2</v>
      </c>
      <c r="V84" s="113">
        <f>T84-'Table 1.2 complete'!K81</f>
        <v>9.9999999999980105E-3</v>
      </c>
      <c r="W84" s="106">
        <f>'Table 1.2 complete'!K81-'Table 1.1 complete'!E81</f>
        <v>1.9999999999999574E-2</v>
      </c>
    </row>
    <row r="85" spans="1:23" x14ac:dyDescent="0.25">
      <c r="A85" s="346"/>
      <c r="B85" s="172" t="str">
        <f>'Table 1.2 complete'!A82</f>
        <v>Botswana</v>
      </c>
      <c r="C85" s="203">
        <f>'Table 1.2 complete'!B82</f>
        <v>41</v>
      </c>
      <c r="D85" s="172" t="s">
        <v>423</v>
      </c>
      <c r="E85" s="132">
        <v>17</v>
      </c>
      <c r="F85" s="109" t="str">
        <f>'Table 1.2 complete'!E82</f>
        <v>-</v>
      </c>
      <c r="G85" s="109" t="str">
        <f>'Table 1.2 complete'!F82</f>
        <v>-</v>
      </c>
      <c r="H85" s="109" t="str">
        <f>'Table 1.2 complete'!G82</f>
        <v>-</v>
      </c>
      <c r="I85" s="109" t="str">
        <f>'Table 1.2 complete'!H82</f>
        <v>-</v>
      </c>
      <c r="J85" s="109">
        <f>'Table 1.3 complete'!E82</f>
        <v>1.1100000000000001</v>
      </c>
      <c r="K85" s="109" t="str">
        <f>'Table 1.3 complete'!F82</f>
        <v>-</v>
      </c>
      <c r="L85" s="109" t="str">
        <f>'Table 1.3 complete'!G82</f>
        <v>-</v>
      </c>
      <c r="M85" s="109" t="str">
        <f>'Table 1.3 complete'!H82</f>
        <v>-</v>
      </c>
      <c r="N85" s="109">
        <f>'Table 1.3 complete'!I82</f>
        <v>0.01</v>
      </c>
      <c r="O85" s="109" t="str">
        <f>'Table 1.3 complete'!J82</f>
        <v>-</v>
      </c>
      <c r="P85" s="109" t="str">
        <f>'Table 1.3 complete'!K82</f>
        <v>-</v>
      </c>
      <c r="Q85" s="109" t="str">
        <f>'Table 1.3 complete'!L82</f>
        <v>-</v>
      </c>
      <c r="R85" s="109" t="str">
        <f>'Table 1.3 complete'!M82</f>
        <v>-</v>
      </c>
      <c r="S85" s="109" t="str">
        <f>'Table 1.3 complete'!N82</f>
        <v>-</v>
      </c>
      <c r="T85" s="149">
        <f>SUM(F85:S85)</f>
        <v>1.1200000000000001</v>
      </c>
      <c r="U85" s="106">
        <f>T85-'Table 1.1 complete'!E82</f>
        <v>2.0000000000000018E-2</v>
      </c>
      <c r="V85" s="113">
        <f>T85-'Table 1.2 complete'!K82</f>
        <v>0</v>
      </c>
      <c r="W85" s="106">
        <f>'Table 1.2 complete'!K82-'Table 1.1 complete'!E82</f>
        <v>2.0000000000000018E-2</v>
      </c>
    </row>
    <row r="86" spans="1:23" x14ac:dyDescent="0.25">
      <c r="A86" s="346"/>
      <c r="B86" s="172" t="str">
        <f>'Table 1.2 complete'!A83</f>
        <v>Brunei Darussalam</v>
      </c>
      <c r="C86" s="203">
        <f>'Table 1.2 complete'!B83</f>
        <v>92</v>
      </c>
      <c r="D86" s="172" t="s">
        <v>423</v>
      </c>
      <c r="E86" s="132">
        <v>17</v>
      </c>
      <c r="F86" s="109" t="str">
        <f>'Table 1.2 complete'!E83</f>
        <v>-</v>
      </c>
      <c r="G86" s="109" t="str">
        <f>'Table 1.2 complete'!F83</f>
        <v>-</v>
      </c>
      <c r="H86" s="109" t="str">
        <f>'Table 1.2 complete'!G83</f>
        <v>-</v>
      </c>
      <c r="I86" s="109" t="str">
        <f>'Table 1.2 complete'!H83</f>
        <v>-</v>
      </c>
      <c r="J86" s="109" t="str">
        <f>'Table 1.3 complete'!E83</f>
        <v>-</v>
      </c>
      <c r="K86" s="109" t="str">
        <f>'Table 1.3 complete'!F83</f>
        <v>-</v>
      </c>
      <c r="L86" s="109" t="str">
        <f>'Table 1.3 complete'!G83</f>
        <v>-</v>
      </c>
      <c r="M86" s="109" t="str">
        <f>'Table 1.3 complete'!H83</f>
        <v>-</v>
      </c>
      <c r="N86" s="109">
        <f>'Table 1.3 complete'!I83</f>
        <v>0.03</v>
      </c>
      <c r="O86" s="109">
        <f>'Table 1.3 complete'!J83</f>
        <v>3.36</v>
      </c>
      <c r="P86" s="109" t="str">
        <f>'Table 1.3 complete'!K83</f>
        <v>-</v>
      </c>
      <c r="Q86" s="109" t="str">
        <f>'Table 1.3 complete'!L83</f>
        <v>-</v>
      </c>
      <c r="R86" s="109" t="str">
        <f>'Table 1.3 complete'!M83</f>
        <v>-</v>
      </c>
      <c r="S86" s="109" t="str">
        <f>'Table 1.3 complete'!N83</f>
        <v>-</v>
      </c>
      <c r="T86" s="149">
        <f>SUM(F86:S86)</f>
        <v>3.3899999999999997</v>
      </c>
      <c r="U86" s="106">
        <f>T86-'Table 1.1 complete'!E83</f>
        <v>-1.0000000000000231E-2</v>
      </c>
      <c r="V86" s="113">
        <f>T86-'Table 1.2 complete'!K83</f>
        <v>-1.0000000000000231E-2</v>
      </c>
      <c r="W86" s="106">
        <f>'Table 1.2 complete'!K83-'Table 1.1 complete'!E83</f>
        <v>0</v>
      </c>
    </row>
    <row r="87" spans="1:23" x14ac:dyDescent="0.25">
      <c r="A87" s="346"/>
      <c r="B87" s="172" t="str">
        <f>'Table 1.2 complete'!A84</f>
        <v>Cambodia</v>
      </c>
      <c r="C87" s="203">
        <f>'Table 1.2 complete'!B84</f>
        <v>93</v>
      </c>
      <c r="D87" s="172" t="s">
        <v>423</v>
      </c>
      <c r="E87" s="132">
        <v>17</v>
      </c>
      <c r="F87" s="109" t="str">
        <f>'Table 1.2 complete'!E84</f>
        <v>-</v>
      </c>
      <c r="G87" s="109">
        <f>'Table 1.2 complete'!F84</f>
        <v>0.05</v>
      </c>
      <c r="H87" s="109" t="str">
        <f>'Table 1.2 complete'!G84</f>
        <v>-</v>
      </c>
      <c r="I87" s="109" t="str">
        <f>'Table 1.2 complete'!H84</f>
        <v>-</v>
      </c>
      <c r="J87" s="109" t="str">
        <f>'Table 1.3 complete'!E84</f>
        <v>-</v>
      </c>
      <c r="K87" s="109" t="str">
        <f>'Table 1.3 complete'!F84</f>
        <v>-</v>
      </c>
      <c r="L87" s="109" t="str">
        <f>'Table 1.3 complete'!G84</f>
        <v>-</v>
      </c>
      <c r="M87" s="109" t="str">
        <f>'Table 1.3 complete'!H84</f>
        <v>-</v>
      </c>
      <c r="N87" s="109">
        <f>'Table 1.3 complete'!I84</f>
        <v>1.29</v>
      </c>
      <c r="O87" s="109" t="str">
        <f>'Table 1.3 complete'!J84</f>
        <v>-</v>
      </c>
      <c r="P87" s="109">
        <f>'Table 1.3 complete'!K84</f>
        <v>0.01</v>
      </c>
      <c r="Q87" s="109" t="str">
        <f>'Table 1.3 complete'!L84</f>
        <v>-</v>
      </c>
      <c r="R87" s="109" t="str">
        <f>'Table 1.3 complete'!M84</f>
        <v>-</v>
      </c>
      <c r="S87" s="109" t="str">
        <f>'Table 1.3 complete'!N84</f>
        <v>-</v>
      </c>
      <c r="T87" s="149">
        <f>SUM(F87:S87)</f>
        <v>1.35</v>
      </c>
      <c r="U87" s="106">
        <f>T87-'Table 1.1 complete'!E84</f>
        <v>5.0000000000000044E-2</v>
      </c>
      <c r="V87" s="113">
        <f>T87-'Table 1.2 complete'!K84</f>
        <v>0</v>
      </c>
      <c r="W87" s="106">
        <f>'Table 1.2 complete'!K84-'Table 1.1 complete'!E84</f>
        <v>5.0000000000000044E-2</v>
      </c>
    </row>
    <row r="88" spans="1:23" x14ac:dyDescent="0.25">
      <c r="A88" s="346"/>
      <c r="B88" s="172" t="str">
        <f>'Table 1.2 complete'!A85</f>
        <v>Cameroon</v>
      </c>
      <c r="C88" s="203">
        <f>'Table 1.2 complete'!B85</f>
        <v>42</v>
      </c>
      <c r="D88" s="172" t="s">
        <v>423</v>
      </c>
      <c r="E88" s="132">
        <v>17</v>
      </c>
      <c r="F88" s="109" t="str">
        <f>'Table 1.2 complete'!E85</f>
        <v>-</v>
      </c>
      <c r="G88" s="109">
        <f>'Table 1.2 complete'!F85</f>
        <v>3.85</v>
      </c>
      <c r="H88" s="109" t="str">
        <f>'Table 1.2 complete'!G85</f>
        <v>-</v>
      </c>
      <c r="I88" s="109" t="str">
        <f>'Table 1.2 complete'!H85</f>
        <v>-</v>
      </c>
      <c r="J88" s="109" t="str">
        <f>'Table 1.3 complete'!E85</f>
        <v>-</v>
      </c>
      <c r="K88" s="109" t="str">
        <f>'Table 1.3 complete'!F85</f>
        <v>-</v>
      </c>
      <c r="L88" s="109" t="str">
        <f>'Table 1.3 complete'!G85</f>
        <v>-</v>
      </c>
      <c r="M88" s="109" t="str">
        <f>'Table 1.3 complete'!H85</f>
        <v>-</v>
      </c>
      <c r="N88" s="109">
        <f>'Table 1.3 complete'!I85</f>
        <v>1.47</v>
      </c>
      <c r="O88" s="109">
        <f>'Table 1.3 complete'!J85</f>
        <v>0.44</v>
      </c>
      <c r="P88" s="109" t="str">
        <f>'Table 1.3 complete'!K85</f>
        <v>-</v>
      </c>
      <c r="Q88" s="109" t="str">
        <f>'Table 1.3 complete'!L85</f>
        <v>-</v>
      </c>
      <c r="R88" s="109" t="str">
        <f>'Table 1.3 complete'!M85</f>
        <v>-</v>
      </c>
      <c r="S88" s="109" t="str">
        <f>'Table 1.3 complete'!N85</f>
        <v>-</v>
      </c>
      <c r="T88" s="149">
        <f>SUM(F88:S88)</f>
        <v>5.7600000000000007</v>
      </c>
      <c r="U88" s="106">
        <f>T88-'Table 1.1 complete'!E85</f>
        <v>-3.9999999999999147E-2</v>
      </c>
      <c r="V88" s="113">
        <f>T88-'Table 1.2 complete'!K85</f>
        <v>1.0000000000000675E-2</v>
      </c>
      <c r="W88" s="106">
        <f>'Table 1.2 complete'!K85-'Table 1.1 complete'!E85</f>
        <v>-4.9999999999999822E-2</v>
      </c>
    </row>
    <row r="89" spans="1:23" x14ac:dyDescent="0.25">
      <c r="A89" s="346"/>
      <c r="B89" s="172" t="str">
        <f>'Table 1.2 complete'!A86</f>
        <v>Chile</v>
      </c>
      <c r="C89" s="203">
        <f>'Table 1.2 complete'!B86</f>
        <v>70</v>
      </c>
      <c r="D89" s="172" t="s">
        <v>423</v>
      </c>
      <c r="E89" s="132">
        <v>17</v>
      </c>
      <c r="F89" s="109" t="str">
        <f>'Table 1.2 complete'!E86</f>
        <v>-</v>
      </c>
      <c r="G89" s="109">
        <f>'Table 1.2 complete'!F86</f>
        <v>23.13</v>
      </c>
      <c r="H89" s="109" t="str">
        <f>'Table 1.2 complete'!G86</f>
        <v>-</v>
      </c>
      <c r="I89" s="109">
        <f>'Table 1.2 complete'!H86</f>
        <v>0.01</v>
      </c>
      <c r="J89" s="109">
        <f>'Table 1.3 complete'!E86</f>
        <v>13.26</v>
      </c>
      <c r="K89" s="109" t="str">
        <f>'Table 1.3 complete'!F86</f>
        <v>-</v>
      </c>
      <c r="L89" s="109" t="str">
        <f>'Table 1.3 complete'!G86</f>
        <v>-</v>
      </c>
      <c r="M89" s="109" t="str">
        <f>'Table 1.3 complete'!H86</f>
        <v>-</v>
      </c>
      <c r="N89" s="109">
        <f>'Table 1.3 complete'!I86</f>
        <v>14.4</v>
      </c>
      <c r="O89" s="109">
        <f>'Table 1.3 complete'!J86</f>
        <v>4.63</v>
      </c>
      <c r="P89" s="109">
        <f>'Table 1.3 complete'!K86</f>
        <v>3.08</v>
      </c>
      <c r="Q89" s="109" t="str">
        <f>'Table 1.3 complete'!L86</f>
        <v>-</v>
      </c>
      <c r="R89" s="109" t="str">
        <f>'Table 1.3 complete'!M86</f>
        <v>-</v>
      </c>
      <c r="S89" s="109" t="str">
        <f>'Table 1.3 complete'!N86</f>
        <v>-</v>
      </c>
      <c r="T89" s="149">
        <f>SUM(F89:S89)</f>
        <v>58.51</v>
      </c>
      <c r="U89" s="106">
        <f>T89-'Table 1.1 complete'!E86</f>
        <v>9.9999999999980105E-3</v>
      </c>
      <c r="V89" s="113">
        <f>T89-'Table 1.2 complete'!K86</f>
        <v>0</v>
      </c>
      <c r="W89" s="106">
        <f>'Table 1.2 complete'!K86-'Table 1.1 complete'!E86</f>
        <v>9.9999999999980105E-3</v>
      </c>
    </row>
    <row r="90" spans="1:23" x14ac:dyDescent="0.25">
      <c r="A90" s="346"/>
      <c r="B90" s="172" t="str">
        <f>'Table 1.2 complete'!A87</f>
        <v>Chinese Taipei</v>
      </c>
      <c r="C90" s="203">
        <f>'Table 1.2 complete'!B87</f>
        <v>105</v>
      </c>
      <c r="D90" s="172" t="s">
        <v>423</v>
      </c>
      <c r="E90" s="132">
        <v>17</v>
      </c>
      <c r="F90" s="109">
        <f>'Table 1.2 complete'!E87</f>
        <v>40.54</v>
      </c>
      <c r="G90" s="109">
        <f>'Table 1.2 complete'!F87</f>
        <v>8.35</v>
      </c>
      <c r="H90" s="109" t="str">
        <f>'Table 1.2 complete'!G87</f>
        <v>-</v>
      </c>
      <c r="I90" s="109">
        <f>'Table 1.2 complete'!H87</f>
        <v>0.45</v>
      </c>
      <c r="J90" s="109">
        <f>'Table 1.3 complete'!E87</f>
        <v>118.63</v>
      </c>
      <c r="K90" s="109">
        <f>'Table 1.3 complete'!F87</f>
        <v>10.88</v>
      </c>
      <c r="L90" s="109" t="str">
        <f>'Table 1.3 complete'!G87</f>
        <v>-</v>
      </c>
      <c r="M90" s="109">
        <f>'Table 1.3 complete'!H87</f>
        <v>2.38</v>
      </c>
      <c r="N90" s="109">
        <f>'Table 1.3 complete'!I87</f>
        <v>15.57</v>
      </c>
      <c r="O90" s="109">
        <f>'Table 1.3 complete'!J87</f>
        <v>42.64</v>
      </c>
      <c r="P90" s="109">
        <f>'Table 1.3 complete'!K87</f>
        <v>0.67</v>
      </c>
      <c r="Q90" s="109" t="str">
        <f>'Table 1.3 complete'!L87</f>
        <v>-</v>
      </c>
      <c r="R90" s="109">
        <f>'Table 1.3 complete'!M87</f>
        <v>3.02</v>
      </c>
      <c r="S90" s="109" t="str">
        <f>'Table 1.3 complete'!N87</f>
        <v>-</v>
      </c>
      <c r="T90" s="149">
        <f>SUM(F90:S90)</f>
        <v>243.13</v>
      </c>
      <c r="U90" s="106">
        <f>T90-'Table 1.1 complete'!E87</f>
        <v>3.0000000000001137E-2</v>
      </c>
      <c r="V90" s="113">
        <f>T90-'Table 1.2 complete'!K87</f>
        <v>9.9999999999909051E-3</v>
      </c>
      <c r="W90" s="106">
        <f>'Table 1.2 complete'!K87-'Table 1.1 complete'!E87</f>
        <v>2.0000000000010232E-2</v>
      </c>
    </row>
    <row r="91" spans="1:23" x14ac:dyDescent="0.25">
      <c r="A91" s="346"/>
      <c r="B91" s="172" t="str">
        <f>'Table 1.2 complete'!A88</f>
        <v>Colombia</v>
      </c>
      <c r="C91" s="203">
        <f>'Table 1.2 complete'!B88</f>
        <v>71</v>
      </c>
      <c r="D91" s="172" t="s">
        <v>423</v>
      </c>
      <c r="E91" s="132">
        <v>17</v>
      </c>
      <c r="F91" s="109" t="str">
        <f>'Table 1.2 complete'!E88</f>
        <v>-</v>
      </c>
      <c r="G91" s="109">
        <f>'Table 1.2 complete'!F88</f>
        <v>44.45</v>
      </c>
      <c r="H91" s="109" t="str">
        <f>'Table 1.2 complete'!G88</f>
        <v>-</v>
      </c>
      <c r="I91" s="109">
        <f>'Table 1.2 complete'!H88</f>
        <v>0.05</v>
      </c>
      <c r="J91" s="109">
        <f>'Table 1.3 complete'!E88</f>
        <v>3.39</v>
      </c>
      <c r="K91" s="109" t="str">
        <f>'Table 1.3 complete'!F88</f>
        <v>-</v>
      </c>
      <c r="L91" s="109" t="str">
        <f>'Table 1.3 complete'!G88</f>
        <v>-</v>
      </c>
      <c r="M91" s="109">
        <f>'Table 1.3 complete'!H88</f>
        <v>0.11</v>
      </c>
      <c r="N91" s="109">
        <f>'Table 1.3 complete'!I88</f>
        <v>0.15</v>
      </c>
      <c r="O91" s="109">
        <f>'Table 1.3 complete'!J88</f>
        <v>6.59</v>
      </c>
      <c r="P91" s="109">
        <f>'Table 1.3 complete'!K88</f>
        <v>0.59</v>
      </c>
      <c r="Q91" s="109" t="str">
        <f>'Table 1.3 complete'!L88</f>
        <v>-</v>
      </c>
      <c r="R91" s="109" t="str">
        <f>'Table 1.3 complete'!M88</f>
        <v>-</v>
      </c>
      <c r="S91" s="109" t="str">
        <f>'Table 1.3 complete'!N88</f>
        <v>-</v>
      </c>
      <c r="T91" s="149">
        <f>SUM(F91:S91)</f>
        <v>55.33</v>
      </c>
      <c r="U91" s="106">
        <f>T91-'Table 1.1 complete'!E88</f>
        <v>3.0000000000001137E-2</v>
      </c>
      <c r="V91" s="113">
        <f>T91-'Table 1.2 complete'!K88</f>
        <v>1.9999999999996021E-2</v>
      </c>
      <c r="W91" s="106">
        <f>'Table 1.2 complete'!K88-'Table 1.1 complete'!E88</f>
        <v>1.0000000000005116E-2</v>
      </c>
    </row>
    <row r="92" spans="1:23" x14ac:dyDescent="0.25">
      <c r="A92" s="346"/>
      <c r="B92" s="172" t="str">
        <f>'Table 1.2 complete'!A89</f>
        <v>Congo</v>
      </c>
      <c r="C92" s="203">
        <f>'Table 1.2 complete'!B89</f>
        <v>43</v>
      </c>
      <c r="D92" s="172" t="s">
        <v>423</v>
      </c>
      <c r="E92" s="132">
        <v>17</v>
      </c>
      <c r="F92" s="109" t="str">
        <f>'Table 1.2 complete'!E89</f>
        <v>-</v>
      </c>
      <c r="G92" s="109">
        <f>'Table 1.2 complete'!F89</f>
        <v>0.34</v>
      </c>
      <c r="H92" s="109" t="str">
        <f>'Table 1.2 complete'!G89</f>
        <v>-</v>
      </c>
      <c r="I92" s="109" t="str">
        <f>'Table 1.2 complete'!H89</f>
        <v>-</v>
      </c>
      <c r="J92" s="109" t="str">
        <f>'Table 1.3 complete'!E89</f>
        <v>-</v>
      </c>
      <c r="K92" s="109" t="str">
        <f>'Table 1.3 complete'!F89</f>
        <v>-</v>
      </c>
      <c r="L92" s="109" t="str">
        <f>'Table 1.3 complete'!G89</f>
        <v>-</v>
      </c>
      <c r="M92" s="109" t="str">
        <f>'Table 1.3 complete'!H89</f>
        <v>-</v>
      </c>
      <c r="N92" s="109" t="str">
        <f>'Table 1.3 complete'!I89</f>
        <v>-</v>
      </c>
      <c r="O92" s="109">
        <f>'Table 1.3 complete'!J89</f>
        <v>7.0000000000000007E-2</v>
      </c>
      <c r="P92" s="109" t="str">
        <f>'Table 1.3 complete'!K89</f>
        <v>-</v>
      </c>
      <c r="Q92" s="109" t="str">
        <f>'Table 1.3 complete'!L89</f>
        <v>-</v>
      </c>
      <c r="R92" s="109" t="str">
        <f>'Table 1.3 complete'!M89</f>
        <v>-</v>
      </c>
      <c r="S92" s="109" t="str">
        <f>'Table 1.3 complete'!N89</f>
        <v>-</v>
      </c>
      <c r="T92" s="149">
        <f>SUM(F92:S92)</f>
        <v>0.41000000000000003</v>
      </c>
      <c r="U92" s="106">
        <f>T92-'Table 1.1 complete'!E89</f>
        <v>1.0000000000000009E-2</v>
      </c>
      <c r="V92" s="113">
        <f>T92-'Table 1.2 complete'!K89</f>
        <v>0</v>
      </c>
      <c r="W92" s="106">
        <f>'Table 1.2 complete'!K89-'Table 1.1 complete'!E89</f>
        <v>9.9999999999999534E-3</v>
      </c>
    </row>
    <row r="93" spans="1:23" x14ac:dyDescent="0.25">
      <c r="A93" s="346"/>
      <c r="B93" s="172" t="str">
        <f>'Table 1.2 complete'!A90</f>
        <v>Costa Rica</v>
      </c>
      <c r="C93" s="203">
        <f>'Table 1.2 complete'!B90</f>
        <v>72</v>
      </c>
      <c r="D93" s="172" t="s">
        <v>423</v>
      </c>
      <c r="E93" s="132">
        <v>17</v>
      </c>
      <c r="F93" s="109" t="str">
        <f>'Table 1.2 complete'!E90</f>
        <v>-</v>
      </c>
      <c r="G93" s="109">
        <f>'Table 1.2 complete'!F90</f>
        <v>6.77</v>
      </c>
      <c r="H93" s="109">
        <f>'Table 1.2 complete'!G90</f>
        <v>1.24</v>
      </c>
      <c r="I93" s="109">
        <f>'Table 1.2 complete'!H90</f>
        <v>0.24</v>
      </c>
      <c r="J93" s="109" t="str">
        <f>'Table 1.3 complete'!E90</f>
        <v>-</v>
      </c>
      <c r="K93" s="109" t="str">
        <f>'Table 1.3 complete'!F90</f>
        <v>-</v>
      </c>
      <c r="L93" s="109" t="str">
        <f>'Table 1.3 complete'!G90</f>
        <v>-</v>
      </c>
      <c r="M93" s="109" t="str">
        <f>'Table 1.3 complete'!H90</f>
        <v>-</v>
      </c>
      <c r="N93" s="109">
        <f>'Table 1.3 complete'!I90</f>
        <v>0.72</v>
      </c>
      <c r="O93" s="109" t="str">
        <f>'Table 1.3 complete'!J90</f>
        <v>-</v>
      </c>
      <c r="P93" s="109">
        <f>'Table 1.3 complete'!K90</f>
        <v>7.0000000000000007E-2</v>
      </c>
      <c r="Q93" s="109" t="str">
        <f>'Table 1.3 complete'!L90</f>
        <v>-</v>
      </c>
      <c r="R93" s="109" t="str">
        <f>'Table 1.3 complete'!M90</f>
        <v>-</v>
      </c>
      <c r="S93" s="109">
        <f>'Table 1.3 complete'!N90</f>
        <v>0.01</v>
      </c>
      <c r="T93" s="149">
        <f>SUM(F93:S93)</f>
        <v>9.0500000000000007</v>
      </c>
      <c r="U93" s="106">
        <f>T93-'Table 1.1 complete'!E90</f>
        <v>-4.9999999999998934E-2</v>
      </c>
      <c r="V93" s="113">
        <f>T93-'Table 1.2 complete'!K90</f>
        <v>0</v>
      </c>
      <c r="W93" s="106">
        <f>'Table 1.2 complete'!K90-'Table 1.1 complete'!E90</f>
        <v>-4.9999999999998934E-2</v>
      </c>
    </row>
    <row r="94" spans="1:23" x14ac:dyDescent="0.25">
      <c r="A94" s="346"/>
      <c r="B94" s="172" t="str">
        <f>'Table 1.2 complete'!A91</f>
        <v>Côte d'Ivoire</v>
      </c>
      <c r="C94" s="203">
        <f>'Table 1.2 complete'!B91</f>
        <v>45</v>
      </c>
      <c r="D94" s="172" t="s">
        <v>423</v>
      </c>
      <c r="E94" s="132">
        <v>17</v>
      </c>
      <c r="F94" s="109" t="str">
        <f>'Table 1.2 complete'!E91</f>
        <v>-</v>
      </c>
      <c r="G94" s="109">
        <f>'Table 1.2 complete'!F91</f>
        <v>1.8</v>
      </c>
      <c r="H94" s="109" t="str">
        <f>'Table 1.2 complete'!G91</f>
        <v>-</v>
      </c>
      <c r="I94" s="109" t="str">
        <f>'Table 1.2 complete'!H91</f>
        <v>-</v>
      </c>
      <c r="J94" s="109" t="str">
        <f>'Table 1.3 complete'!E91</f>
        <v>-</v>
      </c>
      <c r="K94" s="109" t="str">
        <f>'Table 1.3 complete'!F91</f>
        <v>-</v>
      </c>
      <c r="L94" s="109" t="str">
        <f>'Table 1.3 complete'!G91</f>
        <v>-</v>
      </c>
      <c r="M94" s="109" t="str">
        <f>'Table 1.3 complete'!H91</f>
        <v>-</v>
      </c>
      <c r="N94" s="109">
        <f>'Table 1.3 complete'!I91</f>
        <v>0.02</v>
      </c>
      <c r="O94" s="109">
        <f>'Table 1.3 complete'!J91</f>
        <v>3.7</v>
      </c>
      <c r="P94" s="109">
        <f>'Table 1.3 complete'!K91</f>
        <v>0.12</v>
      </c>
      <c r="Q94" s="109" t="str">
        <f>'Table 1.3 complete'!L91</f>
        <v>-</v>
      </c>
      <c r="R94" s="109" t="str">
        <f>'Table 1.3 complete'!M91</f>
        <v>-</v>
      </c>
      <c r="S94" s="109" t="str">
        <f>'Table 1.3 complete'!N91</f>
        <v>-</v>
      </c>
      <c r="T94" s="149">
        <f>SUM(F94:S94)</f>
        <v>5.6400000000000006</v>
      </c>
      <c r="U94" s="106">
        <f>T94-'Table 1.1 complete'!E91</f>
        <v>4.0000000000000924E-2</v>
      </c>
      <c r="V94" s="113">
        <f>T94-'Table 1.2 complete'!K91</f>
        <v>1.0000000000000675E-2</v>
      </c>
      <c r="W94" s="106">
        <f>'Table 1.2 complete'!K91-'Table 1.1 complete'!E91</f>
        <v>3.0000000000000249E-2</v>
      </c>
    </row>
    <row r="95" spans="1:23" x14ac:dyDescent="0.25">
      <c r="A95" s="346"/>
      <c r="B95" s="172" t="str">
        <f>'Table 1.2 complete'!A92</f>
        <v>Cuba</v>
      </c>
      <c r="C95" s="203">
        <f>'Table 1.2 complete'!B92</f>
        <v>73</v>
      </c>
      <c r="D95" s="172" t="s">
        <v>423</v>
      </c>
      <c r="E95" s="132">
        <v>17</v>
      </c>
      <c r="F95" s="109" t="str">
        <f>'Table 1.2 complete'!E92</f>
        <v>-</v>
      </c>
      <c r="G95" s="109">
        <f>'Table 1.2 complete'!F92</f>
        <v>0.12</v>
      </c>
      <c r="H95" s="109" t="str">
        <f>'Table 1.2 complete'!G92</f>
        <v>-</v>
      </c>
      <c r="I95" s="109" t="str">
        <f>'Table 1.2 complete'!H92</f>
        <v>-</v>
      </c>
      <c r="J95" s="109" t="str">
        <f>'Table 1.3 complete'!E92</f>
        <v>-</v>
      </c>
      <c r="K95" s="109" t="str">
        <f>'Table 1.3 complete'!F92</f>
        <v>-</v>
      </c>
      <c r="L95" s="109" t="str">
        <f>'Table 1.3 complete'!G92</f>
        <v>-</v>
      </c>
      <c r="M95" s="109" t="str">
        <f>'Table 1.3 complete'!H92</f>
        <v>-</v>
      </c>
      <c r="N95" s="109">
        <f>'Table 1.3 complete'!I92</f>
        <v>17.170000000000002</v>
      </c>
      <c r="O95" s="109" t="str">
        <f>'Table 1.3 complete'!J92</f>
        <v>-</v>
      </c>
      <c r="P95" s="109">
        <f>'Table 1.3 complete'!K92</f>
        <v>0.33</v>
      </c>
      <c r="Q95" s="109" t="str">
        <f>'Table 1.3 complete'!L92</f>
        <v>-</v>
      </c>
      <c r="R95" s="109" t="str">
        <f>'Table 1.3 complete'!M92</f>
        <v>-</v>
      </c>
      <c r="S95" s="109" t="str">
        <f>'Table 1.3 complete'!N92</f>
        <v>-</v>
      </c>
      <c r="T95" s="149">
        <f>SUM(F95:S95)</f>
        <v>17.62</v>
      </c>
      <c r="U95" s="106">
        <f>T95-'Table 1.1 complete'!E92</f>
        <v>1.9999999999999574E-2</v>
      </c>
      <c r="V95" s="113">
        <f>T95-'Table 1.2 complete'!K92</f>
        <v>0</v>
      </c>
      <c r="W95" s="106">
        <f>'Table 1.2 complete'!K92-'Table 1.1 complete'!E92</f>
        <v>1.9999999999999574E-2</v>
      </c>
    </row>
    <row r="96" spans="1:23" x14ac:dyDescent="0.25">
      <c r="A96" s="346"/>
      <c r="B96" s="172" t="str">
        <f>'Table 1.2 complete'!A93</f>
        <v>Dominican Rep.</v>
      </c>
      <c r="C96" s="203">
        <f>'Table 1.2 complete'!B93</f>
        <v>74</v>
      </c>
      <c r="D96" s="172" t="s">
        <v>423</v>
      </c>
      <c r="E96" s="132">
        <v>17</v>
      </c>
      <c r="F96" s="109" t="str">
        <f>'Table 1.2 complete'!E93</f>
        <v>-</v>
      </c>
      <c r="G96" s="109">
        <f>'Table 1.2 complete'!F93</f>
        <v>1.4</v>
      </c>
      <c r="H96" s="109" t="str">
        <f>'Table 1.2 complete'!G93</f>
        <v>-</v>
      </c>
      <c r="I96" s="109" t="str">
        <f>'Table 1.2 complete'!H93</f>
        <v>-</v>
      </c>
      <c r="J96" s="109">
        <f>'Table 1.3 complete'!E93</f>
        <v>1.97</v>
      </c>
      <c r="K96" s="109" t="str">
        <f>'Table 1.3 complete'!F93</f>
        <v>-</v>
      </c>
      <c r="L96" s="109" t="str">
        <f>'Table 1.3 complete'!G93</f>
        <v>-</v>
      </c>
      <c r="M96" s="109" t="str">
        <f>'Table 1.3 complete'!H93</f>
        <v>-</v>
      </c>
      <c r="N96" s="109">
        <f>'Table 1.3 complete'!I93</f>
        <v>9.73</v>
      </c>
      <c r="O96" s="109">
        <f>'Table 1.3 complete'!J93</f>
        <v>1.71</v>
      </c>
      <c r="P96" s="109">
        <f>'Table 1.3 complete'!K93</f>
        <v>0.04</v>
      </c>
      <c r="Q96" s="109" t="str">
        <f>'Table 1.3 complete'!L93</f>
        <v>-</v>
      </c>
      <c r="R96" s="109" t="str">
        <f>'Table 1.3 complete'!M93</f>
        <v>-</v>
      </c>
      <c r="S96" s="109" t="str">
        <f>'Table 1.3 complete'!N93</f>
        <v>-</v>
      </c>
      <c r="T96" s="149">
        <f>SUM(F96:S96)</f>
        <v>14.850000000000001</v>
      </c>
      <c r="U96" s="106">
        <f>T96-'Table 1.1 complete'!E93</f>
        <v>5.0000000000000711E-2</v>
      </c>
      <c r="V96" s="113">
        <f>T96-'Table 1.2 complete'!K93</f>
        <v>1.0000000000001563E-2</v>
      </c>
      <c r="W96" s="106">
        <f>'Table 1.2 complete'!K93-'Table 1.1 complete'!E93</f>
        <v>3.9999999999999147E-2</v>
      </c>
    </row>
    <row r="97" spans="1:23" x14ac:dyDescent="0.25">
      <c r="A97" s="346"/>
      <c r="B97" s="172" t="str">
        <f>'Table 1.2 complete'!A94</f>
        <v>DPR of Korea</v>
      </c>
      <c r="C97" s="203">
        <f>'Table 1.2 complete'!B94</f>
        <v>96</v>
      </c>
      <c r="D97" s="172" t="s">
        <v>423</v>
      </c>
      <c r="E97" s="132">
        <v>17</v>
      </c>
      <c r="F97" s="109" t="str">
        <f>'Table 1.2 complete'!E94</f>
        <v>-</v>
      </c>
      <c r="G97" s="109">
        <f>'Table 1.2 complete'!F94</f>
        <v>13.28</v>
      </c>
      <c r="H97" s="109" t="str">
        <f>'Table 1.2 complete'!G94</f>
        <v>-</v>
      </c>
      <c r="I97" s="109" t="str">
        <f>'Table 1.2 complete'!H94</f>
        <v>-</v>
      </c>
      <c r="J97" s="109">
        <f>'Table 1.3 complete'!E94</f>
        <v>6.68</v>
      </c>
      <c r="K97" s="109">
        <f>'Table 1.3 complete'!F94</f>
        <v>0.81</v>
      </c>
      <c r="L97" s="109" t="str">
        <f>'Table 1.3 complete'!G94</f>
        <v>-</v>
      </c>
      <c r="M97" s="109" t="str">
        <f>'Table 1.3 complete'!H94</f>
        <v>-</v>
      </c>
      <c r="N97" s="109">
        <f>'Table 1.3 complete'!I94</f>
        <v>0.76</v>
      </c>
      <c r="O97" s="109" t="str">
        <f>'Table 1.3 complete'!J94</f>
        <v>-</v>
      </c>
      <c r="P97" s="109" t="str">
        <f>'Table 1.3 complete'!K94</f>
        <v>-</v>
      </c>
      <c r="Q97" s="109" t="str">
        <f>'Table 1.3 complete'!L94</f>
        <v>-</v>
      </c>
      <c r="R97" s="109" t="str">
        <f>'Table 1.3 complete'!M94</f>
        <v>-</v>
      </c>
      <c r="S97" s="109" t="str">
        <f>'Table 1.3 complete'!N94</f>
        <v>-</v>
      </c>
      <c r="T97" s="149">
        <f>SUM(F97:S97)</f>
        <v>21.53</v>
      </c>
      <c r="U97" s="106">
        <f>T97-'Table 1.1 complete'!E94</f>
        <v>3.0000000000001137E-2</v>
      </c>
      <c r="V97" s="113">
        <f>T97-'Table 1.2 complete'!K94</f>
        <v>1.0000000000001563E-2</v>
      </c>
      <c r="W97" s="106">
        <f>'Table 1.2 complete'!K94-'Table 1.1 complete'!E94</f>
        <v>1.9999999999999574E-2</v>
      </c>
    </row>
    <row r="98" spans="1:23" x14ac:dyDescent="0.25">
      <c r="A98" s="346"/>
      <c r="B98" s="172" t="str">
        <f>'Table 1.2 complete'!A95</f>
        <v>DR of Congo</v>
      </c>
      <c r="C98" s="203">
        <f>'Table 1.2 complete'!B95</f>
        <v>44</v>
      </c>
      <c r="D98" s="172" t="s">
        <v>423</v>
      </c>
      <c r="E98" s="132">
        <v>17</v>
      </c>
      <c r="F98" s="109" t="str">
        <f>'Table 1.2 complete'!E95</f>
        <v>-</v>
      </c>
      <c r="G98" s="109">
        <f>'Table 1.2 complete'!F95</f>
        <v>8.2799999999999994</v>
      </c>
      <c r="H98" s="109" t="str">
        <f>'Table 1.2 complete'!G95</f>
        <v>-</v>
      </c>
      <c r="I98" s="109" t="str">
        <f>'Table 1.2 complete'!H95</f>
        <v>-</v>
      </c>
      <c r="J98" s="109" t="str">
        <f>'Table 1.3 complete'!E95</f>
        <v>-</v>
      </c>
      <c r="K98" s="109" t="str">
        <f>'Table 1.3 complete'!F95</f>
        <v>-</v>
      </c>
      <c r="L98" s="109" t="str">
        <f>'Table 1.3 complete'!G95</f>
        <v>-</v>
      </c>
      <c r="M98" s="109" t="str">
        <f>'Table 1.3 complete'!H95</f>
        <v>-</v>
      </c>
      <c r="N98" s="109">
        <f>'Table 1.3 complete'!I95</f>
        <v>0.03</v>
      </c>
      <c r="O98" s="109" t="str">
        <f>'Table 1.3 complete'!J95</f>
        <v>-</v>
      </c>
      <c r="P98" s="109" t="str">
        <f>'Table 1.3 complete'!K95</f>
        <v>-</v>
      </c>
      <c r="Q98" s="109" t="str">
        <f>'Table 1.3 complete'!L95</f>
        <v>-</v>
      </c>
      <c r="R98" s="109" t="str">
        <f>'Table 1.3 complete'!M95</f>
        <v>-</v>
      </c>
      <c r="S98" s="109" t="str">
        <f>'Table 1.3 complete'!N95</f>
        <v>-</v>
      </c>
      <c r="T98" s="149">
        <f>SUM(F98:S98)</f>
        <v>8.3099999999999987</v>
      </c>
      <c r="U98" s="106">
        <f>T98-'Table 1.1 complete'!E95</f>
        <v>9.9999999999980105E-3</v>
      </c>
      <c r="V98" s="113">
        <f>T98-'Table 1.2 complete'!K95</f>
        <v>9.9999999999980105E-3</v>
      </c>
      <c r="W98" s="106">
        <f>'Table 1.2 complete'!K95-'Table 1.1 complete'!E95</f>
        <v>0</v>
      </c>
    </row>
    <row r="99" spans="1:23" x14ac:dyDescent="0.25">
      <c r="A99" s="346"/>
      <c r="B99" s="172" t="str">
        <f>'Table 1.2 complete'!A96</f>
        <v>El Salvador</v>
      </c>
      <c r="C99" s="203">
        <f>'Table 1.2 complete'!B96</f>
        <v>76</v>
      </c>
      <c r="D99" s="172" t="s">
        <v>423</v>
      </c>
      <c r="E99" s="132">
        <v>17</v>
      </c>
      <c r="F99" s="109" t="str">
        <f>'Table 1.2 complete'!E96</f>
        <v>-</v>
      </c>
      <c r="G99" s="109">
        <f>'Table 1.2 complete'!F96</f>
        <v>1.74</v>
      </c>
      <c r="H99" s="109">
        <f>'Table 1.2 complete'!G96</f>
        <v>1.38</v>
      </c>
      <c r="I99" s="109" t="str">
        <f>'Table 1.2 complete'!H96</f>
        <v>-</v>
      </c>
      <c r="J99" s="109" t="str">
        <f>'Table 1.3 complete'!E96</f>
        <v>-</v>
      </c>
      <c r="K99" s="109" t="str">
        <f>'Table 1.3 complete'!F96</f>
        <v>-</v>
      </c>
      <c r="L99" s="109" t="str">
        <f>'Table 1.3 complete'!G96</f>
        <v>-</v>
      </c>
      <c r="M99" s="109" t="str">
        <f>'Table 1.3 complete'!H96</f>
        <v>-</v>
      </c>
      <c r="N99" s="109">
        <f>'Table 1.3 complete'!I96</f>
        <v>2.65</v>
      </c>
      <c r="O99" s="109" t="str">
        <f>'Table 1.3 complete'!J96</f>
        <v>-</v>
      </c>
      <c r="P99" s="109">
        <f>'Table 1.3 complete'!K96</f>
        <v>0.03</v>
      </c>
      <c r="Q99" s="109" t="str">
        <f>'Table 1.3 complete'!L96</f>
        <v>-</v>
      </c>
      <c r="R99" s="109" t="str">
        <f>'Table 1.3 complete'!M96</f>
        <v>-</v>
      </c>
      <c r="S99" s="109" t="str">
        <f>'Table 1.3 complete'!N96</f>
        <v>-</v>
      </c>
      <c r="T99" s="149">
        <f>SUM(F99:S99)</f>
        <v>5.8</v>
      </c>
      <c r="U99" s="106">
        <f>T99-'Table 1.1 complete'!E96</f>
        <v>0</v>
      </c>
      <c r="V99" s="113">
        <f>T99-'Table 1.2 complete'!K96</f>
        <v>-9.9999999999997868E-3</v>
      </c>
      <c r="W99" s="106">
        <f>'Table 1.2 complete'!K96-'Table 1.1 complete'!E96</f>
        <v>9.9999999999997868E-3</v>
      </c>
    </row>
    <row r="100" spans="1:23" x14ac:dyDescent="0.25">
      <c r="A100" s="346"/>
      <c r="B100" s="172" t="str">
        <f>'Table 1.2 complete'!A97</f>
        <v>Eritrea</v>
      </c>
      <c r="C100" s="203">
        <f>'Table 1.2 complete'!B97</f>
        <v>47</v>
      </c>
      <c r="D100" s="172" t="s">
        <v>423</v>
      </c>
      <c r="E100" s="132">
        <v>17</v>
      </c>
      <c r="F100" s="109" t="str">
        <f>'Table 1.2 complete'!E97</f>
        <v>-</v>
      </c>
      <c r="G100" s="109" t="str">
        <f>'Table 1.2 complete'!F97</f>
        <v>-</v>
      </c>
      <c r="H100" s="109" t="str">
        <f>'Table 1.2 complete'!G97</f>
        <v>-</v>
      </c>
      <c r="I100" s="109">
        <f>'Table 1.2 complete'!H97</f>
        <v>0</v>
      </c>
      <c r="J100" s="109" t="str">
        <f>'Table 1.3 complete'!E97</f>
        <v>-</v>
      </c>
      <c r="K100" s="109" t="str">
        <f>'Table 1.3 complete'!F97</f>
        <v>-</v>
      </c>
      <c r="L100" s="109" t="str">
        <f>'Table 1.3 complete'!G97</f>
        <v>-</v>
      </c>
      <c r="M100" s="109" t="str">
        <f>'Table 1.3 complete'!H97</f>
        <v>-</v>
      </c>
      <c r="N100" s="109">
        <f>'Table 1.3 complete'!I97</f>
        <v>0.28999999999999998</v>
      </c>
      <c r="O100" s="109" t="str">
        <f>'Table 1.3 complete'!J97</f>
        <v>-</v>
      </c>
      <c r="P100" s="109" t="str">
        <f>'Table 1.3 complete'!K97</f>
        <v>-</v>
      </c>
      <c r="Q100" s="109" t="str">
        <f>'Table 1.3 complete'!L97</f>
        <v>-</v>
      </c>
      <c r="R100" s="109" t="str">
        <f>'Table 1.3 complete'!M97</f>
        <v>-</v>
      </c>
      <c r="S100" s="109" t="str">
        <f>'Table 1.3 complete'!N97</f>
        <v>-</v>
      </c>
      <c r="T100" s="149">
        <f>SUM(F100:S100)</f>
        <v>0.28999999999999998</v>
      </c>
      <c r="U100" s="106">
        <f>T100-'Table 1.1 complete'!E97</f>
        <v>-1.0000000000000009E-2</v>
      </c>
      <c r="V100" s="113">
        <f>T100-'Table 1.2 complete'!K97</f>
        <v>0</v>
      </c>
      <c r="W100" s="106">
        <f>'Table 1.2 complete'!K97-'Table 1.1 complete'!E97</f>
        <v>-1.0000000000000009E-2</v>
      </c>
    </row>
    <row r="101" spans="1:23" x14ac:dyDescent="0.25">
      <c r="A101" s="346"/>
      <c r="B101" s="172" t="str">
        <f>'Table 1.2 complete'!A98</f>
        <v>Ethiopia</v>
      </c>
      <c r="C101" s="203">
        <f>'Table 1.2 complete'!B98</f>
        <v>48</v>
      </c>
      <c r="D101" s="172" t="s">
        <v>423</v>
      </c>
      <c r="E101" s="132">
        <v>17</v>
      </c>
      <c r="F101" s="109" t="str">
        <f>'Table 1.2 complete'!E98</f>
        <v>-</v>
      </c>
      <c r="G101" s="109">
        <f>'Table 1.2 complete'!F98</f>
        <v>3.37</v>
      </c>
      <c r="H101" s="109" t="str">
        <f>'Table 1.2 complete'!G98</f>
        <v>-</v>
      </c>
      <c r="I101" s="109" t="str">
        <f>'Table 1.2 complete'!H98</f>
        <v>-</v>
      </c>
      <c r="J101" s="109" t="str">
        <f>'Table 1.3 complete'!E98</f>
        <v>-</v>
      </c>
      <c r="K101" s="109" t="str">
        <f>'Table 1.3 complete'!F98</f>
        <v>-</v>
      </c>
      <c r="L101" s="109" t="str">
        <f>'Table 1.3 complete'!G98</f>
        <v>-</v>
      </c>
      <c r="M101" s="109" t="str">
        <f>'Table 1.3 complete'!H98</f>
        <v>-</v>
      </c>
      <c r="N101" s="109">
        <f>'Table 1.3 complete'!I98</f>
        <v>0.13</v>
      </c>
      <c r="O101" s="109" t="str">
        <f>'Table 1.3 complete'!J98</f>
        <v>-</v>
      </c>
      <c r="P101" s="109" t="str">
        <f>'Table 1.3 complete'!K98</f>
        <v>-</v>
      </c>
      <c r="Q101" s="109" t="str">
        <f>'Table 1.3 complete'!L98</f>
        <v>-</v>
      </c>
      <c r="R101" s="109" t="str">
        <f>'Table 1.3 complete'!M98</f>
        <v>-</v>
      </c>
      <c r="S101" s="109" t="str">
        <f>'Table 1.3 complete'!N98</f>
        <v>-</v>
      </c>
      <c r="T101" s="149">
        <f>SUM(F101:S101)</f>
        <v>3.5</v>
      </c>
      <c r="U101" s="106">
        <f>T101-'Table 1.1 complete'!E98</f>
        <v>0</v>
      </c>
      <c r="V101" s="113">
        <f>T101-'Table 1.2 complete'!K98</f>
        <v>0</v>
      </c>
      <c r="W101" s="106">
        <f>'Table 1.2 complete'!K98-'Table 1.1 complete'!E98</f>
        <v>0</v>
      </c>
    </row>
    <row r="102" spans="1:23" x14ac:dyDescent="0.25">
      <c r="A102" s="346"/>
      <c r="B102" s="172" t="str">
        <f>'Table 1.2 complete'!A99</f>
        <v>F.Y.R. Macedonia</v>
      </c>
      <c r="C102" s="203">
        <f>'Table 1.2 complete'!B99</f>
        <v>118</v>
      </c>
      <c r="D102" s="172" t="s">
        <v>423</v>
      </c>
      <c r="E102" s="132">
        <v>17</v>
      </c>
      <c r="F102" s="109" t="str">
        <f>'Table 1.2 complete'!E99</f>
        <v>-</v>
      </c>
      <c r="G102" s="109">
        <f>'Table 1.2 complete'!F99</f>
        <v>1.01</v>
      </c>
      <c r="H102" s="109" t="str">
        <f>'Table 1.2 complete'!G99</f>
        <v>-</v>
      </c>
      <c r="I102" s="109" t="str">
        <f>'Table 1.2 complete'!H99</f>
        <v>-</v>
      </c>
      <c r="J102" s="109" t="str">
        <f>'Table 1.3 complete'!E99</f>
        <v>-</v>
      </c>
      <c r="K102" s="109">
        <f>'Table 1.3 complete'!F99</f>
        <v>5.24</v>
      </c>
      <c r="L102" s="109" t="str">
        <f>'Table 1.3 complete'!G99</f>
        <v>-</v>
      </c>
      <c r="M102" s="109" t="str">
        <f>'Table 1.3 complete'!H99</f>
        <v>-</v>
      </c>
      <c r="N102" s="109">
        <f>'Table 1.3 complete'!I99</f>
        <v>0.48</v>
      </c>
      <c r="O102" s="109" t="str">
        <f>'Table 1.3 complete'!J99</f>
        <v>-</v>
      </c>
      <c r="P102" s="109" t="str">
        <f>'Table 1.3 complete'!K99</f>
        <v>-</v>
      </c>
      <c r="Q102" s="109" t="str">
        <f>'Table 1.3 complete'!L99</f>
        <v>-</v>
      </c>
      <c r="R102" s="109" t="str">
        <f>'Table 1.3 complete'!M99</f>
        <v>-</v>
      </c>
      <c r="S102" s="109" t="str">
        <f>'Table 1.3 complete'!N99</f>
        <v>-</v>
      </c>
      <c r="T102" s="149">
        <f>SUM(F102:S102)</f>
        <v>6.73</v>
      </c>
      <c r="U102" s="106">
        <f>T102-'Table 1.1 complete'!E99</f>
        <v>3.0000000000000249E-2</v>
      </c>
      <c r="V102" s="113">
        <f>T102-'Table 1.2 complete'!K99</f>
        <v>0</v>
      </c>
      <c r="W102" s="106">
        <f>'Table 1.2 complete'!K99-'Table 1.1 complete'!E99</f>
        <v>3.0000000000000249E-2</v>
      </c>
    </row>
    <row r="103" spans="1:23" x14ac:dyDescent="0.25">
      <c r="A103" s="346"/>
      <c r="B103" s="172" t="str">
        <f>'Table 1.2 complete'!A100</f>
        <v>Gabon</v>
      </c>
      <c r="C103" s="203">
        <f>'Table 1.2 complete'!B100</f>
        <v>49</v>
      </c>
      <c r="D103" s="172" t="s">
        <v>423</v>
      </c>
      <c r="E103" s="132">
        <v>17</v>
      </c>
      <c r="F103" s="109" t="str">
        <f>'Table 1.2 complete'!E100</f>
        <v>-</v>
      </c>
      <c r="G103" s="109">
        <f>'Table 1.2 complete'!F100</f>
        <v>0.8</v>
      </c>
      <c r="H103" s="109" t="str">
        <f>'Table 1.2 complete'!G100</f>
        <v>-</v>
      </c>
      <c r="I103" s="109" t="str">
        <f>'Table 1.2 complete'!H100</f>
        <v>-</v>
      </c>
      <c r="J103" s="109" t="str">
        <f>'Table 1.3 complete'!E100</f>
        <v>-</v>
      </c>
      <c r="K103" s="109" t="str">
        <f>'Table 1.3 complete'!F100</f>
        <v>-</v>
      </c>
      <c r="L103" s="109" t="str">
        <f>'Table 1.3 complete'!G100</f>
        <v>-</v>
      </c>
      <c r="M103" s="109" t="str">
        <f>'Table 1.3 complete'!H100</f>
        <v>-</v>
      </c>
      <c r="N103" s="109">
        <f>'Table 1.3 complete'!I100</f>
        <v>0.74</v>
      </c>
      <c r="O103" s="109">
        <f>'Table 1.3 complete'!J100</f>
        <v>0.3</v>
      </c>
      <c r="P103" s="109">
        <f>'Table 1.3 complete'!K100</f>
        <v>0.01</v>
      </c>
      <c r="Q103" s="109" t="str">
        <f>'Table 1.3 complete'!L100</f>
        <v>-</v>
      </c>
      <c r="R103" s="109" t="str">
        <f>'Table 1.3 complete'!M100</f>
        <v>-</v>
      </c>
      <c r="S103" s="109" t="str">
        <f>'Table 1.3 complete'!N100</f>
        <v>-</v>
      </c>
      <c r="T103" s="149">
        <f>SUM(F103:S103)</f>
        <v>1.85</v>
      </c>
      <c r="U103" s="106">
        <f>T103-'Table 1.1 complete'!E100</f>
        <v>5.0000000000000044E-2</v>
      </c>
      <c r="V103" s="113">
        <f>T103-'Table 1.2 complete'!K100</f>
        <v>1.0000000000000009E-2</v>
      </c>
      <c r="W103" s="106">
        <f>'Table 1.2 complete'!K100-'Table 1.1 complete'!E100</f>
        <v>4.0000000000000036E-2</v>
      </c>
    </row>
    <row r="104" spans="1:23" x14ac:dyDescent="0.25">
      <c r="A104" s="346"/>
      <c r="B104" s="172" t="str">
        <f>'Table 1.2 complete'!A101</f>
        <v>Georgia</v>
      </c>
      <c r="C104" s="203">
        <f>'Table 1.2 complete'!B101</f>
        <v>129</v>
      </c>
      <c r="D104" s="172" t="s">
        <v>423</v>
      </c>
      <c r="E104" s="132">
        <v>17</v>
      </c>
      <c r="F104" s="109" t="str">
        <f>'Table 1.2 complete'!E101</f>
        <v>-</v>
      </c>
      <c r="G104" s="109">
        <f>'Table 1.2 complete'!F101</f>
        <v>6.82</v>
      </c>
      <c r="H104" s="109" t="str">
        <f>'Table 1.2 complete'!G101</f>
        <v>-</v>
      </c>
      <c r="I104" s="109" t="str">
        <f>'Table 1.2 complete'!H101</f>
        <v>-</v>
      </c>
      <c r="J104" s="109" t="str">
        <f>'Table 1.3 complete'!E101</f>
        <v>-</v>
      </c>
      <c r="K104" s="109" t="str">
        <f>'Table 1.3 complete'!F101</f>
        <v>-</v>
      </c>
      <c r="L104" s="109" t="str">
        <f>'Table 1.3 complete'!G101</f>
        <v>-</v>
      </c>
      <c r="M104" s="109" t="str">
        <f>'Table 1.3 complete'!H101</f>
        <v>-</v>
      </c>
      <c r="N104" s="109">
        <f>'Table 1.3 complete'!I101</f>
        <v>0.02</v>
      </c>
      <c r="O104" s="109">
        <f>'Table 1.3 complete'!J101</f>
        <v>1.49</v>
      </c>
      <c r="P104" s="109" t="str">
        <f>'Table 1.3 complete'!K101</f>
        <v>-</v>
      </c>
      <c r="Q104" s="109" t="str">
        <f>'Table 1.3 complete'!L101</f>
        <v>-</v>
      </c>
      <c r="R104" s="109" t="str">
        <f>'Table 1.3 complete'!M101</f>
        <v>-</v>
      </c>
      <c r="S104" s="109" t="str">
        <f>'Table 1.3 complete'!N101</f>
        <v>-</v>
      </c>
      <c r="T104" s="149">
        <f>SUM(F104:S104)</f>
        <v>8.33</v>
      </c>
      <c r="U104" s="106">
        <f>T104-'Table 1.1 complete'!E101</f>
        <v>2.9999999999999361E-2</v>
      </c>
      <c r="V104" s="113">
        <f>T104-'Table 1.2 complete'!K101</f>
        <v>0</v>
      </c>
      <c r="W104" s="106">
        <f>'Table 1.2 complete'!K101-'Table 1.1 complete'!E101</f>
        <v>2.9999999999999361E-2</v>
      </c>
    </row>
    <row r="105" spans="1:23" x14ac:dyDescent="0.25">
      <c r="A105" s="346"/>
      <c r="B105" s="172" t="str">
        <f>'Table 1.2 complete'!A102</f>
        <v>Ghana</v>
      </c>
      <c r="C105" s="203">
        <f>'Table 1.2 complete'!B102</f>
        <v>50</v>
      </c>
      <c r="D105" s="172" t="s">
        <v>423</v>
      </c>
      <c r="E105" s="132">
        <v>17</v>
      </c>
      <c r="F105" s="109" t="str">
        <f>'Table 1.2 complete'!E102</f>
        <v>-</v>
      </c>
      <c r="G105" s="109">
        <f>'Table 1.2 complete'!F102</f>
        <v>3.73</v>
      </c>
      <c r="H105" s="109" t="str">
        <f>'Table 1.2 complete'!G102</f>
        <v>-</v>
      </c>
      <c r="I105" s="109" t="str">
        <f>'Table 1.2 complete'!H102</f>
        <v>-</v>
      </c>
      <c r="J105" s="109" t="str">
        <f>'Table 1.3 complete'!E102</f>
        <v>-</v>
      </c>
      <c r="K105" s="109" t="str">
        <f>'Table 1.3 complete'!F102</f>
        <v>-</v>
      </c>
      <c r="L105" s="109" t="str">
        <f>'Table 1.3 complete'!G102</f>
        <v>-</v>
      </c>
      <c r="M105" s="109" t="str">
        <f>'Table 1.3 complete'!H102</f>
        <v>-</v>
      </c>
      <c r="N105" s="109">
        <f>'Table 1.3 complete'!I102</f>
        <v>3.25</v>
      </c>
      <c r="O105" s="109" t="str">
        <f>'Table 1.3 complete'!J102</f>
        <v>-</v>
      </c>
      <c r="P105" s="109" t="str">
        <f>'Table 1.3 complete'!K102</f>
        <v>-</v>
      </c>
      <c r="Q105" s="109" t="str">
        <f>'Table 1.3 complete'!L102</f>
        <v>-</v>
      </c>
      <c r="R105" s="109" t="str">
        <f>'Table 1.3 complete'!M102</f>
        <v>-</v>
      </c>
      <c r="S105" s="109" t="str">
        <f>'Table 1.3 complete'!N102</f>
        <v>-</v>
      </c>
      <c r="T105" s="149">
        <f>SUM(F105:S105)</f>
        <v>6.98</v>
      </c>
      <c r="U105" s="106">
        <f>T105-'Table 1.1 complete'!E102</f>
        <v>-1.9999999999999574E-2</v>
      </c>
      <c r="V105" s="113">
        <f>T105-'Table 1.2 complete'!K102</f>
        <v>0</v>
      </c>
      <c r="W105" s="106">
        <f>'Table 1.2 complete'!K102-'Table 1.1 complete'!E102</f>
        <v>-1.9999999999999574E-2</v>
      </c>
    </row>
    <row r="106" spans="1:23" x14ac:dyDescent="0.25">
      <c r="A106" s="346"/>
      <c r="B106" s="172" t="str">
        <f>'Table 1.2 complete'!A103</f>
        <v>Guatemala</v>
      </c>
      <c r="C106" s="203">
        <f>'Table 1.2 complete'!B103</f>
        <v>77</v>
      </c>
      <c r="D106" s="172" t="s">
        <v>423</v>
      </c>
      <c r="E106" s="132">
        <v>17</v>
      </c>
      <c r="F106" s="109" t="str">
        <f>'Table 1.2 complete'!E103</f>
        <v>-</v>
      </c>
      <c r="G106" s="109">
        <f>'Table 1.2 complete'!F103</f>
        <v>3.63</v>
      </c>
      <c r="H106" s="109" t="str">
        <f>'Table 1.2 complete'!G103</f>
        <v>-</v>
      </c>
      <c r="I106" s="109" t="str">
        <f>'Table 1.2 complete'!H103</f>
        <v>-</v>
      </c>
      <c r="J106" s="109">
        <f>'Table 1.3 complete'!E103</f>
        <v>1.1200000000000001</v>
      </c>
      <c r="K106" s="109" t="str">
        <f>'Table 1.3 complete'!F103</f>
        <v>-</v>
      </c>
      <c r="L106" s="109" t="str">
        <f>'Table 1.3 complete'!G103</f>
        <v>-</v>
      </c>
      <c r="M106" s="109" t="str">
        <f>'Table 1.3 complete'!H103</f>
        <v>-</v>
      </c>
      <c r="N106" s="109">
        <f>'Table 1.3 complete'!I103</f>
        <v>2.63</v>
      </c>
      <c r="O106" s="109" t="str">
        <f>'Table 1.3 complete'!J103</f>
        <v>-</v>
      </c>
      <c r="P106" s="109">
        <f>'Table 1.3 complete'!K103</f>
        <v>1.37</v>
      </c>
      <c r="Q106" s="109" t="str">
        <f>'Table 1.3 complete'!L103</f>
        <v>-</v>
      </c>
      <c r="R106" s="109" t="str">
        <f>'Table 1.3 complete'!M103</f>
        <v>-</v>
      </c>
      <c r="S106" s="109" t="str">
        <f>'Table 1.3 complete'!N103</f>
        <v>-</v>
      </c>
      <c r="T106" s="149">
        <f>SUM(F106:S106)</f>
        <v>8.75</v>
      </c>
      <c r="U106" s="106">
        <f>T106-'Table 1.1 complete'!E103</f>
        <v>-5.0000000000000711E-2</v>
      </c>
      <c r="V106" s="113">
        <f>T106-'Table 1.2 complete'!K103</f>
        <v>-9.9999999999997868E-3</v>
      </c>
      <c r="W106" s="106">
        <f>'Table 1.2 complete'!K103-'Table 1.1 complete'!E103</f>
        <v>-4.0000000000000924E-2</v>
      </c>
    </row>
    <row r="107" spans="1:23" x14ac:dyDescent="0.25">
      <c r="A107" s="346"/>
      <c r="B107" s="172" t="str">
        <f>'Table 1.2 complete'!A104</f>
        <v xml:space="preserve">Haiti             </v>
      </c>
      <c r="C107" s="203">
        <f>'Table 1.2 complete'!B104</f>
        <v>78</v>
      </c>
      <c r="D107" s="172" t="s">
        <v>423</v>
      </c>
      <c r="E107" s="132">
        <v>17</v>
      </c>
      <c r="F107" s="109" t="str">
        <f>'Table 1.2 complete'!E104</f>
        <v>-</v>
      </c>
      <c r="G107" s="109">
        <f>'Table 1.2 complete'!F104</f>
        <v>0.15</v>
      </c>
      <c r="H107" s="109" t="str">
        <f>'Table 1.2 complete'!G104</f>
        <v>-</v>
      </c>
      <c r="I107" s="109" t="str">
        <f>'Table 1.2 complete'!H104</f>
        <v>-</v>
      </c>
      <c r="J107" s="109" t="str">
        <f>'Table 1.3 complete'!E104</f>
        <v>-</v>
      </c>
      <c r="K107" s="109" t="str">
        <f>'Table 1.3 complete'!F104</f>
        <v>-</v>
      </c>
      <c r="L107" s="109" t="str">
        <f>'Table 1.3 complete'!G104</f>
        <v>-</v>
      </c>
      <c r="M107" s="109" t="str">
        <f>'Table 1.3 complete'!H104</f>
        <v>-</v>
      </c>
      <c r="N107" s="109">
        <f>'Table 1.3 complete'!I104</f>
        <v>0.32</v>
      </c>
      <c r="O107" s="109" t="str">
        <f>'Table 1.3 complete'!J104</f>
        <v>-</v>
      </c>
      <c r="P107" s="109" t="str">
        <f>'Table 1.3 complete'!K104</f>
        <v>-</v>
      </c>
      <c r="Q107" s="109" t="str">
        <f>'Table 1.3 complete'!L104</f>
        <v>-</v>
      </c>
      <c r="R107" s="109" t="str">
        <f>'Table 1.3 complete'!M104</f>
        <v>-</v>
      </c>
      <c r="S107" s="109" t="str">
        <f>'Table 1.3 complete'!N104</f>
        <v>-</v>
      </c>
      <c r="T107" s="149">
        <f>SUM(F107:S107)</f>
        <v>0.47</v>
      </c>
      <c r="U107" s="106">
        <f>T107-'Table 1.1 complete'!E104</f>
        <v>-3.0000000000000027E-2</v>
      </c>
      <c r="V107" s="113">
        <f>T107-'Table 1.2 complete'!K104</f>
        <v>0</v>
      </c>
      <c r="W107" s="106">
        <f>'Table 1.2 complete'!K104-'Table 1.1 complete'!E104</f>
        <v>-3.0000000000000027E-2</v>
      </c>
    </row>
    <row r="108" spans="1:23" x14ac:dyDescent="0.25">
      <c r="A108" s="346"/>
      <c r="B108" s="172" t="str">
        <f>'Table 1.2 complete'!A105</f>
        <v xml:space="preserve">Honduras          </v>
      </c>
      <c r="C108" s="203">
        <f>'Table 1.2 complete'!B105</f>
        <v>79</v>
      </c>
      <c r="D108" s="172" t="s">
        <v>423</v>
      </c>
      <c r="E108" s="132">
        <v>17</v>
      </c>
      <c r="F108" s="109" t="str">
        <f>'Table 1.2 complete'!E105</f>
        <v>-</v>
      </c>
      <c r="G108" s="109">
        <f>'Table 1.2 complete'!F105</f>
        <v>2.21</v>
      </c>
      <c r="H108" s="109" t="str">
        <f>'Table 1.2 complete'!G105</f>
        <v>-</v>
      </c>
      <c r="I108" s="109" t="str">
        <f>'Table 1.2 complete'!H105</f>
        <v>-</v>
      </c>
      <c r="J108" s="109" t="str">
        <f>'Table 1.3 complete'!E105</f>
        <v>-</v>
      </c>
      <c r="K108" s="109" t="str">
        <f>'Table 1.3 complete'!F105</f>
        <v>-</v>
      </c>
      <c r="L108" s="109" t="str">
        <f>'Table 1.3 complete'!G105</f>
        <v>-</v>
      </c>
      <c r="M108" s="109" t="str">
        <f>'Table 1.3 complete'!H105</f>
        <v>-</v>
      </c>
      <c r="N108" s="109">
        <f>'Table 1.3 complete'!I105</f>
        <v>3.93</v>
      </c>
      <c r="O108" s="109" t="str">
        <f>'Table 1.3 complete'!J105</f>
        <v>-</v>
      </c>
      <c r="P108" s="109">
        <f>'Table 1.3 complete'!K105</f>
        <v>0.17</v>
      </c>
      <c r="Q108" s="109" t="str">
        <f>'Table 1.3 complete'!L105</f>
        <v>-</v>
      </c>
      <c r="R108" s="109" t="str">
        <f>'Table 1.3 complete'!M105</f>
        <v>-</v>
      </c>
      <c r="S108" s="109" t="str">
        <f>'Table 1.3 complete'!N105</f>
        <v>-</v>
      </c>
      <c r="T108" s="149">
        <f>SUM(F108:S108)</f>
        <v>6.3100000000000005</v>
      </c>
      <c r="U108" s="106">
        <f>T108-'Table 1.1 complete'!E105</f>
        <v>1.0000000000000675E-2</v>
      </c>
      <c r="V108" s="113">
        <f>T108-'Table 1.2 complete'!K105</f>
        <v>-9.9999999999997868E-3</v>
      </c>
      <c r="W108" s="106">
        <f>'Table 1.2 complete'!K105-'Table 1.1 complete'!E105</f>
        <v>2.0000000000000462E-2</v>
      </c>
    </row>
    <row r="109" spans="1:23" x14ac:dyDescent="0.25">
      <c r="A109" s="346"/>
      <c r="B109" s="172" t="str">
        <f>'Table 1.2 complete'!A106</f>
        <v>Israel</v>
      </c>
      <c r="C109" s="203">
        <f>'Table 1.2 complete'!B106</f>
        <v>144</v>
      </c>
      <c r="D109" s="172" t="s">
        <v>423</v>
      </c>
      <c r="E109" s="132">
        <v>17</v>
      </c>
      <c r="F109" s="109" t="str">
        <f>'Table 1.2 complete'!E106</f>
        <v>-</v>
      </c>
      <c r="G109" s="109">
        <f>'Table 1.2 complete'!F106</f>
        <v>0.03</v>
      </c>
      <c r="H109" s="109" t="str">
        <f>'Table 1.2 complete'!G106</f>
        <v>-</v>
      </c>
      <c r="I109" s="109">
        <f>'Table 1.2 complete'!H106</f>
        <v>0.01</v>
      </c>
      <c r="J109" s="109">
        <f>'Table 1.3 complete'!E106</f>
        <v>37.25</v>
      </c>
      <c r="K109" s="109">
        <f>'Table 1.3 complete'!F106</f>
        <v>0.16</v>
      </c>
      <c r="L109" s="109" t="str">
        <f>'Table 1.3 complete'!G106</f>
        <v>-</v>
      </c>
      <c r="M109" s="109" t="str">
        <f>'Table 1.3 complete'!H106</f>
        <v>-</v>
      </c>
      <c r="N109" s="109">
        <f>'Table 1.3 complete'!I106</f>
        <v>6.81</v>
      </c>
      <c r="O109" s="109">
        <f>'Table 1.3 complete'!J106</f>
        <v>10.57</v>
      </c>
      <c r="P109" s="109" t="str">
        <f>'Table 1.3 complete'!K106</f>
        <v>-</v>
      </c>
      <c r="Q109" s="109" t="str">
        <f>'Table 1.3 complete'!L106</f>
        <v>-</v>
      </c>
      <c r="R109" s="109" t="str">
        <f>'Table 1.3 complete'!M106</f>
        <v>-</v>
      </c>
      <c r="S109" s="109" t="str">
        <f>'Table 1.3 complete'!N106</f>
        <v>-</v>
      </c>
      <c r="T109" s="149">
        <f>SUM(F109:S109)</f>
        <v>54.83</v>
      </c>
      <c r="U109" s="106">
        <f>T109-'Table 1.1 complete'!E106</f>
        <v>3.0000000000001137E-2</v>
      </c>
      <c r="V109" s="113">
        <f>T109-'Table 1.2 complete'!K106</f>
        <v>9.9999999999980105E-3</v>
      </c>
      <c r="W109" s="106">
        <f>'Table 1.2 complete'!K106-'Table 1.1 complete'!E106</f>
        <v>2.0000000000003126E-2</v>
      </c>
    </row>
    <row r="110" spans="1:23" x14ac:dyDescent="0.25">
      <c r="A110" s="346"/>
      <c r="B110" s="172" t="str">
        <f>'Table 1.2 complete'!A107</f>
        <v>Jamaica</v>
      </c>
      <c r="C110" s="203">
        <f>'Table 1.2 complete'!B107</f>
        <v>80</v>
      </c>
      <c r="D110" s="172" t="s">
        <v>423</v>
      </c>
      <c r="E110" s="132">
        <v>17</v>
      </c>
      <c r="F110" s="109" t="str">
        <f>'Table 1.2 complete'!E107</f>
        <v>-</v>
      </c>
      <c r="G110" s="109">
        <f>'Table 1.2 complete'!F107</f>
        <v>0.16</v>
      </c>
      <c r="H110" s="109" t="str">
        <f>'Table 1.2 complete'!G107</f>
        <v>-</v>
      </c>
      <c r="I110" s="109">
        <f>'Table 1.2 complete'!H107</f>
        <v>0.05</v>
      </c>
      <c r="J110" s="109" t="str">
        <f>'Table 1.3 complete'!E107</f>
        <v>-</v>
      </c>
      <c r="K110" s="109" t="str">
        <f>'Table 1.3 complete'!F107</f>
        <v>-</v>
      </c>
      <c r="L110" s="109" t="str">
        <f>'Table 1.3 complete'!G107</f>
        <v>-</v>
      </c>
      <c r="M110" s="109" t="str">
        <f>'Table 1.3 complete'!H107</f>
        <v>-</v>
      </c>
      <c r="N110" s="109">
        <f>'Table 1.3 complete'!I107</f>
        <v>7.46</v>
      </c>
      <c r="O110" s="109" t="str">
        <f>'Table 1.3 complete'!J107</f>
        <v>-</v>
      </c>
      <c r="P110" s="109">
        <f>'Table 1.3 complete'!K107</f>
        <v>0.11</v>
      </c>
      <c r="Q110" s="109" t="str">
        <f>'Table 1.3 complete'!L107</f>
        <v>-</v>
      </c>
      <c r="R110" s="109" t="str">
        <f>'Table 1.3 complete'!M107</f>
        <v>-</v>
      </c>
      <c r="S110" s="109" t="str">
        <f>'Table 1.3 complete'!N107</f>
        <v>-</v>
      </c>
      <c r="T110" s="149">
        <f>SUM(F110:S110)</f>
        <v>7.78</v>
      </c>
      <c r="U110" s="106">
        <f>T110-'Table 1.1 complete'!E107</f>
        <v>-1.9999999999999574E-2</v>
      </c>
      <c r="V110" s="113">
        <f>T110-'Table 1.2 complete'!K107</f>
        <v>0</v>
      </c>
      <c r="W110" s="106">
        <f>'Table 1.2 complete'!K107-'Table 1.1 complete'!E107</f>
        <v>-1.9999999999999574E-2</v>
      </c>
    </row>
    <row r="111" spans="1:23" x14ac:dyDescent="0.25">
      <c r="A111" s="346"/>
      <c r="B111" s="172" t="str">
        <f>'Table 1.2 complete'!A108</f>
        <v>Kazakhstan</v>
      </c>
      <c r="C111" s="203">
        <f>'Table 1.2 complete'!B108</f>
        <v>130</v>
      </c>
      <c r="D111" s="172" t="s">
        <v>423</v>
      </c>
      <c r="E111" s="132">
        <v>17</v>
      </c>
      <c r="F111" s="109" t="str">
        <f>'Table 1.2 complete'!E108</f>
        <v>-</v>
      </c>
      <c r="G111" s="109">
        <f>'Table 1.2 complete'!F108</f>
        <v>8.17</v>
      </c>
      <c r="H111" s="109" t="str">
        <f>'Table 1.2 complete'!G108</f>
        <v>-</v>
      </c>
      <c r="I111" s="109" t="str">
        <f>'Table 1.2 complete'!H108</f>
        <v>-</v>
      </c>
      <c r="J111" s="109">
        <f>'Table 1.3 complete'!E108</f>
        <v>53.88</v>
      </c>
      <c r="K111" s="109" t="str">
        <f>'Table 1.3 complete'!F108</f>
        <v>-</v>
      </c>
      <c r="L111" s="109" t="str">
        <f>'Table 1.3 complete'!G108</f>
        <v>-</v>
      </c>
      <c r="M111" s="109" t="str">
        <f>'Table 1.3 complete'!H108</f>
        <v>-</v>
      </c>
      <c r="N111" s="109">
        <f>'Table 1.3 complete'!I108</f>
        <v>6.37</v>
      </c>
      <c r="O111" s="109">
        <f>'Table 1.3 complete'!J108</f>
        <v>8.18</v>
      </c>
      <c r="P111" s="109" t="str">
        <f>'Table 1.3 complete'!K108</f>
        <v>-</v>
      </c>
      <c r="Q111" s="109" t="str">
        <f>'Table 1.3 complete'!L108</f>
        <v>-</v>
      </c>
      <c r="R111" s="109" t="str">
        <f>'Table 1.3 complete'!M108</f>
        <v>-</v>
      </c>
      <c r="S111" s="109" t="str">
        <f>'Table 1.3 complete'!N108</f>
        <v>-</v>
      </c>
      <c r="T111" s="149">
        <f>SUM(F111:S111)</f>
        <v>76.599999999999994</v>
      </c>
      <c r="U111" s="106">
        <f>T111-'Table 1.1 complete'!E108</f>
        <v>0</v>
      </c>
      <c r="V111" s="113">
        <f>T111-'Table 1.2 complete'!K108</f>
        <v>0</v>
      </c>
      <c r="W111" s="106">
        <f>'Table 1.2 complete'!K108-'Table 1.1 complete'!E108</f>
        <v>0</v>
      </c>
    </row>
    <row r="112" spans="1:23" x14ac:dyDescent="0.25">
      <c r="A112" s="346"/>
      <c r="B112" s="172" t="str">
        <f>'Table 1.2 complete'!A109</f>
        <v>Kenya</v>
      </c>
      <c r="C112" s="203">
        <f>'Table 1.2 complete'!B109</f>
        <v>51</v>
      </c>
      <c r="D112" s="172" t="s">
        <v>423</v>
      </c>
      <c r="E112" s="132">
        <v>17</v>
      </c>
      <c r="F112" s="109" t="str">
        <f>'Table 1.2 complete'!E109</f>
        <v>-</v>
      </c>
      <c r="G112" s="109">
        <f>'Table 1.2 complete'!F109</f>
        <v>3.48</v>
      </c>
      <c r="H112" s="109">
        <f>'Table 1.2 complete'!G109</f>
        <v>1.02</v>
      </c>
      <c r="I112" s="109" t="str">
        <f>'Table 1.2 complete'!H109</f>
        <v>-</v>
      </c>
      <c r="J112" s="109" t="str">
        <f>'Table 1.3 complete'!E109</f>
        <v>-</v>
      </c>
      <c r="K112" s="109" t="str">
        <f>'Table 1.3 complete'!F109</f>
        <v>-</v>
      </c>
      <c r="L112" s="109" t="str">
        <f>'Table 1.3 complete'!G109</f>
        <v>-</v>
      </c>
      <c r="M112" s="109" t="str">
        <f>'Table 1.3 complete'!H109</f>
        <v>-</v>
      </c>
      <c r="N112" s="109">
        <f>'Table 1.3 complete'!I109</f>
        <v>1.95</v>
      </c>
      <c r="O112" s="109" t="str">
        <f>'Table 1.3 complete'!J109</f>
        <v>-</v>
      </c>
      <c r="P112" s="109">
        <f>'Table 1.3 complete'!K109</f>
        <v>0.32</v>
      </c>
      <c r="Q112" s="109" t="str">
        <f>'Table 1.3 complete'!L109</f>
        <v>-</v>
      </c>
      <c r="R112" s="109" t="str">
        <f>'Table 1.3 complete'!M109</f>
        <v>-</v>
      </c>
      <c r="S112" s="109" t="str">
        <f>'Table 1.3 complete'!N109</f>
        <v>-</v>
      </c>
      <c r="T112" s="149">
        <f>SUM(F112:S112)</f>
        <v>6.7700000000000005</v>
      </c>
      <c r="U112" s="106">
        <f>T112-'Table 1.1 complete'!E109</f>
        <v>-2.9999999999999361E-2</v>
      </c>
      <c r="V112" s="113">
        <f>T112-'Table 1.2 complete'!K109</f>
        <v>0</v>
      </c>
      <c r="W112" s="106">
        <f>'Table 1.2 complete'!K109-'Table 1.1 complete'!E109</f>
        <v>-3.0000000000000249E-2</v>
      </c>
    </row>
    <row r="113" spans="1:23" x14ac:dyDescent="0.25">
      <c r="A113" s="346"/>
      <c r="B113" s="172" t="str">
        <f>'Table 1.2 complete'!A110</f>
        <v>Kyrgyzstan</v>
      </c>
      <c r="C113" s="203">
        <f>'Table 1.2 complete'!B110</f>
        <v>131</v>
      </c>
      <c r="D113" s="172" t="s">
        <v>423</v>
      </c>
      <c r="E113" s="132">
        <v>17</v>
      </c>
      <c r="F113" s="109" t="str">
        <f>'Table 1.2 complete'!E110</f>
        <v>-</v>
      </c>
      <c r="G113" s="109">
        <f>'Table 1.2 complete'!F110</f>
        <v>13.95</v>
      </c>
      <c r="H113" s="109" t="str">
        <f>'Table 1.2 complete'!G110</f>
        <v>-</v>
      </c>
      <c r="I113" s="109" t="str">
        <f>'Table 1.2 complete'!H110</f>
        <v>-</v>
      </c>
      <c r="J113" s="109">
        <f>'Table 1.3 complete'!E110</f>
        <v>0.54</v>
      </c>
      <c r="K113" s="109" t="str">
        <f>'Table 1.3 complete'!F110</f>
        <v>-</v>
      </c>
      <c r="L113" s="109" t="str">
        <f>'Table 1.3 complete'!G110</f>
        <v>-</v>
      </c>
      <c r="M113" s="109" t="str">
        <f>'Table 1.3 complete'!H110</f>
        <v>-</v>
      </c>
      <c r="N113" s="109" t="str">
        <f>'Table 1.3 complete'!I110</f>
        <v>-</v>
      </c>
      <c r="O113" s="109">
        <f>'Table 1.3 complete'!J110</f>
        <v>1.75</v>
      </c>
      <c r="P113" s="109" t="str">
        <f>'Table 1.3 complete'!K110</f>
        <v>-</v>
      </c>
      <c r="Q113" s="109" t="str">
        <f>'Table 1.3 complete'!L110</f>
        <v>-</v>
      </c>
      <c r="R113" s="109" t="str">
        <f>'Table 1.3 complete'!M110</f>
        <v>-</v>
      </c>
      <c r="S113" s="109" t="str">
        <f>'Table 1.3 complete'!N110</f>
        <v>-</v>
      </c>
      <c r="T113" s="149">
        <f>SUM(F113:S113)</f>
        <v>16.239999999999998</v>
      </c>
      <c r="U113" s="106">
        <f>T113-'Table 1.1 complete'!E110</f>
        <v>3.9999999999999147E-2</v>
      </c>
      <c r="V113" s="113">
        <f>T113-'Table 1.2 complete'!K110</f>
        <v>0</v>
      </c>
      <c r="W113" s="106">
        <f>'Table 1.2 complete'!K110-'Table 1.1 complete'!E110</f>
        <v>3.9999999999999147E-2</v>
      </c>
    </row>
    <row r="114" spans="1:23" x14ac:dyDescent="0.25">
      <c r="A114" s="346"/>
      <c r="B114" s="172" t="str">
        <f>'Table 1.2 complete'!A111</f>
        <v>Malaysia</v>
      </c>
      <c r="C114" s="203">
        <f>'Table 1.2 complete'!B111</f>
        <v>97</v>
      </c>
      <c r="D114" s="172" t="s">
        <v>423</v>
      </c>
      <c r="E114" s="132">
        <v>17</v>
      </c>
      <c r="F114" s="109" t="str">
        <f>'Table 1.2 complete'!E111</f>
        <v>-</v>
      </c>
      <c r="G114" s="109">
        <f>'Table 1.2 complete'!F111</f>
        <v>6.49</v>
      </c>
      <c r="H114" s="109" t="str">
        <f>'Table 1.2 complete'!G111</f>
        <v>-</v>
      </c>
      <c r="I114" s="109">
        <f>'Table 1.2 complete'!H111</f>
        <v>0</v>
      </c>
      <c r="J114" s="109">
        <f>'Table 1.3 complete'!E111</f>
        <v>29.9</v>
      </c>
      <c r="K114" s="109" t="str">
        <f>'Table 1.3 complete'!F111</f>
        <v>-</v>
      </c>
      <c r="L114" s="109" t="str">
        <f>'Table 1.3 complete'!G111</f>
        <v>-</v>
      </c>
      <c r="M114" s="109" t="str">
        <f>'Table 1.3 complete'!H111</f>
        <v>-</v>
      </c>
      <c r="N114" s="109">
        <f>'Table 1.3 complete'!I111</f>
        <v>2.0699999999999998</v>
      </c>
      <c r="O114" s="109">
        <f>'Table 1.3 complete'!J111</f>
        <v>62.86</v>
      </c>
      <c r="P114" s="109" t="str">
        <f>'Table 1.3 complete'!K111</f>
        <v>-</v>
      </c>
      <c r="Q114" s="109" t="str">
        <f>'Table 1.3 complete'!L111</f>
        <v>-</v>
      </c>
      <c r="R114" s="109" t="str">
        <f>'Table 1.3 complete'!M111</f>
        <v>-</v>
      </c>
      <c r="S114" s="109" t="str">
        <f>'Table 1.3 complete'!N111</f>
        <v>-</v>
      </c>
      <c r="T114" s="149">
        <f>SUM(F114:S114)</f>
        <v>101.32</v>
      </c>
      <c r="U114" s="106">
        <f>T114-'Table 1.1 complete'!E111</f>
        <v>1.9999999999996021E-2</v>
      </c>
      <c r="V114" s="113">
        <f>T114-'Table 1.2 complete'!K111</f>
        <v>-1.0000000000005116E-2</v>
      </c>
      <c r="W114" s="106">
        <f>'Table 1.2 complete'!K111-'Table 1.1 complete'!E111</f>
        <v>3.0000000000001137E-2</v>
      </c>
    </row>
    <row r="115" spans="1:23" x14ac:dyDescent="0.25">
      <c r="A115" s="346"/>
      <c r="B115" s="172" t="str">
        <f>'Table 1.2 complete'!A112</f>
        <v>Mongolia</v>
      </c>
      <c r="C115" s="203">
        <f>'Table 1.2 complete'!B112</f>
        <v>98</v>
      </c>
      <c r="D115" s="172" t="s">
        <v>423</v>
      </c>
      <c r="E115" s="132">
        <v>17</v>
      </c>
      <c r="F115" s="109" t="str">
        <f>'Table 1.2 complete'!E112</f>
        <v>-</v>
      </c>
      <c r="G115" s="109" t="str">
        <f>'Table 1.2 complete'!F112</f>
        <v>-</v>
      </c>
      <c r="H115" s="109" t="str">
        <f>'Table 1.2 complete'!G112</f>
        <v>-</v>
      </c>
      <c r="I115" s="109" t="str">
        <f>'Table 1.2 complete'!H112</f>
        <v>-</v>
      </c>
      <c r="J115" s="109" t="str">
        <f>'Table 1.3 complete'!E112</f>
        <v>-</v>
      </c>
      <c r="K115" s="109">
        <f>'Table 1.3 complete'!F112</f>
        <v>3.68</v>
      </c>
      <c r="L115" s="109" t="str">
        <f>'Table 1.3 complete'!G112</f>
        <v>-</v>
      </c>
      <c r="M115" s="109" t="str">
        <f>'Table 1.3 complete'!H112</f>
        <v>-</v>
      </c>
      <c r="N115" s="109">
        <f>'Table 1.3 complete'!I112</f>
        <v>0.15</v>
      </c>
      <c r="O115" s="109" t="str">
        <f>'Table 1.3 complete'!J112</f>
        <v>-</v>
      </c>
      <c r="P115" s="109" t="str">
        <f>'Table 1.3 complete'!K112</f>
        <v>-</v>
      </c>
      <c r="Q115" s="109" t="str">
        <f>'Table 1.3 complete'!L112</f>
        <v>-</v>
      </c>
      <c r="R115" s="109" t="str">
        <f>'Table 1.3 complete'!M112</f>
        <v>-</v>
      </c>
      <c r="S115" s="109" t="str">
        <f>'Table 1.3 complete'!N112</f>
        <v>-</v>
      </c>
      <c r="T115" s="149">
        <f>SUM(F115:S115)</f>
        <v>3.83</v>
      </c>
      <c r="U115" s="106">
        <f>T115-'Table 1.1 complete'!E112</f>
        <v>3.0000000000000249E-2</v>
      </c>
      <c r="V115" s="113">
        <f>T115-'Table 1.2 complete'!K112</f>
        <v>0</v>
      </c>
      <c r="W115" s="106">
        <f>'Table 1.2 complete'!K112-'Table 1.1 complete'!E112</f>
        <v>3.0000000000000249E-2</v>
      </c>
    </row>
    <row r="116" spans="1:23" x14ac:dyDescent="0.25">
      <c r="A116" s="346"/>
      <c r="B116" s="172" t="str">
        <f>'Table 1.2 complete'!A113</f>
        <v>Mozambique</v>
      </c>
      <c r="C116" s="203">
        <f>'Table 1.2 complete'!B113</f>
        <v>54</v>
      </c>
      <c r="D116" s="172" t="s">
        <v>423</v>
      </c>
      <c r="E116" s="132">
        <v>17</v>
      </c>
      <c r="F116" s="109" t="str">
        <f>'Table 1.2 complete'!E113</f>
        <v>-</v>
      </c>
      <c r="G116" s="109">
        <f>'Table 1.2 complete'!F113</f>
        <v>16.059999999999999</v>
      </c>
      <c r="H116" s="109" t="str">
        <f>'Table 1.2 complete'!G113</f>
        <v>-</v>
      </c>
      <c r="I116" s="109" t="str">
        <f>'Table 1.2 complete'!H113</f>
        <v>-</v>
      </c>
      <c r="J116" s="109" t="str">
        <f>'Table 1.3 complete'!E113</f>
        <v>-</v>
      </c>
      <c r="K116" s="109" t="str">
        <f>'Table 1.3 complete'!F113</f>
        <v>-</v>
      </c>
      <c r="L116" s="109" t="str">
        <f>'Table 1.3 complete'!G113</f>
        <v>-</v>
      </c>
      <c r="M116" s="109" t="str">
        <f>'Table 1.3 complete'!H113</f>
        <v>-</v>
      </c>
      <c r="N116" s="109">
        <f>'Table 1.3 complete'!I113</f>
        <v>0</v>
      </c>
      <c r="O116" s="109">
        <f>'Table 1.3 complete'!J113</f>
        <v>0.01</v>
      </c>
      <c r="P116" s="109" t="str">
        <f>'Table 1.3 complete'!K113</f>
        <v>-</v>
      </c>
      <c r="Q116" s="109" t="str">
        <f>'Table 1.3 complete'!L113</f>
        <v>-</v>
      </c>
      <c r="R116" s="109" t="str">
        <f>'Table 1.3 complete'!M113</f>
        <v>-</v>
      </c>
      <c r="S116" s="109" t="str">
        <f>'Table 1.3 complete'!N113</f>
        <v>-</v>
      </c>
      <c r="T116" s="149">
        <f>SUM(F116:S116)</f>
        <v>16.07</v>
      </c>
      <c r="U116" s="106">
        <f>T116-'Table 1.1 complete'!E113</f>
        <v>-3.0000000000001137E-2</v>
      </c>
      <c r="V116" s="113">
        <f>T116-'Table 1.2 complete'!K113</f>
        <v>-9.9999999999980105E-3</v>
      </c>
      <c r="W116" s="106">
        <f>'Table 1.2 complete'!K113-'Table 1.1 complete'!E113</f>
        <v>-2.0000000000003126E-2</v>
      </c>
    </row>
    <row r="117" spans="1:23" x14ac:dyDescent="0.25">
      <c r="A117" s="346"/>
      <c r="B117" s="172" t="str">
        <f>'Table 1.2 complete'!A114</f>
        <v>Myanmar</v>
      </c>
      <c r="C117" s="203">
        <f>'Table 1.2 complete'!B114</f>
        <v>99</v>
      </c>
      <c r="D117" s="172" t="s">
        <v>423</v>
      </c>
      <c r="E117" s="132">
        <v>17</v>
      </c>
      <c r="F117" s="109" t="str">
        <f>'Table 1.2 complete'!E114</f>
        <v>-</v>
      </c>
      <c r="G117" s="109">
        <f>'Table 1.2 complete'!F114</f>
        <v>3.51</v>
      </c>
      <c r="H117" s="109" t="str">
        <f>'Table 1.2 complete'!G114</f>
        <v>-</v>
      </c>
      <c r="I117" s="109" t="str">
        <f>'Table 1.2 complete'!H114</f>
        <v>-</v>
      </c>
      <c r="J117" s="109" t="str">
        <f>'Table 1.3 complete'!E114</f>
        <v>-</v>
      </c>
      <c r="K117" s="109" t="str">
        <f>'Table 1.3 complete'!F114</f>
        <v>-</v>
      </c>
      <c r="L117" s="109" t="str">
        <f>'Table 1.3 complete'!G114</f>
        <v>-</v>
      </c>
      <c r="M117" s="109" t="str">
        <f>'Table 1.3 complete'!H114</f>
        <v>-</v>
      </c>
      <c r="N117" s="109">
        <f>'Table 1.3 complete'!I114</f>
        <v>0.28999999999999998</v>
      </c>
      <c r="O117" s="109">
        <f>'Table 1.3 complete'!J114</f>
        <v>2.7</v>
      </c>
      <c r="P117" s="109" t="str">
        <f>'Table 1.3 complete'!K114</f>
        <v>-</v>
      </c>
      <c r="Q117" s="109" t="str">
        <f>'Table 1.3 complete'!L114</f>
        <v>-</v>
      </c>
      <c r="R117" s="109" t="str">
        <f>'Table 1.3 complete'!M114</f>
        <v>-</v>
      </c>
      <c r="S117" s="109" t="str">
        <f>'Table 1.3 complete'!N114</f>
        <v>-</v>
      </c>
      <c r="T117" s="149">
        <f>SUM(F117:S117)</f>
        <v>6.5</v>
      </c>
      <c r="U117" s="106">
        <f>T117-'Table 1.1 complete'!E114</f>
        <v>0</v>
      </c>
      <c r="V117" s="113">
        <f>T117-'Table 1.2 complete'!K114</f>
        <v>0</v>
      </c>
      <c r="W117" s="106">
        <f>'Table 1.2 complete'!K114-'Table 1.1 complete'!E114</f>
        <v>0</v>
      </c>
    </row>
    <row r="118" spans="1:23" x14ac:dyDescent="0.25">
      <c r="A118" s="346"/>
      <c r="B118" s="172" t="str">
        <f>'Table 1.2 complete'!A115</f>
        <v>N. Antilles</v>
      </c>
      <c r="C118" s="203">
        <f>'Table 1.2 complete'!B115</f>
        <v>81</v>
      </c>
      <c r="D118" s="172" t="s">
        <v>423</v>
      </c>
      <c r="E118" s="132">
        <v>17</v>
      </c>
      <c r="F118" s="109" t="str">
        <f>'Table 1.2 complete'!E115</f>
        <v>-</v>
      </c>
      <c r="G118" s="109" t="str">
        <f>'Table 1.2 complete'!F115</f>
        <v>-</v>
      </c>
      <c r="H118" s="109" t="str">
        <f>'Table 1.2 complete'!G115</f>
        <v>-</v>
      </c>
      <c r="I118" s="109" t="str">
        <f>'Table 1.2 complete'!H115</f>
        <v>-</v>
      </c>
      <c r="J118" s="109" t="str">
        <f>'Table 1.3 complete'!E115</f>
        <v>-</v>
      </c>
      <c r="K118" s="109" t="str">
        <f>'Table 1.3 complete'!F115</f>
        <v>-</v>
      </c>
      <c r="L118" s="109" t="str">
        <f>'Table 1.3 complete'!G115</f>
        <v>-</v>
      </c>
      <c r="M118" s="109" t="str">
        <f>'Table 1.3 complete'!H115</f>
        <v>-</v>
      </c>
      <c r="N118" s="109">
        <f>'Table 1.3 complete'!I115</f>
        <v>1.29</v>
      </c>
      <c r="O118" s="109" t="str">
        <f>'Table 1.3 complete'!J115</f>
        <v>-</v>
      </c>
      <c r="P118" s="109" t="str">
        <f>'Table 1.3 complete'!K115</f>
        <v>-</v>
      </c>
      <c r="Q118" s="109" t="str">
        <f>'Table 1.3 complete'!L115</f>
        <v>-</v>
      </c>
      <c r="R118" s="109" t="str">
        <f>'Table 1.3 complete'!M115</f>
        <v>-</v>
      </c>
      <c r="S118" s="109" t="str">
        <f>'Table 1.3 complete'!N115</f>
        <v>-</v>
      </c>
      <c r="T118" s="149">
        <f>SUM(F118:S118)</f>
        <v>1.29</v>
      </c>
      <c r="U118" s="106">
        <f>T118-'Table 1.1 complete'!E115</f>
        <v>-1.0000000000000009E-2</v>
      </c>
      <c r="V118" s="113">
        <f>T118-'Table 1.2 complete'!K115</f>
        <v>0</v>
      </c>
      <c r="W118" s="106">
        <f>'Table 1.2 complete'!K115-'Table 1.1 complete'!E115</f>
        <v>-1.0000000000000009E-2</v>
      </c>
    </row>
    <row r="119" spans="1:23" x14ac:dyDescent="0.25">
      <c r="A119" s="346"/>
      <c r="B119" s="172" t="str">
        <f>'Table 1.2 complete'!A116</f>
        <v>Namibia</v>
      </c>
      <c r="C119" s="203">
        <f>'Table 1.2 complete'!B116</f>
        <v>55</v>
      </c>
      <c r="D119" s="172" t="s">
        <v>423</v>
      </c>
      <c r="E119" s="132">
        <v>17</v>
      </c>
      <c r="F119" s="109" t="str">
        <f>'Table 1.2 complete'!E116</f>
        <v>-</v>
      </c>
      <c r="G119" s="109">
        <f>'Table 1.2 complete'!F116</f>
        <v>1.56</v>
      </c>
      <c r="H119" s="109" t="str">
        <f>'Table 1.2 complete'!G116</f>
        <v>-</v>
      </c>
      <c r="I119" s="109" t="str">
        <f>'Table 1.2 complete'!H116</f>
        <v>-</v>
      </c>
      <c r="J119" s="109">
        <f>'Table 1.3 complete'!E116</f>
        <v>0.12</v>
      </c>
      <c r="K119" s="109" t="str">
        <f>'Table 1.3 complete'!F116</f>
        <v>-</v>
      </c>
      <c r="L119" s="109" t="str">
        <f>'Table 1.3 complete'!G116</f>
        <v>-</v>
      </c>
      <c r="M119" s="109" t="str">
        <f>'Table 1.3 complete'!H116</f>
        <v>-</v>
      </c>
      <c r="N119" s="109">
        <f>'Table 1.3 complete'!I116</f>
        <v>0.01</v>
      </c>
      <c r="O119" s="109" t="str">
        <f>'Table 1.3 complete'!J116</f>
        <v>-</v>
      </c>
      <c r="P119" s="109" t="str">
        <f>'Table 1.3 complete'!K116</f>
        <v>-</v>
      </c>
      <c r="Q119" s="109" t="str">
        <f>'Table 1.3 complete'!L116</f>
        <v>-</v>
      </c>
      <c r="R119" s="109" t="str">
        <f>'Table 1.3 complete'!M116</f>
        <v>-</v>
      </c>
      <c r="S119" s="109" t="str">
        <f>'Table 1.3 complete'!N116</f>
        <v>-</v>
      </c>
      <c r="T119" s="149">
        <f>SUM(F119:S119)</f>
        <v>1.6900000000000002</v>
      </c>
      <c r="U119" s="106">
        <f>T119-'Table 1.1 complete'!E116</f>
        <v>-9.9999999999997868E-3</v>
      </c>
      <c r="V119" s="113">
        <f>T119-'Table 1.2 complete'!K116</f>
        <v>0</v>
      </c>
      <c r="W119" s="106">
        <f>'Table 1.2 complete'!K116-'Table 1.1 complete'!E116</f>
        <v>-1.0000000000000009E-2</v>
      </c>
    </row>
    <row r="120" spans="1:23" x14ac:dyDescent="0.25">
      <c r="A120" s="346"/>
      <c r="B120" s="172" t="str">
        <f>'Table 1.2 complete'!A117</f>
        <v>Nepal</v>
      </c>
      <c r="C120" s="203">
        <f>'Table 1.2 complete'!B117</f>
        <v>100</v>
      </c>
      <c r="D120" s="172" t="s">
        <v>423</v>
      </c>
      <c r="E120" s="132">
        <v>17</v>
      </c>
      <c r="F120" s="109" t="str">
        <f>'Table 1.2 complete'!E117</f>
        <v>-</v>
      </c>
      <c r="G120" s="109">
        <f>'Table 1.2 complete'!F117</f>
        <v>2.8</v>
      </c>
      <c r="H120" s="109" t="str">
        <f>'Table 1.2 complete'!G117</f>
        <v>-</v>
      </c>
      <c r="I120" s="109" t="str">
        <f>'Table 1.2 complete'!H117</f>
        <v>-</v>
      </c>
      <c r="J120" s="109" t="str">
        <f>'Table 1.3 complete'!E117</f>
        <v>-</v>
      </c>
      <c r="K120" s="109" t="str">
        <f>'Table 1.3 complete'!F117</f>
        <v>-</v>
      </c>
      <c r="L120" s="109" t="str">
        <f>'Table 1.3 complete'!G117</f>
        <v>-</v>
      </c>
      <c r="M120" s="109" t="str">
        <f>'Table 1.3 complete'!H117</f>
        <v>-</v>
      </c>
      <c r="N120" s="109">
        <f>'Table 1.3 complete'!I117</f>
        <v>0.01</v>
      </c>
      <c r="O120" s="109" t="str">
        <f>'Table 1.3 complete'!J117</f>
        <v>-</v>
      </c>
      <c r="P120" s="109" t="str">
        <f>'Table 1.3 complete'!K117</f>
        <v>-</v>
      </c>
      <c r="Q120" s="109" t="str">
        <f>'Table 1.3 complete'!L117</f>
        <v>-</v>
      </c>
      <c r="R120" s="109" t="str">
        <f>'Table 1.3 complete'!M117</f>
        <v>-</v>
      </c>
      <c r="S120" s="109" t="str">
        <f>'Table 1.3 complete'!N117</f>
        <v>-</v>
      </c>
      <c r="T120" s="149">
        <f>SUM(F120:S120)</f>
        <v>2.8099999999999996</v>
      </c>
      <c r="U120" s="106">
        <f>T120-'Table 1.1 complete'!E117</f>
        <v>9.9999999999997868E-3</v>
      </c>
      <c r="V120" s="113">
        <f>T120-'Table 1.2 complete'!K117</f>
        <v>0</v>
      </c>
      <c r="W120" s="106">
        <f>'Table 1.2 complete'!K117-'Table 1.1 complete'!E117</f>
        <v>1.0000000000000231E-2</v>
      </c>
    </row>
    <row r="121" spans="1:23" x14ac:dyDescent="0.25">
      <c r="A121" s="346"/>
      <c r="B121" s="172" t="str">
        <f>'Table 1.2 complete'!A118</f>
        <v>Nicaragua</v>
      </c>
      <c r="C121" s="203">
        <f>'Table 1.2 complete'!B118</f>
        <v>82</v>
      </c>
      <c r="D121" s="172" t="s">
        <v>423</v>
      </c>
      <c r="E121" s="132">
        <v>17</v>
      </c>
      <c r="F121" s="109" t="str">
        <f>'Table 1.2 complete'!E118</f>
        <v>-</v>
      </c>
      <c r="G121" s="109">
        <f>'Table 1.2 complete'!F118</f>
        <v>0.31</v>
      </c>
      <c r="H121" s="109">
        <f>'Table 1.2 complete'!G118</f>
        <v>0.24</v>
      </c>
      <c r="I121" s="109" t="str">
        <f>'Table 1.2 complete'!H118</f>
        <v>-</v>
      </c>
      <c r="J121" s="109" t="str">
        <f>'Table 1.3 complete'!E118</f>
        <v>-</v>
      </c>
      <c r="K121" s="109" t="str">
        <f>'Table 1.3 complete'!F118</f>
        <v>-</v>
      </c>
      <c r="L121" s="109" t="str">
        <f>'Table 1.3 complete'!G118</f>
        <v>-</v>
      </c>
      <c r="M121" s="109" t="str">
        <f>'Table 1.3 complete'!H118</f>
        <v>-</v>
      </c>
      <c r="N121" s="109">
        <f>'Table 1.3 complete'!I118</f>
        <v>2.2799999999999998</v>
      </c>
      <c r="O121" s="109" t="str">
        <f>'Table 1.3 complete'!J118</f>
        <v>-</v>
      </c>
      <c r="P121" s="109">
        <f>'Table 1.3 complete'!K118</f>
        <v>0.38</v>
      </c>
      <c r="Q121" s="109" t="str">
        <f>'Table 1.3 complete'!L118</f>
        <v>-</v>
      </c>
      <c r="R121" s="109" t="str">
        <f>'Table 1.3 complete'!M118</f>
        <v>-</v>
      </c>
      <c r="S121" s="109" t="str">
        <f>'Table 1.3 complete'!N118</f>
        <v>-</v>
      </c>
      <c r="T121" s="149">
        <f>SUM(F121:S121)</f>
        <v>3.21</v>
      </c>
      <c r="U121" s="106">
        <f>T121-'Table 1.1 complete'!E118</f>
        <v>9.9999999999997868E-3</v>
      </c>
      <c r="V121" s="113">
        <f>T121-'Table 1.2 complete'!K118</f>
        <v>0</v>
      </c>
      <c r="W121" s="106">
        <f>'Table 1.2 complete'!K118-'Table 1.1 complete'!E118</f>
        <v>9.9999999999997868E-3</v>
      </c>
    </row>
    <row r="122" spans="1:23" x14ac:dyDescent="0.25">
      <c r="A122" s="346"/>
      <c r="B122" s="172" t="str">
        <f>'Table 1.2 complete'!A119</f>
        <v>Oth. Lat. America</v>
      </c>
      <c r="C122" s="203">
        <f>'Table 1.2 complete'!B119</f>
        <v>89</v>
      </c>
      <c r="D122" s="172" t="s">
        <v>423</v>
      </c>
      <c r="E122" s="132">
        <v>17</v>
      </c>
      <c r="F122" s="109" t="str">
        <f>'Table 1.2 complete'!E119</f>
        <v>-</v>
      </c>
      <c r="G122" s="109">
        <f>'Table 1.2 complete'!F119</f>
        <v>1.04</v>
      </c>
      <c r="H122" s="109" t="str">
        <f>'Table 1.2 complete'!G119</f>
        <v>-</v>
      </c>
      <c r="I122" s="109" t="str">
        <f>'Table 1.2 complete'!H119</f>
        <v>-</v>
      </c>
      <c r="J122" s="109" t="str">
        <f>'Table 1.3 complete'!E119</f>
        <v>-</v>
      </c>
      <c r="K122" s="109" t="str">
        <f>'Table 1.3 complete'!F119</f>
        <v>-</v>
      </c>
      <c r="L122" s="109" t="str">
        <f>'Table 1.3 complete'!G119</f>
        <v>-</v>
      </c>
      <c r="M122" s="109" t="str">
        <f>'Table 1.3 complete'!H119</f>
        <v>-</v>
      </c>
      <c r="N122" s="109">
        <f>'Table 1.3 complete'!I119</f>
        <v>11.18</v>
      </c>
      <c r="O122" s="109">
        <f>'Table 1.3 complete'!J119</f>
        <v>0.01</v>
      </c>
      <c r="P122" s="109">
        <f>'Table 1.3 complete'!K119</f>
        <v>0.1</v>
      </c>
      <c r="Q122" s="109" t="str">
        <f>'Table 1.3 complete'!L119</f>
        <v>-</v>
      </c>
      <c r="R122" s="109" t="str">
        <f>'Table 1.3 complete'!M119</f>
        <v>-</v>
      </c>
      <c r="S122" s="109" t="str">
        <f>'Table 1.3 complete'!N119</f>
        <v>-</v>
      </c>
      <c r="T122" s="149">
        <f>SUM(F122:S122)</f>
        <v>12.329999999999998</v>
      </c>
      <c r="U122" s="106">
        <f>T122-'Table 1.1 complete'!E119</f>
        <v>2.9999999999997584E-2</v>
      </c>
      <c r="V122" s="113">
        <f>T122-'Table 1.2 complete'!K119</f>
        <v>-1.0000000000001563E-2</v>
      </c>
      <c r="W122" s="106">
        <f>'Table 1.2 complete'!K119-'Table 1.1 complete'!E119</f>
        <v>3.9999999999999147E-2</v>
      </c>
    </row>
    <row r="123" spans="1:23" x14ac:dyDescent="0.25">
      <c r="A123" s="346"/>
      <c r="B123" s="172" t="str">
        <f>'Table 1.2 complete'!A120</f>
        <v>Other Africa</v>
      </c>
      <c r="C123" s="203">
        <f>'Table 1.2 complete'!B120</f>
        <v>65</v>
      </c>
      <c r="D123" s="172" t="s">
        <v>423</v>
      </c>
      <c r="E123" s="132">
        <v>17</v>
      </c>
      <c r="F123" s="109" t="str">
        <f>'Table 1.2 complete'!E120</f>
        <v>-</v>
      </c>
      <c r="G123" s="109">
        <f>'Table 1.2 complete'!F120</f>
        <v>5.45</v>
      </c>
      <c r="H123" s="109" t="str">
        <f>'Table 1.2 complete'!G120</f>
        <v>-</v>
      </c>
      <c r="I123" s="109">
        <f>'Table 1.2 complete'!H120</f>
        <v>0.01</v>
      </c>
      <c r="J123" s="109">
        <f>'Table 1.3 complete'!E120</f>
        <v>1.89</v>
      </c>
      <c r="K123" s="109" t="str">
        <f>'Table 1.3 complete'!F120</f>
        <v>-</v>
      </c>
      <c r="L123" s="109" t="str">
        <f>'Table 1.3 complete'!G120</f>
        <v>-</v>
      </c>
      <c r="M123" s="109" t="str">
        <f>'Table 1.3 complete'!H120</f>
        <v>-</v>
      </c>
      <c r="N123" s="109">
        <f>'Table 1.3 complete'!I120</f>
        <v>6.47</v>
      </c>
      <c r="O123" s="109" t="str">
        <f>'Table 1.3 complete'!J120</f>
        <v>-</v>
      </c>
      <c r="P123" s="109" t="str">
        <f>'Table 1.3 complete'!K120</f>
        <v>-</v>
      </c>
      <c r="Q123" s="109" t="str">
        <f>'Table 1.3 complete'!L120</f>
        <v>-</v>
      </c>
      <c r="R123" s="109" t="str">
        <f>'Table 1.3 complete'!M120</f>
        <v>-</v>
      </c>
      <c r="S123" s="109" t="str">
        <f>'Table 1.3 complete'!N120</f>
        <v>-</v>
      </c>
      <c r="T123" s="149">
        <f>SUM(F123:S123)</f>
        <v>13.82</v>
      </c>
      <c r="U123" s="106">
        <f>T123-'Table 1.1 complete'!E120</f>
        <v>1.9999999999999574E-2</v>
      </c>
      <c r="V123" s="113">
        <f>T123-'Table 1.2 complete'!K120</f>
        <v>0</v>
      </c>
      <c r="W123" s="106">
        <f>'Table 1.2 complete'!K120-'Table 1.1 complete'!E120</f>
        <v>1.9999999999999574E-2</v>
      </c>
    </row>
    <row r="124" spans="1:23" x14ac:dyDescent="0.25">
      <c r="A124" s="346"/>
      <c r="B124" s="172" t="str">
        <f>'Table 1.2 complete'!A121</f>
        <v>Other Asia</v>
      </c>
      <c r="C124" s="203">
        <f>'Table 1.2 complete'!B121</f>
        <v>108</v>
      </c>
      <c r="D124" s="172" t="s">
        <v>423</v>
      </c>
      <c r="E124" s="132">
        <v>17</v>
      </c>
      <c r="F124" s="109" t="str">
        <f>'Table 1.2 complete'!E121</f>
        <v>-</v>
      </c>
      <c r="G124" s="109">
        <f>'Table 1.2 complete'!F121</f>
        <v>9.8000000000000007</v>
      </c>
      <c r="H124" s="109" t="str">
        <f>'Table 1.2 complete'!G121</f>
        <v>-</v>
      </c>
      <c r="I124" s="109" t="str">
        <f>'Table 1.2 complete'!H121</f>
        <v>-</v>
      </c>
      <c r="J124" s="109" t="str">
        <f>'Table 1.3 complete'!E121</f>
        <v>-</v>
      </c>
      <c r="K124" s="109" t="str">
        <f>'Table 1.3 complete'!F121</f>
        <v>-</v>
      </c>
      <c r="L124" s="109" t="str">
        <f>'Table 1.3 complete'!G121</f>
        <v>-</v>
      </c>
      <c r="M124" s="109" t="str">
        <f>'Table 1.3 complete'!H121</f>
        <v>-</v>
      </c>
      <c r="N124" s="109">
        <f>'Table 1.3 complete'!I121</f>
        <v>8.48</v>
      </c>
      <c r="O124" s="109" t="str">
        <f>'Table 1.3 complete'!J121</f>
        <v>-</v>
      </c>
      <c r="P124" s="109" t="str">
        <f>'Table 1.3 complete'!K121</f>
        <v>-</v>
      </c>
      <c r="Q124" s="109" t="str">
        <f>'Table 1.3 complete'!L121</f>
        <v>-</v>
      </c>
      <c r="R124" s="109" t="str">
        <f>'Table 1.3 complete'!M121</f>
        <v>-</v>
      </c>
      <c r="S124" s="109" t="str">
        <f>'Table 1.3 complete'!N121</f>
        <v>-</v>
      </c>
      <c r="T124" s="149">
        <f>SUM(F124:S124)</f>
        <v>18.28</v>
      </c>
      <c r="U124" s="106">
        <f>T124-'Table 1.1 complete'!E121</f>
        <v>-1.9999999999999574E-2</v>
      </c>
      <c r="V124" s="113">
        <f>T124-'Table 1.2 complete'!K121</f>
        <v>0</v>
      </c>
      <c r="W124" s="106">
        <f>'Table 1.2 complete'!K121-'Table 1.1 complete'!E121</f>
        <v>-1.9999999999999574E-2</v>
      </c>
    </row>
    <row r="125" spans="1:23" x14ac:dyDescent="0.25">
      <c r="A125" s="346"/>
      <c r="B125" s="172" t="str">
        <f>'Table 1.2 complete'!A122</f>
        <v>Pakistan</v>
      </c>
      <c r="C125" s="203">
        <f>'Table 1.2 complete'!B122</f>
        <v>101</v>
      </c>
      <c r="D125" s="172" t="s">
        <v>423</v>
      </c>
      <c r="E125" s="132">
        <v>17</v>
      </c>
      <c r="F125" s="109">
        <f>'Table 1.2 complete'!E122</f>
        <v>3.08</v>
      </c>
      <c r="G125" s="109">
        <f>'Table 1.2 complete'!F122</f>
        <v>28.71</v>
      </c>
      <c r="H125" s="109" t="str">
        <f>'Table 1.2 complete'!G122</f>
        <v>-</v>
      </c>
      <c r="I125" s="109" t="str">
        <f>'Table 1.2 complete'!H122</f>
        <v>-</v>
      </c>
      <c r="J125" s="109">
        <f>'Table 1.3 complete'!E122</f>
        <v>0.14000000000000001</v>
      </c>
      <c r="K125" s="109" t="str">
        <f>'Table 1.3 complete'!F122</f>
        <v>-</v>
      </c>
      <c r="L125" s="109" t="str">
        <f>'Table 1.3 complete'!G122</f>
        <v>-</v>
      </c>
      <c r="M125" s="109" t="str">
        <f>'Table 1.3 complete'!H122</f>
        <v>-</v>
      </c>
      <c r="N125" s="109">
        <f>'Table 1.3 complete'!I122</f>
        <v>30.85</v>
      </c>
      <c r="O125" s="109">
        <f>'Table 1.3 complete'!J122</f>
        <v>32.92</v>
      </c>
      <c r="P125" s="109" t="str">
        <f>'Table 1.3 complete'!K122</f>
        <v>-</v>
      </c>
      <c r="Q125" s="109" t="str">
        <f>'Table 1.3 complete'!L122</f>
        <v>-</v>
      </c>
      <c r="R125" s="109" t="str">
        <f>'Table 1.3 complete'!M122</f>
        <v>-</v>
      </c>
      <c r="S125" s="109" t="str">
        <f>'Table 1.3 complete'!N122</f>
        <v>-</v>
      </c>
      <c r="T125" s="149">
        <f>SUM(F125:S125)</f>
        <v>95.7</v>
      </c>
      <c r="U125" s="106">
        <f>T125-'Table 1.1 complete'!E122</f>
        <v>0</v>
      </c>
      <c r="V125" s="113">
        <f>T125-'Table 1.2 complete'!K122</f>
        <v>1.0000000000005116E-2</v>
      </c>
      <c r="W125" s="106">
        <f>'Table 1.2 complete'!K122-'Table 1.1 complete'!E122</f>
        <v>-1.0000000000005116E-2</v>
      </c>
    </row>
    <row r="126" spans="1:23" x14ac:dyDescent="0.25">
      <c r="A126" s="346"/>
      <c r="B126" s="172" t="str">
        <f>'Table 1.2 complete'!A123</f>
        <v>Panama</v>
      </c>
      <c r="C126" s="203">
        <f>'Table 1.2 complete'!B123</f>
        <v>83</v>
      </c>
      <c r="D126" s="172" t="s">
        <v>423</v>
      </c>
      <c r="E126" s="132">
        <v>17</v>
      </c>
      <c r="F126" s="109" t="str">
        <f>'Table 1.2 complete'!E123</f>
        <v>-</v>
      </c>
      <c r="G126" s="109">
        <f>'Table 1.2 complete'!F123</f>
        <v>3.67</v>
      </c>
      <c r="H126" s="109" t="str">
        <f>'Table 1.2 complete'!G123</f>
        <v>-</v>
      </c>
      <c r="I126" s="109" t="str">
        <f>'Table 1.2 complete'!H123</f>
        <v>-</v>
      </c>
      <c r="J126" s="109" t="str">
        <f>'Table 1.3 complete'!E123</f>
        <v>-</v>
      </c>
      <c r="K126" s="109" t="str">
        <f>'Table 1.3 complete'!F123</f>
        <v>-</v>
      </c>
      <c r="L126" s="109" t="str">
        <f>'Table 1.3 complete'!G123</f>
        <v>-</v>
      </c>
      <c r="M126" s="109" t="str">
        <f>'Table 1.3 complete'!H123</f>
        <v>-</v>
      </c>
      <c r="N126" s="109">
        <f>'Table 1.3 complete'!I123</f>
        <v>2.79</v>
      </c>
      <c r="O126" s="109" t="str">
        <f>'Table 1.3 complete'!J123</f>
        <v>-</v>
      </c>
      <c r="P126" s="109">
        <f>'Table 1.3 complete'!K123</f>
        <v>0.02</v>
      </c>
      <c r="Q126" s="109" t="str">
        <f>'Table 1.3 complete'!L123</f>
        <v>-</v>
      </c>
      <c r="R126" s="109" t="str">
        <f>'Table 1.3 complete'!M123</f>
        <v>-</v>
      </c>
      <c r="S126" s="109" t="str">
        <f>'Table 1.3 complete'!N123</f>
        <v>-</v>
      </c>
      <c r="T126" s="149">
        <f>SUM(F126:S126)</f>
        <v>6.4799999999999995</v>
      </c>
      <c r="U126" s="106">
        <f>T126-'Table 1.1 complete'!E123</f>
        <v>-2.0000000000000462E-2</v>
      </c>
      <c r="V126" s="113">
        <f>T126-'Table 1.2 complete'!K123</f>
        <v>0</v>
      </c>
      <c r="W126" s="106">
        <f>'Table 1.2 complete'!K123-'Table 1.1 complete'!E123</f>
        <v>-1.9999999999999574E-2</v>
      </c>
    </row>
    <row r="127" spans="1:23" x14ac:dyDescent="0.25">
      <c r="A127" s="346"/>
      <c r="B127" s="172" t="str">
        <f>'Table 1.2 complete'!A124</f>
        <v>Paraguay</v>
      </c>
      <c r="C127" s="203">
        <f>'Table 1.2 complete'!B124</f>
        <v>84</v>
      </c>
      <c r="D127" s="172" t="s">
        <v>423</v>
      </c>
      <c r="E127" s="132">
        <v>17</v>
      </c>
      <c r="F127" s="109" t="str">
        <f>'Table 1.2 complete'!E124</f>
        <v>-</v>
      </c>
      <c r="G127" s="109">
        <f>'Table 1.2 complete'!F124</f>
        <v>53.73</v>
      </c>
      <c r="H127" s="109" t="str">
        <f>'Table 1.2 complete'!G124</f>
        <v>-</v>
      </c>
      <c r="I127" s="109" t="str">
        <f>'Table 1.2 complete'!H124</f>
        <v>-</v>
      </c>
      <c r="J127" s="109" t="str">
        <f>'Table 1.3 complete'!E124</f>
        <v>-</v>
      </c>
      <c r="K127" s="109" t="str">
        <f>'Table 1.3 complete'!F124</f>
        <v>-</v>
      </c>
      <c r="L127" s="109" t="str">
        <f>'Table 1.3 complete'!G124</f>
        <v>-</v>
      </c>
      <c r="M127" s="109" t="str">
        <f>'Table 1.3 complete'!H124</f>
        <v>-</v>
      </c>
      <c r="N127" s="109" t="str">
        <f>'Table 1.3 complete'!I124</f>
        <v>-</v>
      </c>
      <c r="O127" s="109" t="str">
        <f>'Table 1.3 complete'!J124</f>
        <v>-</v>
      </c>
      <c r="P127" s="109" t="str">
        <f>'Table 1.3 complete'!K124</f>
        <v>-</v>
      </c>
      <c r="Q127" s="109" t="str">
        <f>'Table 1.3 complete'!L124</f>
        <v>-</v>
      </c>
      <c r="R127" s="109" t="str">
        <f>'Table 1.3 complete'!M124</f>
        <v>-</v>
      </c>
      <c r="S127" s="109" t="str">
        <f>'Table 1.3 complete'!N124</f>
        <v>-</v>
      </c>
      <c r="T127" s="149">
        <f>SUM(F127:S127)</f>
        <v>53.73</v>
      </c>
      <c r="U127" s="106">
        <f>T127-'Table 1.1 complete'!E124</f>
        <v>2.9999999999994031E-2</v>
      </c>
      <c r="V127" s="113">
        <f>T127-'Table 1.2 complete'!K124</f>
        <v>0</v>
      </c>
      <c r="W127" s="106">
        <f>'Table 1.2 complete'!K124-'Table 1.1 complete'!E124</f>
        <v>2.9999999999994031E-2</v>
      </c>
    </row>
    <row r="128" spans="1:23" x14ac:dyDescent="0.25">
      <c r="A128" s="346"/>
      <c r="B128" s="172" t="str">
        <f>'Table 1.2 complete'!A125</f>
        <v>Peru</v>
      </c>
      <c r="C128" s="203">
        <f>'Table 1.2 complete'!B125</f>
        <v>85</v>
      </c>
      <c r="D128" s="172" t="s">
        <v>423</v>
      </c>
      <c r="E128" s="132">
        <v>17</v>
      </c>
      <c r="F128" s="109" t="str">
        <f>'Table 1.2 complete'!E125</f>
        <v>-</v>
      </c>
      <c r="G128" s="109">
        <f>'Table 1.2 complete'!F125</f>
        <v>19.55</v>
      </c>
      <c r="H128" s="109" t="str">
        <f>'Table 1.2 complete'!G125</f>
        <v>-</v>
      </c>
      <c r="I128" s="109">
        <f>'Table 1.2 complete'!H125</f>
        <v>0</v>
      </c>
      <c r="J128" s="109">
        <f>'Table 1.3 complete'!E125</f>
        <v>0.85</v>
      </c>
      <c r="K128" s="109" t="str">
        <f>'Table 1.3 complete'!F125</f>
        <v>-</v>
      </c>
      <c r="L128" s="109" t="str">
        <f>'Table 1.3 complete'!G125</f>
        <v>-</v>
      </c>
      <c r="M128" s="109" t="str">
        <f>'Table 1.3 complete'!H125</f>
        <v>-</v>
      </c>
      <c r="N128" s="109">
        <f>'Table 1.3 complete'!I125</f>
        <v>1.8</v>
      </c>
      <c r="O128" s="109">
        <f>'Table 1.3 complete'!J125</f>
        <v>7.29</v>
      </c>
      <c r="P128" s="109">
        <f>'Table 1.3 complete'!K125</f>
        <v>0.45</v>
      </c>
      <c r="Q128" s="109" t="str">
        <f>'Table 1.3 complete'!L125</f>
        <v>-</v>
      </c>
      <c r="R128" s="109" t="str">
        <f>'Table 1.3 complete'!M125</f>
        <v>-</v>
      </c>
      <c r="S128" s="109" t="str">
        <f>'Table 1.3 complete'!N125</f>
        <v>-</v>
      </c>
      <c r="T128" s="149">
        <f>SUM(F128:S128)</f>
        <v>29.94</v>
      </c>
      <c r="U128" s="106">
        <f>T128-'Table 1.1 complete'!E125</f>
        <v>4.00000000000027E-2</v>
      </c>
      <c r="V128" s="113">
        <f>T128-'Table 1.2 complete'!K125</f>
        <v>1.0000000000001563E-2</v>
      </c>
      <c r="W128" s="106">
        <f>'Table 1.2 complete'!K125-'Table 1.1 complete'!E125</f>
        <v>3.0000000000001137E-2</v>
      </c>
    </row>
    <row r="129" spans="1:23" x14ac:dyDescent="0.25">
      <c r="A129" s="346"/>
      <c r="B129" s="172" t="str">
        <f>'Table 1.2 complete'!A126</f>
        <v>Philippines</v>
      </c>
      <c r="C129" s="203">
        <f>'Table 1.2 complete'!B126</f>
        <v>102</v>
      </c>
      <c r="D129" s="172" t="s">
        <v>423</v>
      </c>
      <c r="E129" s="132">
        <v>17</v>
      </c>
      <c r="F129" s="109" t="str">
        <f>'Table 1.2 complete'!E126</f>
        <v>-</v>
      </c>
      <c r="G129" s="109">
        <f>'Table 1.2 complete'!F126</f>
        <v>8.56</v>
      </c>
      <c r="H129" s="109">
        <f>'Table 1.2 complete'!G126</f>
        <v>10.220000000000001</v>
      </c>
      <c r="I129" s="109">
        <f>'Table 1.2 complete'!H126</f>
        <v>0.06</v>
      </c>
      <c r="J129" s="109">
        <f>'Table 1.3 complete'!E126</f>
        <v>16.84</v>
      </c>
      <c r="K129" s="109" t="str">
        <f>'Table 1.3 complete'!F126</f>
        <v>-</v>
      </c>
      <c r="L129" s="109" t="str">
        <f>'Table 1.3 complete'!G126</f>
        <v>-</v>
      </c>
      <c r="M129" s="109" t="str">
        <f>'Table 1.3 complete'!H126</f>
        <v>-</v>
      </c>
      <c r="N129" s="109">
        <f>'Table 1.3 complete'!I126</f>
        <v>4.5</v>
      </c>
      <c r="O129" s="109">
        <f>'Table 1.3 complete'!J126</f>
        <v>19.440000000000001</v>
      </c>
      <c r="P129" s="109" t="str">
        <f>'Table 1.3 complete'!K126</f>
        <v>-</v>
      </c>
      <c r="Q129" s="109" t="str">
        <f>'Table 1.3 complete'!L126</f>
        <v>-</v>
      </c>
      <c r="R129" s="109" t="str">
        <f>'Table 1.3 complete'!M126</f>
        <v>-</v>
      </c>
      <c r="S129" s="109" t="str">
        <f>'Table 1.3 complete'!N126</f>
        <v>-</v>
      </c>
      <c r="T129" s="149">
        <f>SUM(F129:S129)</f>
        <v>59.620000000000005</v>
      </c>
      <c r="U129" s="106">
        <f>T129-'Table 1.1 complete'!E126</f>
        <v>2.0000000000003126E-2</v>
      </c>
      <c r="V129" s="113">
        <f>T129-'Table 1.2 complete'!K126</f>
        <v>1.0000000000005116E-2</v>
      </c>
      <c r="W129" s="106">
        <f>'Table 1.2 complete'!K126-'Table 1.1 complete'!E126</f>
        <v>9.9999999999980105E-3</v>
      </c>
    </row>
    <row r="130" spans="1:23" x14ac:dyDescent="0.25">
      <c r="A130" s="346"/>
      <c r="B130" s="172" t="str">
        <f>'Table 1.2 complete'!A127</f>
        <v>Rep. of Moldova</v>
      </c>
      <c r="C130" s="203">
        <f>'Table 1.2 complete'!B127</f>
        <v>134</v>
      </c>
      <c r="D130" s="172" t="s">
        <v>423</v>
      </c>
      <c r="E130" s="132">
        <v>17</v>
      </c>
      <c r="F130" s="109" t="str">
        <f>'Table 1.2 complete'!E127</f>
        <v>-</v>
      </c>
      <c r="G130" s="109">
        <f>'Table 1.2 complete'!F127</f>
        <v>0.03</v>
      </c>
      <c r="H130" s="109" t="str">
        <f>'Table 1.2 complete'!G127</f>
        <v>-</v>
      </c>
      <c r="I130" s="109" t="str">
        <f>'Table 1.2 complete'!H127</f>
        <v>-</v>
      </c>
      <c r="J130" s="109" t="str">
        <f>'Table 1.3 complete'!E127</f>
        <v>-</v>
      </c>
      <c r="K130" s="109" t="str">
        <f>'Table 1.3 complete'!F127</f>
        <v>-</v>
      </c>
      <c r="L130" s="109" t="str">
        <f>'Table 1.3 complete'!G127</f>
        <v>-</v>
      </c>
      <c r="M130" s="109" t="str">
        <f>'Table 1.3 complete'!H127</f>
        <v>-</v>
      </c>
      <c r="N130" s="109">
        <f>'Table 1.3 complete'!I127</f>
        <v>0.04</v>
      </c>
      <c r="O130" s="109">
        <f>'Table 1.3 complete'!J127</f>
        <v>3.78</v>
      </c>
      <c r="P130" s="109" t="str">
        <f>'Table 1.3 complete'!K127</f>
        <v>-</v>
      </c>
      <c r="Q130" s="109" t="str">
        <f>'Table 1.3 complete'!L127</f>
        <v>-</v>
      </c>
      <c r="R130" s="109" t="str">
        <f>'Table 1.3 complete'!M127</f>
        <v>-</v>
      </c>
      <c r="S130" s="109" t="str">
        <f>'Table 1.3 complete'!N127</f>
        <v>-</v>
      </c>
      <c r="T130" s="149">
        <f>SUM(F130:S130)</f>
        <v>3.8499999999999996</v>
      </c>
      <c r="U130" s="106">
        <f>T130-'Table 1.1 complete'!E127</f>
        <v>4.9999999999999822E-2</v>
      </c>
      <c r="V130" s="113">
        <f>T130-'Table 1.2 complete'!K127</f>
        <v>0</v>
      </c>
      <c r="W130" s="106">
        <f>'Table 1.2 complete'!K127-'Table 1.1 complete'!E127</f>
        <v>5.0000000000000266E-2</v>
      </c>
    </row>
    <row r="131" spans="1:23" x14ac:dyDescent="0.25">
      <c r="A131" s="346"/>
      <c r="B131" s="172" t="str">
        <f>'Table 1.2 complete'!A128</f>
        <v>Senegal</v>
      </c>
      <c r="C131" s="203">
        <f>'Table 1.2 complete'!B128</f>
        <v>57</v>
      </c>
      <c r="D131" s="172" t="s">
        <v>423</v>
      </c>
      <c r="E131" s="132">
        <v>17</v>
      </c>
      <c r="F131" s="109" t="str">
        <f>'Table 1.2 complete'!E128</f>
        <v>-</v>
      </c>
      <c r="G131" s="109">
        <f>'Table 1.2 complete'!F128</f>
        <v>0.22</v>
      </c>
      <c r="H131" s="109" t="str">
        <f>'Table 1.2 complete'!G128</f>
        <v>-</v>
      </c>
      <c r="I131" s="109">
        <f>'Table 1.2 complete'!H128</f>
        <v>0.03</v>
      </c>
      <c r="J131" s="109" t="str">
        <f>'Table 1.3 complete'!E128</f>
        <v>-</v>
      </c>
      <c r="K131" s="109" t="str">
        <f>'Table 1.3 complete'!F128</f>
        <v>-</v>
      </c>
      <c r="L131" s="109" t="str">
        <f>'Table 1.3 complete'!G128</f>
        <v>-</v>
      </c>
      <c r="M131" s="109" t="str">
        <f>'Table 1.3 complete'!H128</f>
        <v>-</v>
      </c>
      <c r="N131" s="109">
        <f>'Table 1.3 complete'!I128</f>
        <v>1.68</v>
      </c>
      <c r="O131" s="109">
        <f>'Table 1.3 complete'!J128</f>
        <v>0.04</v>
      </c>
      <c r="P131" s="109">
        <f>'Table 1.3 complete'!K128</f>
        <v>0.05</v>
      </c>
      <c r="Q131" s="109" t="str">
        <f>'Table 1.3 complete'!L128</f>
        <v>-</v>
      </c>
      <c r="R131" s="109" t="str">
        <f>'Table 1.3 complete'!M128</f>
        <v>-</v>
      </c>
      <c r="S131" s="109" t="str">
        <f>'Table 1.3 complete'!N128</f>
        <v>-</v>
      </c>
      <c r="T131" s="149">
        <f>SUM(F131:S131)</f>
        <v>2.02</v>
      </c>
      <c r="U131" s="106">
        <f>T131-'Table 1.1 complete'!E128</f>
        <v>2.0000000000000018E-2</v>
      </c>
      <c r="V131" s="113">
        <f>T131-'Table 1.2 complete'!K128</f>
        <v>0</v>
      </c>
      <c r="W131" s="106">
        <f>'Table 1.2 complete'!K128-'Table 1.1 complete'!E128</f>
        <v>2.0000000000000018E-2</v>
      </c>
    </row>
    <row r="132" spans="1:23" x14ac:dyDescent="0.25">
      <c r="A132" s="346"/>
      <c r="B132" s="172" t="str">
        <f>'Table 1.2 complete'!A129</f>
        <v>Serbia</v>
      </c>
      <c r="C132" s="203">
        <f>'Table 1.2 complete'!B129</f>
        <v>122</v>
      </c>
      <c r="D132" s="172" t="s">
        <v>423</v>
      </c>
      <c r="E132" s="132">
        <v>17</v>
      </c>
      <c r="F132" s="109" t="str">
        <f>'Table 1.2 complete'!E129</f>
        <v>-</v>
      </c>
      <c r="G132" s="109">
        <f>'Table 1.2 complete'!F129</f>
        <v>10.039999999999999</v>
      </c>
      <c r="H132" s="109" t="str">
        <f>'Table 1.2 complete'!G129</f>
        <v>-</v>
      </c>
      <c r="I132" s="109" t="str">
        <f>'Table 1.2 complete'!H129</f>
        <v>-</v>
      </c>
      <c r="J132" s="109">
        <f>'Table 1.3 complete'!E129</f>
        <v>0</v>
      </c>
      <c r="K132" s="109">
        <f>'Table 1.3 complete'!F129</f>
        <v>25.58</v>
      </c>
      <c r="L132" s="109" t="str">
        <f>'Table 1.3 complete'!G129</f>
        <v>-</v>
      </c>
      <c r="M132" s="109">
        <f>'Table 1.3 complete'!H129</f>
        <v>0.06</v>
      </c>
      <c r="N132" s="109">
        <f>'Table 1.3 complete'!I129</f>
        <v>0.46</v>
      </c>
      <c r="O132" s="109">
        <f>'Table 1.3 complete'!J129</f>
        <v>0.39</v>
      </c>
      <c r="P132" s="109" t="str">
        <f>'Table 1.3 complete'!K129</f>
        <v>-</v>
      </c>
      <c r="Q132" s="109" t="str">
        <f>'Table 1.3 complete'!L129</f>
        <v>-</v>
      </c>
      <c r="R132" s="109" t="str">
        <f>'Table 1.3 complete'!M129</f>
        <v>-</v>
      </c>
      <c r="S132" s="109" t="str">
        <f>'Table 1.3 complete'!N129</f>
        <v>-</v>
      </c>
      <c r="T132" s="149">
        <f>SUM(F132:S132)</f>
        <v>36.53</v>
      </c>
      <c r="U132" s="106">
        <f>T132-'Table 1.1 complete'!E129</f>
        <v>3.0000000000001137E-2</v>
      </c>
      <c r="V132" s="113">
        <f>T132-'Table 1.2 complete'!K129</f>
        <v>9.9999999999980105E-3</v>
      </c>
      <c r="W132" s="106">
        <f>'Table 1.2 complete'!K129-'Table 1.1 complete'!E129</f>
        <v>2.0000000000003126E-2</v>
      </c>
    </row>
    <row r="133" spans="1:23" x14ac:dyDescent="0.25">
      <c r="A133" s="346"/>
      <c r="B133" s="172" t="str">
        <f>'Table 1.2 complete'!A130</f>
        <v>Singapore</v>
      </c>
      <c r="C133" s="203">
        <f>'Table 1.2 complete'!B130</f>
        <v>103</v>
      </c>
      <c r="D133" s="172" t="s">
        <v>423</v>
      </c>
      <c r="E133" s="132">
        <v>17</v>
      </c>
      <c r="F133" s="109" t="str">
        <f>'Table 1.2 complete'!E130</f>
        <v>-</v>
      </c>
      <c r="G133" s="109" t="str">
        <f>'Table 1.2 complete'!F130</f>
        <v>-</v>
      </c>
      <c r="H133" s="109" t="str">
        <f>'Table 1.2 complete'!G130</f>
        <v>-</v>
      </c>
      <c r="I133" s="109" t="str">
        <f>'Table 1.2 complete'!H130</f>
        <v>-</v>
      </c>
      <c r="J133" s="109" t="str">
        <f>'Table 1.3 complete'!E130</f>
        <v>-</v>
      </c>
      <c r="K133" s="109" t="str">
        <f>'Table 1.3 complete'!F130</f>
        <v>-</v>
      </c>
      <c r="L133" s="109" t="str">
        <f>'Table 1.3 complete'!G130</f>
        <v>-</v>
      </c>
      <c r="M133" s="109" t="str">
        <f>'Table 1.3 complete'!H130</f>
        <v>-</v>
      </c>
      <c r="N133" s="109">
        <f>'Table 1.3 complete'!I130</f>
        <v>8.76</v>
      </c>
      <c r="O133" s="109">
        <f>'Table 1.3 complete'!J130</f>
        <v>32.369999999999997</v>
      </c>
      <c r="P133" s="109" t="str">
        <f>'Table 1.3 complete'!K130</f>
        <v>-</v>
      </c>
      <c r="Q133" s="109" t="str">
        <f>'Table 1.3 complete'!L130</f>
        <v>-</v>
      </c>
      <c r="R133" s="109" t="str">
        <f>'Table 1.3 complete'!M130</f>
        <v>-</v>
      </c>
      <c r="S133" s="109" t="str">
        <f>'Table 1.3 complete'!N130</f>
        <v>-</v>
      </c>
      <c r="T133" s="149">
        <f>SUM(F133:S133)</f>
        <v>41.129999999999995</v>
      </c>
      <c r="U133" s="106">
        <f>T133-'Table 1.1 complete'!E130</f>
        <v>2.9999999999994031E-2</v>
      </c>
      <c r="V133" s="113">
        <f>T133-'Table 1.2 complete'!K130</f>
        <v>0</v>
      </c>
      <c r="W133" s="106">
        <f>'Table 1.2 complete'!K130-'Table 1.1 complete'!E130</f>
        <v>3.0000000000001137E-2</v>
      </c>
    </row>
    <row r="134" spans="1:23" x14ac:dyDescent="0.25">
      <c r="A134" s="346"/>
      <c r="B134" s="172" t="str">
        <f>'Table 1.2 complete'!A131</f>
        <v>Sri Lanka</v>
      </c>
      <c r="C134" s="203">
        <f>'Table 1.2 complete'!B131</f>
        <v>104</v>
      </c>
      <c r="D134" s="172" t="s">
        <v>423</v>
      </c>
      <c r="E134" s="132">
        <v>17</v>
      </c>
      <c r="F134" s="109" t="str">
        <f>'Table 1.2 complete'!E131</f>
        <v>-</v>
      </c>
      <c r="G134" s="109">
        <f>'Table 1.2 complete'!F131</f>
        <v>3.95</v>
      </c>
      <c r="H134" s="109" t="str">
        <f>'Table 1.2 complete'!G131</f>
        <v>-</v>
      </c>
      <c r="I134" s="109">
        <f>'Table 1.2 complete'!H131</f>
        <v>0.02</v>
      </c>
      <c r="J134" s="109" t="str">
        <f>'Table 1.3 complete'!E131</f>
        <v>-</v>
      </c>
      <c r="K134" s="109" t="str">
        <f>'Table 1.3 complete'!F131</f>
        <v>-</v>
      </c>
      <c r="L134" s="109" t="str">
        <f>'Table 1.3 complete'!G131</f>
        <v>-</v>
      </c>
      <c r="M134" s="109" t="str">
        <f>'Table 1.3 complete'!H131</f>
        <v>-</v>
      </c>
      <c r="N134" s="109">
        <f>'Table 1.3 complete'!I131</f>
        <v>5.94</v>
      </c>
      <c r="O134" s="109" t="str">
        <f>'Table 1.3 complete'!J131</f>
        <v>-</v>
      </c>
      <c r="P134" s="109">
        <f>'Table 1.3 complete'!K131</f>
        <v>0</v>
      </c>
      <c r="Q134" s="109" t="str">
        <f>'Table 1.3 complete'!L131</f>
        <v>-</v>
      </c>
      <c r="R134" s="109" t="str">
        <f>'Table 1.3 complete'!M131</f>
        <v>-</v>
      </c>
      <c r="S134" s="109" t="str">
        <f>'Table 1.3 complete'!N131</f>
        <v>-</v>
      </c>
      <c r="T134" s="149">
        <f>SUM(F134:S134)</f>
        <v>9.91</v>
      </c>
      <c r="U134" s="106">
        <f>T134-'Table 1.1 complete'!E131</f>
        <v>9.9999999999997868E-3</v>
      </c>
      <c r="V134" s="113">
        <f>T134-'Table 1.2 complete'!K131</f>
        <v>9.9999999999997868E-3</v>
      </c>
      <c r="W134" s="106">
        <f>'Table 1.2 complete'!K131-'Table 1.1 complete'!E131</f>
        <v>0</v>
      </c>
    </row>
    <row r="135" spans="1:23" x14ac:dyDescent="0.25">
      <c r="A135" s="346"/>
      <c r="B135" s="172" t="str">
        <f>'Table 1.2 complete'!A132</f>
        <v>Sudan</v>
      </c>
      <c r="C135" s="203">
        <f>'Table 1.2 complete'!B132</f>
        <v>59</v>
      </c>
      <c r="D135" s="172" t="s">
        <v>423</v>
      </c>
      <c r="E135" s="132">
        <v>17</v>
      </c>
      <c r="F135" s="109" t="str">
        <f>'Table 1.2 complete'!E132</f>
        <v>-</v>
      </c>
      <c r="G135" s="109">
        <f>'Table 1.2 complete'!F132</f>
        <v>1.45</v>
      </c>
      <c r="H135" s="109" t="str">
        <f>'Table 1.2 complete'!G132</f>
        <v>-</v>
      </c>
      <c r="I135" s="109" t="str">
        <f>'Table 1.2 complete'!H132</f>
        <v>-</v>
      </c>
      <c r="J135" s="109" t="str">
        <f>'Table 1.3 complete'!E132</f>
        <v>-</v>
      </c>
      <c r="K135" s="109" t="str">
        <f>'Table 1.3 complete'!F132</f>
        <v>-</v>
      </c>
      <c r="L135" s="109" t="str">
        <f>'Table 1.3 complete'!G132</f>
        <v>-</v>
      </c>
      <c r="M135" s="109" t="str">
        <f>'Table 1.3 complete'!H132</f>
        <v>-</v>
      </c>
      <c r="N135" s="109">
        <f>'Table 1.3 complete'!I132</f>
        <v>3.09</v>
      </c>
      <c r="O135" s="109" t="str">
        <f>'Table 1.3 complete'!J132</f>
        <v>-</v>
      </c>
      <c r="P135" s="109" t="str">
        <f>'Table 1.3 complete'!K132</f>
        <v>-</v>
      </c>
      <c r="Q135" s="109" t="str">
        <f>'Table 1.3 complete'!L132</f>
        <v>-</v>
      </c>
      <c r="R135" s="109" t="str">
        <f>'Table 1.3 complete'!M132</f>
        <v>-</v>
      </c>
      <c r="S135" s="109" t="str">
        <f>'Table 1.3 complete'!N132</f>
        <v>-</v>
      </c>
      <c r="T135" s="149">
        <f>SUM(F135:S135)</f>
        <v>4.54</v>
      </c>
      <c r="U135" s="106">
        <f>T135-'Table 1.1 complete'!E132</f>
        <v>4.0000000000000036E-2</v>
      </c>
      <c r="V135" s="113">
        <f>T135-'Table 1.2 complete'!K132</f>
        <v>0</v>
      </c>
      <c r="W135" s="106">
        <f>'Table 1.2 complete'!K132-'Table 1.1 complete'!E132</f>
        <v>4.0000000000000036E-2</v>
      </c>
    </row>
    <row r="136" spans="1:23" x14ac:dyDescent="0.25">
      <c r="A136" s="346"/>
      <c r="B136" s="172" t="str">
        <f>'Table 1.2 complete'!A133</f>
        <v>Tajikistan</v>
      </c>
      <c r="C136" s="203">
        <f>'Table 1.2 complete'!B133</f>
        <v>136</v>
      </c>
      <c r="D136" s="172" t="s">
        <v>423</v>
      </c>
      <c r="E136" s="132">
        <v>17</v>
      </c>
      <c r="F136" s="109" t="str">
        <f>'Table 1.2 complete'!E133</f>
        <v>-</v>
      </c>
      <c r="G136" s="109">
        <f>'Table 1.2 complete'!F133</f>
        <v>17.11</v>
      </c>
      <c r="H136" s="109" t="str">
        <f>'Table 1.2 complete'!G133</f>
        <v>-</v>
      </c>
      <c r="I136" s="109" t="str">
        <f>'Table 1.2 complete'!H133</f>
        <v>-</v>
      </c>
      <c r="J136" s="109" t="str">
        <f>'Table 1.3 complete'!E133</f>
        <v>-</v>
      </c>
      <c r="K136" s="109" t="str">
        <f>'Table 1.3 complete'!F133</f>
        <v>-</v>
      </c>
      <c r="L136" s="109" t="str">
        <f>'Table 1.3 complete'!G133</f>
        <v>-</v>
      </c>
      <c r="M136" s="109" t="str">
        <f>'Table 1.3 complete'!H133</f>
        <v>-</v>
      </c>
      <c r="N136" s="109" t="str">
        <f>'Table 1.3 complete'!I133</f>
        <v>-</v>
      </c>
      <c r="O136" s="109">
        <f>'Table 1.3 complete'!J133</f>
        <v>0.38</v>
      </c>
      <c r="P136" s="109" t="str">
        <f>'Table 1.3 complete'!K133</f>
        <v>-</v>
      </c>
      <c r="Q136" s="109" t="str">
        <f>'Table 1.3 complete'!L133</f>
        <v>-</v>
      </c>
      <c r="R136" s="109" t="str">
        <f>'Table 1.3 complete'!M133</f>
        <v>-</v>
      </c>
      <c r="S136" s="109" t="str">
        <f>'Table 1.3 complete'!N133</f>
        <v>-</v>
      </c>
      <c r="T136" s="149">
        <f>SUM(F136:S136)</f>
        <v>17.489999999999998</v>
      </c>
      <c r="U136" s="106">
        <f>T136-'Table 1.1 complete'!E133</f>
        <v>-1.0000000000001563E-2</v>
      </c>
      <c r="V136" s="113">
        <f>T136-'Table 1.2 complete'!K133</f>
        <v>0</v>
      </c>
      <c r="W136" s="106">
        <f>'Table 1.2 complete'!K133-'Table 1.1 complete'!E133</f>
        <v>-1.0000000000001563E-2</v>
      </c>
    </row>
    <row r="137" spans="1:23" x14ac:dyDescent="0.25">
      <c r="A137" s="346"/>
      <c r="B137" s="172" t="str">
        <f>'Table 1.2 complete'!A134</f>
        <v>Thailand</v>
      </c>
      <c r="C137" s="203">
        <f>'Table 1.2 complete'!B134</f>
        <v>106</v>
      </c>
      <c r="D137" s="172" t="s">
        <v>423</v>
      </c>
      <c r="E137" s="132">
        <v>17</v>
      </c>
      <c r="F137" s="109" t="str">
        <f>'Table 1.2 complete'!E134</f>
        <v>-</v>
      </c>
      <c r="G137" s="109">
        <f>'Table 1.2 complete'!F134</f>
        <v>8.11</v>
      </c>
      <c r="H137" s="109">
        <f>'Table 1.2 complete'!G134</f>
        <v>0</v>
      </c>
      <c r="I137" s="109" t="str">
        <f>'Table 1.2 complete'!H134</f>
        <v>-</v>
      </c>
      <c r="J137" s="109">
        <f>'Table 1.3 complete'!E134</f>
        <v>12.38</v>
      </c>
      <c r="K137" s="109">
        <f>'Table 1.3 complete'!F134</f>
        <v>18.3</v>
      </c>
      <c r="L137" s="109" t="str">
        <f>'Table 1.3 complete'!G134</f>
        <v>-</v>
      </c>
      <c r="M137" s="109" t="str">
        <f>'Table 1.3 complete'!H134</f>
        <v>-</v>
      </c>
      <c r="N137" s="109">
        <f>'Table 1.3 complete'!I134</f>
        <v>3.85</v>
      </c>
      <c r="O137" s="109">
        <f>'Table 1.3 complete'!J134</f>
        <v>96.54</v>
      </c>
      <c r="P137" s="109">
        <f>'Table 1.3 complete'!K134</f>
        <v>4.18</v>
      </c>
      <c r="Q137" s="109" t="str">
        <f>'Table 1.3 complete'!L134</f>
        <v>-</v>
      </c>
      <c r="R137" s="109" t="str">
        <f>'Table 1.3 complete'!M134</f>
        <v>-</v>
      </c>
      <c r="S137" s="109">
        <f>'Table 1.3 complete'!N134</f>
        <v>0.01</v>
      </c>
      <c r="T137" s="149">
        <f>SUM(F137:S137)</f>
        <v>143.37</v>
      </c>
      <c r="U137" s="106">
        <f>T137-'Table 1.1 complete'!E134</f>
        <v>-3.0000000000001137E-2</v>
      </c>
      <c r="V137" s="113">
        <f>T137-'Table 1.2 complete'!K134</f>
        <v>-9.9999999999909051E-3</v>
      </c>
      <c r="W137" s="106">
        <f>'Table 1.2 complete'!K134-'Table 1.1 complete'!E134</f>
        <v>-2.0000000000010232E-2</v>
      </c>
    </row>
    <row r="138" spans="1:23" x14ac:dyDescent="0.25">
      <c r="A138" s="346"/>
      <c r="B138" s="172" t="str">
        <f>'Table 1.2 complete'!A135</f>
        <v>Togo</v>
      </c>
      <c r="C138" s="203">
        <f>'Table 1.2 complete'!B135</f>
        <v>61</v>
      </c>
      <c r="D138" s="172" t="s">
        <v>423</v>
      </c>
      <c r="E138" s="132">
        <v>17</v>
      </c>
      <c r="F138" s="109" t="str">
        <f>'Table 1.2 complete'!E135</f>
        <v>-</v>
      </c>
      <c r="G138" s="109">
        <f>'Table 1.2 complete'!F135</f>
        <v>0.09</v>
      </c>
      <c r="H138" s="109" t="str">
        <f>'Table 1.2 complete'!G135</f>
        <v>-</v>
      </c>
      <c r="I138" s="109" t="str">
        <f>'Table 1.2 complete'!H135</f>
        <v>-</v>
      </c>
      <c r="J138" s="109" t="str">
        <f>'Table 1.3 complete'!E135</f>
        <v>-</v>
      </c>
      <c r="K138" s="109" t="str">
        <f>'Table 1.3 complete'!F135</f>
        <v>-</v>
      </c>
      <c r="L138" s="109" t="str">
        <f>'Table 1.3 complete'!G135</f>
        <v>-</v>
      </c>
      <c r="M138" s="109" t="str">
        <f>'Table 1.3 complete'!H135</f>
        <v>-</v>
      </c>
      <c r="N138" s="109">
        <f>'Table 1.3 complete'!I135</f>
        <v>0.09</v>
      </c>
      <c r="O138" s="109" t="str">
        <f>'Table 1.3 complete'!J135</f>
        <v>-</v>
      </c>
      <c r="P138" s="109">
        <f>'Table 1.3 complete'!K135</f>
        <v>0.01</v>
      </c>
      <c r="Q138" s="109" t="str">
        <f>'Table 1.3 complete'!L135</f>
        <v>-</v>
      </c>
      <c r="R138" s="109" t="str">
        <f>'Table 1.3 complete'!M135</f>
        <v>-</v>
      </c>
      <c r="S138" s="109" t="str">
        <f>'Table 1.3 complete'!N135</f>
        <v>-</v>
      </c>
      <c r="T138" s="149">
        <f>SUM(F138:S138)</f>
        <v>0.19</v>
      </c>
      <c r="U138" s="106">
        <f>T138-'Table 1.1 complete'!E135</f>
        <v>-1.0000000000000009E-2</v>
      </c>
      <c r="V138" s="113">
        <f>T138-'Table 1.2 complete'!K135</f>
        <v>-1.0000000000000009E-2</v>
      </c>
      <c r="W138" s="106">
        <f>'Table 1.2 complete'!K135-'Table 1.1 complete'!E135</f>
        <v>0</v>
      </c>
    </row>
    <row r="139" spans="1:23" x14ac:dyDescent="0.25">
      <c r="A139" s="346"/>
      <c r="B139" s="172" t="str">
        <f>'Table 1.2 complete'!A136</f>
        <v>Trinidad and T.</v>
      </c>
      <c r="C139" s="203">
        <f>'Table 1.2 complete'!B136</f>
        <v>86</v>
      </c>
      <c r="D139" s="172" t="s">
        <v>423</v>
      </c>
      <c r="E139" s="132">
        <v>17</v>
      </c>
      <c r="F139" s="109" t="str">
        <f>'Table 1.2 complete'!E136</f>
        <v>-</v>
      </c>
      <c r="G139" s="109" t="str">
        <f>'Table 1.2 complete'!F136</f>
        <v>-</v>
      </c>
      <c r="H139" s="109" t="str">
        <f>'Table 1.2 complete'!G136</f>
        <v>-</v>
      </c>
      <c r="I139" s="109" t="str">
        <f>'Table 1.2 complete'!H136</f>
        <v>-</v>
      </c>
      <c r="J139" s="109" t="str">
        <f>'Table 1.3 complete'!E136</f>
        <v>-</v>
      </c>
      <c r="K139" s="109" t="str">
        <f>'Table 1.3 complete'!F136</f>
        <v>-</v>
      </c>
      <c r="L139" s="109" t="str">
        <f>'Table 1.3 complete'!G136</f>
        <v>-</v>
      </c>
      <c r="M139" s="109" t="str">
        <f>'Table 1.3 complete'!H136</f>
        <v>-</v>
      </c>
      <c r="N139" s="109">
        <f>'Table 1.3 complete'!I136</f>
        <v>0.02</v>
      </c>
      <c r="O139" s="109">
        <f>'Table 1.3 complete'!J136</f>
        <v>7.63</v>
      </c>
      <c r="P139" s="109">
        <f>'Table 1.3 complete'!K136</f>
        <v>0.01</v>
      </c>
      <c r="Q139" s="109" t="str">
        <f>'Table 1.3 complete'!L136</f>
        <v>-</v>
      </c>
      <c r="R139" s="109" t="str">
        <f>'Table 1.3 complete'!M136</f>
        <v>-</v>
      </c>
      <c r="S139" s="109" t="str">
        <f>'Table 1.3 complete'!N136</f>
        <v>-</v>
      </c>
      <c r="T139" s="149">
        <f>SUM(F139:S139)</f>
        <v>7.6599999999999993</v>
      </c>
      <c r="U139" s="106">
        <f>T139-'Table 1.1 complete'!E136</f>
        <v>-4.0000000000000924E-2</v>
      </c>
      <c r="V139" s="113">
        <f>T139-'Table 1.2 complete'!K136</f>
        <v>0</v>
      </c>
      <c r="W139" s="106">
        <f>'Table 1.2 complete'!K136-'Table 1.1 complete'!E136</f>
        <v>-4.0000000000000036E-2</v>
      </c>
    </row>
    <row r="140" spans="1:23" x14ac:dyDescent="0.25">
      <c r="A140" s="346"/>
      <c r="B140" s="172" t="str">
        <f>'Table 1.2 complete'!A137</f>
        <v>Turkey</v>
      </c>
      <c r="C140" s="203">
        <f>'Table 1.2 complete'!B137</f>
        <v>31</v>
      </c>
      <c r="D140" s="172" t="s">
        <v>423</v>
      </c>
      <c r="E140" s="132">
        <v>17</v>
      </c>
      <c r="F140" s="109" t="str">
        <f>'Table 1.2 complete'!E137</f>
        <v>-</v>
      </c>
      <c r="G140" s="109">
        <f>'Table 1.2 complete'!F137</f>
        <v>35.85</v>
      </c>
      <c r="H140" s="109">
        <f>'Table 1.2 complete'!G137</f>
        <v>0.16</v>
      </c>
      <c r="I140" s="109">
        <f>'Table 1.2 complete'!H137</f>
        <v>0.36</v>
      </c>
      <c r="J140" s="109">
        <f>'Table 1.3 complete'!E137</f>
        <v>14.04</v>
      </c>
      <c r="K140" s="109">
        <f>'Table 1.3 complete'!F137</f>
        <v>38.29</v>
      </c>
      <c r="L140" s="109" t="str">
        <f>'Table 1.3 complete'!G137</f>
        <v>-</v>
      </c>
      <c r="M140" s="109">
        <f>'Table 1.3 complete'!H137</f>
        <v>1.1000000000000001</v>
      </c>
      <c r="N140" s="109">
        <f>'Table 1.3 complete'!I137</f>
        <v>6.53</v>
      </c>
      <c r="O140" s="109">
        <f>'Table 1.3 complete'!J137</f>
        <v>95.03</v>
      </c>
      <c r="P140" s="109">
        <f>'Table 1.3 complete'!K137</f>
        <v>0.03</v>
      </c>
      <c r="Q140" s="109">
        <f>'Table 1.3 complete'!L137</f>
        <v>0.12</v>
      </c>
      <c r="R140" s="109" t="str">
        <f>'Table 1.3 complete'!M137</f>
        <v>-</v>
      </c>
      <c r="S140" s="109">
        <f>'Table 1.3 complete'!N137</f>
        <v>7.0000000000000007E-2</v>
      </c>
      <c r="T140" s="149">
        <f>SUM(F140:S140)</f>
        <v>191.57999999999998</v>
      </c>
      <c r="U140" s="106">
        <f>T140-'Table 1.1 complete'!E137</f>
        <v>-2.0000000000010232E-2</v>
      </c>
      <c r="V140" s="113">
        <f>T140-'Table 1.2 complete'!K137</f>
        <v>1.999999999998181E-2</v>
      </c>
      <c r="W140" s="106">
        <f>'Table 1.2 complete'!K137-'Table 1.1 complete'!E137</f>
        <v>-3.9999999999992042E-2</v>
      </c>
    </row>
    <row r="141" spans="1:23" x14ac:dyDescent="0.25">
      <c r="A141" s="346"/>
      <c r="B141" s="172" t="str">
        <f>'Table 1.2 complete'!A138</f>
        <v>Turkmenistan</v>
      </c>
      <c r="C141" s="203">
        <f>'Table 1.2 complete'!B138</f>
        <v>137</v>
      </c>
      <c r="D141" s="172" t="s">
        <v>423</v>
      </c>
      <c r="E141" s="132">
        <v>17</v>
      </c>
      <c r="F141" s="109" t="str">
        <f>'Table 1.2 complete'!E138</f>
        <v>-</v>
      </c>
      <c r="G141" s="109">
        <f>'Table 1.2 complete'!F138</f>
        <v>0</v>
      </c>
      <c r="H141" s="109" t="str">
        <f>'Table 1.2 complete'!G138</f>
        <v>-</v>
      </c>
      <c r="I141" s="109" t="str">
        <f>'Table 1.2 complete'!H138</f>
        <v>-</v>
      </c>
      <c r="J141" s="109" t="str">
        <f>'Table 1.3 complete'!E138</f>
        <v>-</v>
      </c>
      <c r="K141" s="109" t="str">
        <f>'Table 1.3 complete'!F138</f>
        <v>-</v>
      </c>
      <c r="L141" s="109" t="str">
        <f>'Table 1.3 complete'!G138</f>
        <v>-</v>
      </c>
      <c r="M141" s="109" t="str">
        <f>'Table 1.3 complete'!H138</f>
        <v>-</v>
      </c>
      <c r="N141" s="109" t="str">
        <f>'Table 1.3 complete'!I138</f>
        <v>-</v>
      </c>
      <c r="O141" s="109">
        <f>'Table 1.3 complete'!J138</f>
        <v>14.88</v>
      </c>
      <c r="P141" s="109" t="str">
        <f>'Table 1.3 complete'!K138</f>
        <v>-</v>
      </c>
      <c r="Q141" s="109" t="str">
        <f>'Table 1.3 complete'!L138</f>
        <v>-</v>
      </c>
      <c r="R141" s="109" t="str">
        <f>'Table 1.3 complete'!M138</f>
        <v>-</v>
      </c>
      <c r="S141" s="109" t="str">
        <f>'Table 1.3 complete'!N138</f>
        <v>-</v>
      </c>
      <c r="T141" s="149">
        <f>SUM(F141:S141)</f>
        <v>14.88</v>
      </c>
      <c r="U141" s="106">
        <f>T141-'Table 1.1 complete'!E138</f>
        <v>-1.9999999999999574E-2</v>
      </c>
      <c r="V141" s="113">
        <f>T141-'Table 1.2 complete'!K138</f>
        <v>0</v>
      </c>
      <c r="W141" s="106">
        <f>'Table 1.2 complete'!K138-'Table 1.1 complete'!E138</f>
        <v>-1.9999999999999574E-2</v>
      </c>
    </row>
    <row r="142" spans="1:23" x14ac:dyDescent="0.25">
      <c r="A142" s="346"/>
      <c r="B142" s="172" t="str">
        <f>'Table 1.2 complete'!A139</f>
        <v>Ukraine</v>
      </c>
      <c r="C142" s="203">
        <f>'Table 1.2 complete'!B139</f>
        <v>138</v>
      </c>
      <c r="D142" s="172" t="s">
        <v>423</v>
      </c>
      <c r="E142" s="132">
        <v>17</v>
      </c>
      <c r="F142" s="109">
        <f>'Table 1.2 complete'!E139</f>
        <v>92.54</v>
      </c>
      <c r="G142" s="109">
        <f>'Table 1.2 complete'!F139</f>
        <v>10.26</v>
      </c>
      <c r="H142" s="109" t="str">
        <f>'Table 1.2 complete'!G139</f>
        <v>-</v>
      </c>
      <c r="I142" s="109">
        <f>'Table 1.2 complete'!H139</f>
        <v>0.05</v>
      </c>
      <c r="J142" s="109">
        <f>'Table 1.3 complete'!E139</f>
        <v>63.47</v>
      </c>
      <c r="K142" s="109">
        <f>'Table 1.3 complete'!F139</f>
        <v>0.24</v>
      </c>
      <c r="L142" s="109" t="str">
        <f>'Table 1.3 complete'!G139</f>
        <v>-</v>
      </c>
      <c r="M142" s="109">
        <f>'Table 1.3 complete'!H139</f>
        <v>3.39</v>
      </c>
      <c r="N142" s="109">
        <f>'Table 1.3 complete'!I139</f>
        <v>0.76</v>
      </c>
      <c r="O142" s="109">
        <f>'Table 1.3 complete'!J139</f>
        <v>25.55</v>
      </c>
      <c r="P142" s="109" t="str">
        <f>'Table 1.3 complete'!K139</f>
        <v>-</v>
      </c>
      <c r="Q142" s="109" t="str">
        <f>'Table 1.3 complete'!L139</f>
        <v>-</v>
      </c>
      <c r="R142" s="109" t="str">
        <f>'Table 1.3 complete'!M139</f>
        <v>-</v>
      </c>
      <c r="S142" s="109" t="str">
        <f>'Table 1.3 complete'!N139</f>
        <v>-</v>
      </c>
      <c r="T142" s="149">
        <f>SUM(F142:S142)</f>
        <v>196.26</v>
      </c>
      <c r="U142" s="106">
        <f>T142-'Table 1.1 complete'!E139</f>
        <v>-4.0000000000020464E-2</v>
      </c>
      <c r="V142" s="113">
        <f>T142-'Table 1.2 complete'!K139</f>
        <v>9.9999999999909051E-3</v>
      </c>
      <c r="W142" s="106">
        <f>'Table 1.2 complete'!K139-'Table 1.1 complete'!E139</f>
        <v>-5.0000000000011369E-2</v>
      </c>
    </row>
    <row r="143" spans="1:23" x14ac:dyDescent="0.25">
      <c r="A143" s="346"/>
      <c r="B143" s="172" t="str">
        <f>'Table 1.2 complete'!A140</f>
        <v>UR of Tanzania</v>
      </c>
      <c r="C143" s="203">
        <f>'Table 1.2 complete'!B140</f>
        <v>60</v>
      </c>
      <c r="D143" s="172" t="s">
        <v>423</v>
      </c>
      <c r="E143" s="132">
        <v>17</v>
      </c>
      <c r="F143" s="109" t="str">
        <f>'Table 1.2 complete'!E140</f>
        <v>-</v>
      </c>
      <c r="G143" s="109">
        <f>'Table 1.2 complete'!F140</f>
        <v>2.5099999999999998</v>
      </c>
      <c r="H143" s="109" t="str">
        <f>'Table 1.2 complete'!G140</f>
        <v>-</v>
      </c>
      <c r="I143" s="109" t="str">
        <f>'Table 1.2 complete'!H140</f>
        <v>-</v>
      </c>
      <c r="J143" s="109">
        <f>'Table 1.3 complete'!E140</f>
        <v>0.11</v>
      </c>
      <c r="K143" s="109" t="str">
        <f>'Table 1.3 complete'!F140</f>
        <v>-</v>
      </c>
      <c r="L143" s="109" t="str">
        <f>'Table 1.3 complete'!G140</f>
        <v>-</v>
      </c>
      <c r="M143" s="109" t="str">
        <f>'Table 1.3 complete'!H140</f>
        <v>-</v>
      </c>
      <c r="N143" s="109">
        <f>'Table 1.3 complete'!I140</f>
        <v>0.04</v>
      </c>
      <c r="O143" s="109">
        <f>'Table 1.3 complete'!J140</f>
        <v>1.51</v>
      </c>
      <c r="P143" s="109" t="str">
        <f>'Table 1.3 complete'!K140</f>
        <v>-</v>
      </c>
      <c r="Q143" s="109" t="str">
        <f>'Table 1.3 complete'!L140</f>
        <v>-</v>
      </c>
      <c r="R143" s="109" t="str">
        <f>'Table 1.3 complete'!M140</f>
        <v>-</v>
      </c>
      <c r="S143" s="109" t="str">
        <f>'Table 1.3 complete'!N140</f>
        <v>-</v>
      </c>
      <c r="T143" s="149">
        <f>SUM(F143:S143)</f>
        <v>4.17</v>
      </c>
      <c r="U143" s="106">
        <f>T143-'Table 1.1 complete'!E140</f>
        <v>-3.0000000000000249E-2</v>
      </c>
      <c r="V143" s="113">
        <f>T143-'Table 1.2 complete'!K140</f>
        <v>-9.9999999999997868E-3</v>
      </c>
      <c r="W143" s="106">
        <f>'Table 1.2 complete'!K140-'Table 1.1 complete'!E140</f>
        <v>-2.0000000000000462E-2</v>
      </c>
    </row>
    <row r="144" spans="1:23" x14ac:dyDescent="0.25">
      <c r="A144" s="346"/>
      <c r="B144" s="172" t="str">
        <f>'Table 1.2 complete'!A141</f>
        <v>Uruguay</v>
      </c>
      <c r="C144" s="203">
        <f>'Table 1.2 complete'!B141</f>
        <v>87</v>
      </c>
      <c r="D144" s="172" t="s">
        <v>423</v>
      </c>
      <c r="E144" s="132">
        <v>17</v>
      </c>
      <c r="F144" s="109" t="str">
        <f>'Table 1.2 complete'!E141</f>
        <v>-</v>
      </c>
      <c r="G144" s="109">
        <f>'Table 1.2 complete'!F141</f>
        <v>8.07</v>
      </c>
      <c r="H144" s="109" t="str">
        <f>'Table 1.2 complete'!G141</f>
        <v>-</v>
      </c>
      <c r="I144" s="109" t="str">
        <f>'Table 1.2 complete'!H141</f>
        <v>-</v>
      </c>
      <c r="J144" s="109" t="str">
        <f>'Table 1.3 complete'!E141</f>
        <v>-</v>
      </c>
      <c r="K144" s="109" t="str">
        <f>'Table 1.3 complete'!F141</f>
        <v>-</v>
      </c>
      <c r="L144" s="109" t="str">
        <f>'Table 1.3 complete'!G141</f>
        <v>-</v>
      </c>
      <c r="M144" s="109" t="str">
        <f>'Table 1.3 complete'!H141</f>
        <v>-</v>
      </c>
      <c r="N144" s="109">
        <f>'Table 1.3 complete'!I141</f>
        <v>1.22</v>
      </c>
      <c r="O144" s="109">
        <f>'Table 1.3 complete'!J141</f>
        <v>0</v>
      </c>
      <c r="P144" s="109">
        <f>'Table 1.3 complete'!K141</f>
        <v>0.13</v>
      </c>
      <c r="Q144" s="109" t="str">
        <f>'Table 1.3 complete'!L141</f>
        <v>-</v>
      </c>
      <c r="R144" s="109" t="str">
        <f>'Table 1.3 complete'!M141</f>
        <v>-</v>
      </c>
      <c r="S144" s="109" t="str">
        <f>'Table 1.3 complete'!N141</f>
        <v>-</v>
      </c>
      <c r="T144" s="149">
        <f>SUM(F144:S144)</f>
        <v>9.4200000000000017</v>
      </c>
      <c r="U144" s="106">
        <f>T144-'Table 1.1 complete'!E141</f>
        <v>2.000000000000135E-2</v>
      </c>
      <c r="V144" s="113">
        <f>T144-'Table 1.2 complete'!K141</f>
        <v>-9.9999999999980105E-3</v>
      </c>
      <c r="W144" s="106">
        <f>'Table 1.2 complete'!K141-'Table 1.1 complete'!E141</f>
        <v>2.9999999999999361E-2</v>
      </c>
    </row>
    <row r="145" spans="1:23" x14ac:dyDescent="0.25">
      <c r="A145" s="346"/>
      <c r="B145" s="172" t="str">
        <f>'Table 1.2 complete'!A142</f>
        <v>Uzbekistan</v>
      </c>
      <c r="C145" s="203">
        <f>'Table 1.2 complete'!B142</f>
        <v>139</v>
      </c>
      <c r="D145" s="172" t="s">
        <v>423</v>
      </c>
      <c r="E145" s="132">
        <v>17</v>
      </c>
      <c r="F145" s="264" t="str">
        <f>'Table 1.2 complete'!E142</f>
        <v>-</v>
      </c>
      <c r="G145" s="264">
        <f>'Table 1.2 complete'!F142</f>
        <v>6.4</v>
      </c>
      <c r="H145" s="264" t="str">
        <f>'Table 1.2 complete'!G142</f>
        <v>-</v>
      </c>
      <c r="I145" s="264" t="str">
        <f>'Table 1.2 complete'!H142</f>
        <v>-</v>
      </c>
      <c r="J145" s="264" t="str">
        <f>'Table 1.3 complete'!E142</f>
        <v>-</v>
      </c>
      <c r="K145" s="264">
        <f>'Table 1.3 complete'!F142</f>
        <v>2.44</v>
      </c>
      <c r="L145" s="264" t="str">
        <f>'Table 1.3 complete'!G142</f>
        <v>-</v>
      </c>
      <c r="M145" s="264" t="str">
        <f>'Table 1.3 complete'!H142</f>
        <v>-</v>
      </c>
      <c r="N145" s="264">
        <f>'Table 1.3 complete'!I142</f>
        <v>5.53</v>
      </c>
      <c r="O145" s="264">
        <f>'Table 1.3 complete'!J142</f>
        <v>34.58</v>
      </c>
      <c r="P145" s="264" t="str">
        <f>'Table 1.3 complete'!K142</f>
        <v>-</v>
      </c>
      <c r="Q145" s="264" t="str">
        <f>'Table 1.3 complete'!L142</f>
        <v>-</v>
      </c>
      <c r="R145" s="264" t="str">
        <f>'Table 1.3 complete'!M142</f>
        <v>-</v>
      </c>
      <c r="S145" s="264" t="str">
        <f>'Table 1.3 complete'!N142</f>
        <v>-</v>
      </c>
      <c r="T145" s="149">
        <f>SUM(F145:S145)</f>
        <v>48.95</v>
      </c>
      <c r="U145" s="106">
        <f>T145-'Table 1.1 complete'!E142</f>
        <v>-4.9999999999997158E-2</v>
      </c>
      <c r="V145" s="113">
        <f>T145-'Table 1.2 complete'!K142</f>
        <v>0</v>
      </c>
      <c r="W145" s="106">
        <f>'Table 1.2 complete'!K142-'Table 1.1 complete'!E142</f>
        <v>-4.9999999999997158E-2</v>
      </c>
    </row>
    <row r="146" spans="1:23" x14ac:dyDescent="0.25">
      <c r="A146" s="346"/>
      <c r="B146" s="172" t="str">
        <f>'Table 1.2 complete'!A143</f>
        <v>Vietnam</v>
      </c>
      <c r="C146" s="203">
        <f>'Table 1.2 complete'!B143</f>
        <v>107</v>
      </c>
      <c r="D146" s="172" t="s">
        <v>423</v>
      </c>
      <c r="E146" s="132">
        <v>17</v>
      </c>
      <c r="F146" s="109" t="str">
        <f>'Table 1.2 complete'!E143</f>
        <v>-</v>
      </c>
      <c r="G146" s="109">
        <f>'Table 1.2 complete'!F143</f>
        <v>29.88</v>
      </c>
      <c r="H146" s="109" t="str">
        <f>'Table 1.2 complete'!G143</f>
        <v>-</v>
      </c>
      <c r="I146" s="109" t="str">
        <f>'Table 1.2 complete'!H143</f>
        <v>-</v>
      </c>
      <c r="J146" s="109">
        <f>'Table 1.3 complete'!E143</f>
        <v>14.84</v>
      </c>
      <c r="K146" s="109" t="str">
        <f>'Table 1.3 complete'!F143</f>
        <v>-</v>
      </c>
      <c r="L146" s="109" t="str">
        <f>'Table 1.3 complete'!G143</f>
        <v>-</v>
      </c>
      <c r="M146" s="109" t="str">
        <f>'Table 1.3 complete'!H143</f>
        <v>-</v>
      </c>
      <c r="N146" s="109">
        <f>'Table 1.3 complete'!I143</f>
        <v>2.4700000000000002</v>
      </c>
      <c r="O146" s="109">
        <f>'Table 1.3 complete'!J143</f>
        <v>22.3</v>
      </c>
      <c r="P146" s="109" t="str">
        <f>'Table 1.3 complete'!K143</f>
        <v>-</v>
      </c>
      <c r="Q146" s="109" t="str">
        <f>'Table 1.3 complete'!L143</f>
        <v>-</v>
      </c>
      <c r="R146" s="109" t="str">
        <f>'Table 1.3 complete'!M143</f>
        <v>-</v>
      </c>
      <c r="S146" s="109" t="str">
        <f>'Table 1.3 complete'!N143</f>
        <v>-</v>
      </c>
      <c r="T146" s="149">
        <f>SUM(F146:S146)</f>
        <v>69.489999999999995</v>
      </c>
      <c r="U146" s="106">
        <f>T146-'Table 1.1 complete'!E143</f>
        <v>-1.0000000000005116E-2</v>
      </c>
      <c r="V146" s="113">
        <f>T146-'Table 1.2 complete'!K143</f>
        <v>0</v>
      </c>
      <c r="W146" s="106">
        <f>'Table 1.2 complete'!K143-'Table 1.1 complete'!E143</f>
        <v>-1.0000000000005116E-2</v>
      </c>
    </row>
    <row r="147" spans="1:23" x14ac:dyDescent="0.25">
      <c r="A147" s="346"/>
      <c r="B147" s="172" t="str">
        <f>'Table 1.2 complete'!A144</f>
        <v>Zambia</v>
      </c>
      <c r="C147" s="203">
        <f>'Table 1.2 complete'!B144</f>
        <v>63</v>
      </c>
      <c r="D147" s="172" t="s">
        <v>423</v>
      </c>
      <c r="E147" s="132">
        <v>17</v>
      </c>
      <c r="F147" s="109" t="str">
        <f>'Table 1.2 complete'!E144</f>
        <v>-</v>
      </c>
      <c r="G147" s="109">
        <f>'Table 1.2 complete'!F144</f>
        <v>9.8000000000000007</v>
      </c>
      <c r="H147" s="109" t="str">
        <f>'Table 1.2 complete'!G144</f>
        <v>-</v>
      </c>
      <c r="I147" s="109" t="str">
        <f>'Table 1.2 complete'!H144</f>
        <v>-</v>
      </c>
      <c r="J147" s="109">
        <f>'Table 1.3 complete'!E144</f>
        <v>0.02</v>
      </c>
      <c r="K147" s="109" t="str">
        <f>'Table 1.3 complete'!F144</f>
        <v>-</v>
      </c>
      <c r="L147" s="109" t="str">
        <f>'Table 1.3 complete'!G144</f>
        <v>-</v>
      </c>
      <c r="M147" s="109" t="str">
        <f>'Table 1.3 complete'!H144</f>
        <v>-</v>
      </c>
      <c r="N147" s="109">
        <f>'Table 1.3 complete'!I144</f>
        <v>0.04</v>
      </c>
      <c r="O147" s="109" t="str">
        <f>'Table 1.3 complete'!J144</f>
        <v>-</v>
      </c>
      <c r="P147" s="109" t="str">
        <f>'Table 1.3 complete'!K144</f>
        <v>-</v>
      </c>
      <c r="Q147" s="109" t="str">
        <f>'Table 1.3 complete'!L144</f>
        <v>-</v>
      </c>
      <c r="R147" s="109" t="str">
        <f>'Table 1.3 complete'!M144</f>
        <v>-</v>
      </c>
      <c r="S147" s="109" t="str">
        <f>'Table 1.3 complete'!N144</f>
        <v>-</v>
      </c>
      <c r="T147" s="149">
        <f>SUM(F147:S147)</f>
        <v>9.86</v>
      </c>
      <c r="U147" s="106">
        <f>T147-'Table 1.1 complete'!E144</f>
        <v>-4.0000000000000924E-2</v>
      </c>
      <c r="V147" s="113">
        <f>T147-'Table 1.2 complete'!K144</f>
        <v>9.9999999999997868E-3</v>
      </c>
      <c r="W147" s="106">
        <f>'Table 1.2 complete'!K144-'Table 1.1 complete'!E144</f>
        <v>-5.0000000000000711E-2</v>
      </c>
    </row>
    <row r="148" spans="1:23" x14ac:dyDescent="0.25">
      <c r="A148" s="346"/>
      <c r="B148" s="172" t="str">
        <f>'Table 1.2 complete'!A145</f>
        <v>Zimbabwe</v>
      </c>
      <c r="C148" s="203">
        <f>'Table 1.2 complete'!B145</f>
        <v>64</v>
      </c>
      <c r="D148" s="172" t="s">
        <v>423</v>
      </c>
      <c r="E148" s="132">
        <v>17</v>
      </c>
      <c r="F148" s="109" t="str">
        <f>'Table 1.2 complete'!E145</f>
        <v>-</v>
      </c>
      <c r="G148" s="109">
        <f>'Table 1.2 complete'!F145</f>
        <v>5.21</v>
      </c>
      <c r="H148" s="109" t="str">
        <f>'Table 1.2 complete'!G145</f>
        <v>-</v>
      </c>
      <c r="I148" s="109" t="str">
        <f>'Table 1.2 complete'!H145</f>
        <v>-</v>
      </c>
      <c r="J148" s="109">
        <f>'Table 1.3 complete'!E145</f>
        <v>3.94</v>
      </c>
      <c r="K148" s="109" t="str">
        <f>'Table 1.3 complete'!F145</f>
        <v>-</v>
      </c>
      <c r="L148" s="109" t="str">
        <f>'Table 1.3 complete'!G145</f>
        <v>-</v>
      </c>
      <c r="M148" s="109" t="str">
        <f>'Table 1.3 complete'!H145</f>
        <v>-</v>
      </c>
      <c r="N148" s="109">
        <f>'Table 1.3 complete'!I145</f>
        <v>0.02</v>
      </c>
      <c r="O148" s="109" t="str">
        <f>'Table 1.3 complete'!J145</f>
        <v>-</v>
      </c>
      <c r="P148" s="109" t="str">
        <f>'Table 1.3 complete'!K145</f>
        <v>-</v>
      </c>
      <c r="Q148" s="109" t="str">
        <f>'Table 1.3 complete'!L145</f>
        <v>-</v>
      </c>
      <c r="R148" s="109" t="str">
        <f>'Table 1.3 complete'!M145</f>
        <v>-</v>
      </c>
      <c r="S148" s="109" t="str">
        <f>'Table 1.3 complete'!N145</f>
        <v>-</v>
      </c>
      <c r="T148" s="149">
        <f>SUM(F148:S148)</f>
        <v>9.17</v>
      </c>
      <c r="U148" s="106">
        <f>T148-'Table 1.1 complete'!E145</f>
        <v>-2.9999999999999361E-2</v>
      </c>
      <c r="V148" s="113">
        <f>T148-'Table 1.2 complete'!K145</f>
        <v>-9.9999999999997868E-3</v>
      </c>
      <c r="W148" s="106">
        <f>'Table 1.2 complete'!K145-'Table 1.1 complete'!E145</f>
        <v>-1.9999999999999574E-2</v>
      </c>
    </row>
    <row r="149" spans="1:23" x14ac:dyDescent="0.25">
      <c r="B149" s="182" t="str">
        <f>'Table 1.2 complete'!A146</f>
        <v>Africa</v>
      </c>
      <c r="C149" s="74">
        <f>'Table 1.2 complete'!B146</f>
        <v>66</v>
      </c>
      <c r="D149" s="266" t="s">
        <v>277</v>
      </c>
      <c r="E149" s="75">
        <f>'Table 1.2 complete'!D146</f>
        <v>99</v>
      </c>
      <c r="F149" s="110">
        <f>'Table 1.2 complete'!E146</f>
        <v>11.32</v>
      </c>
      <c r="G149" s="110">
        <f>'Table 1.2 complete'!F146</f>
        <v>98.63</v>
      </c>
      <c r="H149" s="110">
        <f>'Table 1.2 complete'!G146</f>
        <v>1.02</v>
      </c>
      <c r="I149" s="110">
        <f>'Table 1.2 complete'!H146</f>
        <v>1.25</v>
      </c>
      <c r="J149" s="110">
        <f>'Table 1.3 complete'!E146</f>
        <v>267.04000000000002</v>
      </c>
      <c r="K149" s="110" t="str">
        <f>'Table 1.3 complete'!F146</f>
        <v>-</v>
      </c>
      <c r="L149" s="110" t="str">
        <f>'Table 1.3 complete'!G146</f>
        <v>-</v>
      </c>
      <c r="M149" s="110" t="str">
        <f>'Table 1.3 complete'!H146</f>
        <v>-</v>
      </c>
      <c r="N149" s="110">
        <f>'Table 1.3 complete'!I146</f>
        <v>67.989999999999995</v>
      </c>
      <c r="O149" s="110">
        <f>'Table 1.3 complete'!J146</f>
        <v>170.07</v>
      </c>
      <c r="P149" s="110">
        <f>'Table 1.3 complete'!K146</f>
        <v>0.76</v>
      </c>
      <c r="Q149" s="110" t="str">
        <f>'Table 1.3 complete'!L146</f>
        <v>-</v>
      </c>
      <c r="R149" s="110" t="str">
        <f>'Table 1.3 complete'!M146</f>
        <v>-</v>
      </c>
      <c r="S149" s="110" t="str">
        <f>'Table 1.3 complete'!N146</f>
        <v>-</v>
      </c>
      <c r="T149" s="150">
        <f>SUM(F149:S149)</f>
        <v>618.07999999999993</v>
      </c>
      <c r="U149" s="107">
        <f>T149-'Table 1.1 complete'!E146</f>
        <v>-2.0000000000095497E-2</v>
      </c>
      <c r="V149" s="114">
        <f>T149-'Table 1.2 complete'!K146</f>
        <v>9.9999999998772182E-3</v>
      </c>
      <c r="W149" s="107">
        <f>'Table 1.2 complete'!K146-'Table 1.1 complete'!E146</f>
        <v>-2.9999999999972715E-2</v>
      </c>
    </row>
    <row r="150" spans="1:23" x14ac:dyDescent="0.25">
      <c r="B150" s="183" t="str">
        <f>'Table 1.2 complete'!A147</f>
        <v>Asia (excl. China)</v>
      </c>
      <c r="C150" s="74">
        <f>'Table 1.2 complete'!B147</f>
        <v>109</v>
      </c>
      <c r="D150" s="77" t="s">
        <v>278</v>
      </c>
      <c r="E150" s="75">
        <f>'Table 1.2 complete'!D147</f>
        <v>99</v>
      </c>
      <c r="F150" s="110">
        <f>'Table 1.2 complete'!E147</f>
        <v>60.39</v>
      </c>
      <c r="G150" s="110">
        <f>'Table 1.2 complete'!F147</f>
        <v>259.99</v>
      </c>
      <c r="H150" s="110">
        <f>'Table 1.2 complete'!G147</f>
        <v>17.239999999999998</v>
      </c>
      <c r="I150" s="110">
        <f>'Table 1.2 complete'!H147</f>
        <v>12.2</v>
      </c>
      <c r="J150" s="110">
        <f>'Table 1.3 complete'!E147</f>
        <v>715.97</v>
      </c>
      <c r="K150" s="110">
        <f>'Table 1.3 complete'!F147</f>
        <v>116.37</v>
      </c>
      <c r="L150" s="110" t="str">
        <f>'Table 1.3 complete'!G147</f>
        <v>-</v>
      </c>
      <c r="M150" s="110">
        <f>'Table 1.3 complete'!H147</f>
        <v>3.85</v>
      </c>
      <c r="N150" s="110">
        <f>'Table 1.3 complete'!I147</f>
        <v>159.88999999999999</v>
      </c>
      <c r="O150" s="110">
        <f>'Table 1.3 complete'!J147</f>
        <v>424.64</v>
      </c>
      <c r="P150" s="110">
        <f>'Table 1.3 complete'!K147</f>
        <v>6.81</v>
      </c>
      <c r="Q150" s="110" t="str">
        <f>'Table 1.3 complete'!L147</f>
        <v>-</v>
      </c>
      <c r="R150" s="110">
        <f>'Table 1.3 complete'!M147</f>
        <v>3.02</v>
      </c>
      <c r="S150" s="110">
        <f>'Table 1.3 complete'!N147</f>
        <v>0.01</v>
      </c>
      <c r="T150" s="150">
        <f>SUM(F150:S150)</f>
        <v>1780.3799999999994</v>
      </c>
      <c r="U150" s="107">
        <f>T150-'Table 1.1 complete'!E147</f>
        <v>-2.0000000000663931E-2</v>
      </c>
      <c r="V150" s="114">
        <f>T150-'Table 1.2 complete'!K147</f>
        <v>1.9999999999527063E-2</v>
      </c>
      <c r="W150" s="107">
        <f>'Table 1.2 complete'!K147-'Table 1.1 complete'!E147</f>
        <v>-4.0000000000190994E-2</v>
      </c>
    </row>
    <row r="151" spans="1:23" x14ac:dyDescent="0.25">
      <c r="B151" s="183" t="str">
        <f>'Table 1.2 complete'!A148</f>
        <v>China (Region)</v>
      </c>
      <c r="C151" s="74">
        <f>'Table 1.2 complete'!B148</f>
        <v>112</v>
      </c>
      <c r="D151" s="77" t="s">
        <v>279</v>
      </c>
      <c r="E151" s="75">
        <f>'Table 1.2 complete'!D148</f>
        <v>99</v>
      </c>
      <c r="F151" s="110">
        <f>'Table 1.2 complete'!E148</f>
        <v>62.13</v>
      </c>
      <c r="G151" s="110">
        <f>'Table 1.2 complete'!F148</f>
        <v>485.26</v>
      </c>
      <c r="H151" s="110" t="str">
        <f>'Table 1.2 complete'!G148</f>
        <v>-</v>
      </c>
      <c r="I151" s="110">
        <f>'Table 1.2 complete'!H148</f>
        <v>8.91</v>
      </c>
      <c r="J151" s="110">
        <f>'Table 1.3 complete'!E148</f>
        <v>2662.85</v>
      </c>
      <c r="K151" s="110" t="str">
        <f>'Table 1.3 complete'!F148</f>
        <v>-</v>
      </c>
      <c r="L151" s="110" t="str">
        <f>'Table 1.3 complete'!G148</f>
        <v>-</v>
      </c>
      <c r="M151" s="110">
        <f>'Table 1.3 complete'!H148</f>
        <v>22.12</v>
      </c>
      <c r="N151" s="110">
        <f>'Table 1.3 complete'!I148</f>
        <v>33.75</v>
      </c>
      <c r="O151" s="110" t="str">
        <f>'Table 1.3 complete'!J148</f>
        <v>-</v>
      </c>
      <c r="P151" s="110" t="str">
        <f>'Table 1.3 complete'!K148</f>
        <v>-</v>
      </c>
      <c r="Q151" s="110" t="str">
        <f>'Table 1.3 complete'!L148</f>
        <v>-</v>
      </c>
      <c r="R151" s="110">
        <f>'Table 1.3 complete'!M148</f>
        <v>40.86</v>
      </c>
      <c r="S151" s="110">
        <f>'Table 1.3 complete'!N148</f>
        <v>2.31</v>
      </c>
      <c r="T151" s="150">
        <f>SUM(F151:S151)</f>
        <v>3318.1899999999996</v>
      </c>
      <c r="U151" s="107">
        <f>T151-'Table 1.1 complete'!E148</f>
        <v>-1.0000000000218279E-2</v>
      </c>
      <c r="V151" s="114">
        <f>T151-'Table 1.2 complete'!K148</f>
        <v>0</v>
      </c>
      <c r="W151" s="107">
        <f>'Table 1.2 complete'!K148-'Table 1.1 complete'!E148</f>
        <v>-9.9999999997635314E-3</v>
      </c>
    </row>
    <row r="152" spans="1:23" x14ac:dyDescent="0.25">
      <c r="B152" s="183" t="str">
        <f>'Table 1.2 complete'!A149</f>
        <v>FSU</v>
      </c>
      <c r="C152" s="74">
        <f>'Table 1.2 complete'!B149</f>
        <v>140</v>
      </c>
      <c r="D152" s="77" t="s">
        <v>280</v>
      </c>
      <c r="E152" s="75">
        <f>'Table 1.2 complete'!D149</f>
        <v>99</v>
      </c>
      <c r="F152" s="110">
        <f>'Table 1.2 complete'!E149</f>
        <v>264.97000000000003</v>
      </c>
      <c r="G152" s="110">
        <f>'Table 1.2 complete'!F149</f>
        <v>249.69</v>
      </c>
      <c r="H152" s="110">
        <f>'Table 1.2 complete'!G149</f>
        <v>0.49</v>
      </c>
      <c r="I152" s="110">
        <f>'Table 1.2 complete'!H149</f>
        <v>0.54</v>
      </c>
      <c r="J152" s="110">
        <f>'Table 1.3 complete'!E149</f>
        <v>217.99</v>
      </c>
      <c r="K152" s="110">
        <f>'Table 1.3 complete'!F149</f>
        <v>75.599999999999994</v>
      </c>
      <c r="L152" s="110">
        <f>'Table 1.3 complete'!G149</f>
        <v>0.79</v>
      </c>
      <c r="M152" s="110">
        <f>'Table 1.3 complete'!H149</f>
        <v>10.9</v>
      </c>
      <c r="N152" s="110">
        <f>'Table 1.3 complete'!I149</f>
        <v>34.380000000000003</v>
      </c>
      <c r="O152" s="110">
        <f>'Table 1.3 complete'!J149</f>
        <v>633.27</v>
      </c>
      <c r="P152" s="110">
        <f>'Table 1.3 complete'!K149</f>
        <v>0.1</v>
      </c>
      <c r="Q152" s="110">
        <f>'Table 1.3 complete'!L149</f>
        <v>2.06</v>
      </c>
      <c r="R152" s="110" t="str">
        <f>'Table 1.3 complete'!M149</f>
        <v>-</v>
      </c>
      <c r="S152" s="110">
        <f>'Table 1.3 complete'!N149</f>
        <v>0.06</v>
      </c>
      <c r="T152" s="150">
        <f>SUM(F152:S152)</f>
        <v>1490.8399999999997</v>
      </c>
      <c r="U152" s="107">
        <f>T152-'Table 1.1 complete'!E149</f>
        <v>3.9999999999736247E-2</v>
      </c>
      <c r="V152" s="114">
        <f>T152-'Table 1.2 complete'!K149</f>
        <v>1.9999999999754436E-2</v>
      </c>
      <c r="W152" s="107">
        <f>'Table 1.2 complete'!K149-'Table 1.1 complete'!E149</f>
        <v>1.999999999998181E-2</v>
      </c>
    </row>
    <row r="153" spans="1:23" x14ac:dyDescent="0.25">
      <c r="B153" s="183" t="str">
        <f>'Table 1.2 complete'!A150</f>
        <v>Latin America</v>
      </c>
      <c r="C153" s="74">
        <f>'Table 1.2 complete'!B150</f>
        <v>90</v>
      </c>
      <c r="D153" s="77" t="s">
        <v>281</v>
      </c>
      <c r="E153" s="75">
        <f>'Table 1.2 complete'!D150</f>
        <v>99</v>
      </c>
      <c r="F153" s="110">
        <f>'Table 1.2 complete'!E150</f>
        <v>19.57</v>
      </c>
      <c r="G153" s="110">
        <f>'Table 1.2 complete'!F150</f>
        <v>669.28</v>
      </c>
      <c r="H153" s="110">
        <f>'Table 1.2 complete'!G150</f>
        <v>2.86</v>
      </c>
      <c r="I153" s="110">
        <f>'Table 1.2 complete'!H150</f>
        <v>2.41</v>
      </c>
      <c r="J153" s="110">
        <f>'Table 1.3 complete'!E150</f>
        <v>22.34</v>
      </c>
      <c r="K153" s="110">
        <f>'Table 1.3 complete'!F150</f>
        <v>5.96</v>
      </c>
      <c r="L153" s="110" t="str">
        <f>'Table 1.3 complete'!G150</f>
        <v>-</v>
      </c>
      <c r="M153" s="110">
        <f>'Table 1.3 complete'!H150</f>
        <v>5</v>
      </c>
      <c r="N153" s="110">
        <f>'Table 1.3 complete'!I150</f>
        <v>125.35</v>
      </c>
      <c r="O153" s="110">
        <f>'Table 1.3 complete'!J150</f>
        <v>128.18</v>
      </c>
      <c r="P153" s="110">
        <f>'Table 1.3 complete'!K150</f>
        <v>25.94</v>
      </c>
      <c r="Q153" s="110" t="str">
        <f>'Table 1.3 complete'!L150</f>
        <v>-</v>
      </c>
      <c r="R153" s="110" t="str">
        <f>'Table 1.3 complete'!M150</f>
        <v>-</v>
      </c>
      <c r="S153" s="110">
        <f>'Table 1.3 complete'!N150</f>
        <v>0.01</v>
      </c>
      <c r="T153" s="150">
        <f>SUM(F153:S153)</f>
        <v>1006.9000000000001</v>
      </c>
      <c r="U153" s="107">
        <f>T153-'Table 1.1 complete'!E150</f>
        <v>0</v>
      </c>
      <c r="V153" s="114">
        <f>T153-'Table 1.2 complete'!K150</f>
        <v>2.0000000000095497E-2</v>
      </c>
      <c r="W153" s="107">
        <f>'Table 1.2 complete'!K150-'Table 1.1 complete'!E150</f>
        <v>-1.999999999998181E-2</v>
      </c>
    </row>
    <row r="154" spans="1:23" x14ac:dyDescent="0.25">
      <c r="B154" s="182" t="str">
        <f>'Table 1.2 complete'!A151</f>
        <v>Middle East</v>
      </c>
      <c r="C154" s="74">
        <f>'Table 1.2 complete'!B151</f>
        <v>154</v>
      </c>
      <c r="D154" s="266" t="s">
        <v>282</v>
      </c>
      <c r="E154" s="75">
        <f>'Table 1.2 complete'!D151</f>
        <v>99</v>
      </c>
      <c r="F154" s="110" t="str">
        <f>'Table 1.2 complete'!E151</f>
        <v>-</v>
      </c>
      <c r="G154" s="110">
        <f>'Table 1.2 complete'!F151</f>
        <v>22.69</v>
      </c>
      <c r="H154" s="110" t="str">
        <f>'Table 1.2 complete'!G151</f>
        <v>-</v>
      </c>
      <c r="I154" s="110">
        <f>'Table 1.2 complete'!H151</f>
        <v>0.16</v>
      </c>
      <c r="J154" s="110">
        <f>'Table 1.3 complete'!E151</f>
        <v>37.25</v>
      </c>
      <c r="K154" s="110">
        <f>'Table 1.3 complete'!F151</f>
        <v>0.16</v>
      </c>
      <c r="L154" s="110" t="str">
        <f>'Table 1.3 complete'!G151</f>
        <v>-</v>
      </c>
      <c r="M154" s="110" t="str">
        <f>'Table 1.3 complete'!H151</f>
        <v>-</v>
      </c>
      <c r="N154" s="110">
        <f>'Table 1.3 complete'!I151</f>
        <v>250.07</v>
      </c>
      <c r="O154" s="110">
        <f>'Table 1.3 complete'!J151</f>
        <v>404.28</v>
      </c>
      <c r="P154" s="110" t="str">
        <f>'Table 1.3 complete'!K151</f>
        <v>-</v>
      </c>
      <c r="Q154" s="110" t="str">
        <f>'Table 1.3 complete'!L151</f>
        <v>-</v>
      </c>
      <c r="R154" s="110" t="str">
        <f>'Table 1.3 complete'!M151</f>
        <v>-</v>
      </c>
      <c r="S154" s="110">
        <f>'Table 1.3 complete'!N151</f>
        <v>0.01</v>
      </c>
      <c r="T154" s="150">
        <f>SUM(F154:S154)</f>
        <v>714.61999999999989</v>
      </c>
      <c r="U154" s="107">
        <f>T154-'Table 1.1 complete'!E151</f>
        <v>1.9999999999868123E-2</v>
      </c>
      <c r="V154" s="114">
        <f>T154-'Table 1.2 complete'!K151</f>
        <v>1.9999999999868123E-2</v>
      </c>
      <c r="W154" s="107">
        <f>'Table 1.2 complete'!K151-'Table 1.1 complete'!E151</f>
        <v>0</v>
      </c>
    </row>
    <row r="155" spans="1:23" x14ac:dyDescent="0.25">
      <c r="B155" s="183" t="str">
        <f>'Table 1.2 complete'!A152</f>
        <v>Non-OECD Europe</v>
      </c>
      <c r="C155" s="74">
        <f>'Table 1.2 complete'!B152</f>
        <v>124</v>
      </c>
      <c r="D155" s="77" t="s">
        <v>283</v>
      </c>
      <c r="E155" s="75">
        <f>'Table 1.2 complete'!D152</f>
        <v>99</v>
      </c>
      <c r="F155" s="110">
        <f>'Table 1.2 complete'!E152</f>
        <v>28.05</v>
      </c>
      <c r="G155" s="110">
        <f>'Table 1.2 complete'!F152</f>
        <v>44.7</v>
      </c>
      <c r="H155" s="110" t="str">
        <f>'Table 1.2 complete'!G152</f>
        <v>-</v>
      </c>
      <c r="I155" s="110">
        <f>'Table 1.2 complete'!H152</f>
        <v>0.09</v>
      </c>
      <c r="J155" s="110">
        <f>'Table 1.3 complete'!E152</f>
        <v>15.58</v>
      </c>
      <c r="K155" s="110">
        <f>'Table 1.3 complete'!F152</f>
        <v>78.239999999999995</v>
      </c>
      <c r="L155" s="110" t="str">
        <f>'Table 1.3 complete'!G152</f>
        <v>-</v>
      </c>
      <c r="M155" s="110">
        <f>'Table 1.3 complete'!H152</f>
        <v>0.41</v>
      </c>
      <c r="N155" s="110">
        <f>'Table 1.3 complete'!I152</f>
        <v>12.5</v>
      </c>
      <c r="O155" s="110">
        <f>'Table 1.3 complete'!J152</f>
        <v>17.8</v>
      </c>
      <c r="P155" s="110">
        <f>'Table 1.3 complete'!K152</f>
        <v>0.1</v>
      </c>
      <c r="Q155" s="110">
        <f>'Table 1.3 complete'!L152</f>
        <v>0.01</v>
      </c>
      <c r="R155" s="110" t="str">
        <f>'Table 1.3 complete'!M152</f>
        <v>-</v>
      </c>
      <c r="S155" s="110">
        <f>'Table 1.3 complete'!N152</f>
        <v>0.06</v>
      </c>
      <c r="T155" s="150">
        <f>SUM(F155:S155)</f>
        <v>197.54</v>
      </c>
      <c r="U155" s="107">
        <f>T155-'Table 1.1 complete'!E152</f>
        <v>3.9999999999992042E-2</v>
      </c>
      <c r="V155" s="114">
        <f>T155-'Table 1.2 complete'!K152</f>
        <v>1.999999999998181E-2</v>
      </c>
      <c r="W155" s="107">
        <f>'Table 1.2 complete'!K152-'Table 1.1 complete'!E152</f>
        <v>2.0000000000010232E-2</v>
      </c>
    </row>
    <row r="156" spans="1:23" x14ac:dyDescent="0.25">
      <c r="B156" s="183" t="str">
        <f>'Table 1.2 complete'!A153</f>
        <v>Non-OECD Total</v>
      </c>
      <c r="C156" s="74">
        <f>'Table 1.2 complete'!B153</f>
        <v>155</v>
      </c>
      <c r="D156" s="77" t="s">
        <v>284</v>
      </c>
      <c r="E156" s="75">
        <f>'Table 1.2 complete'!D153</f>
        <v>99</v>
      </c>
      <c r="F156" s="110">
        <f>'Table 1.2 complete'!E153</f>
        <v>446.42</v>
      </c>
      <c r="G156" s="110">
        <f>'Table 1.2 complete'!F153</f>
        <v>1830.23</v>
      </c>
      <c r="H156" s="110">
        <f>'Table 1.2 complete'!G153</f>
        <v>21.61</v>
      </c>
      <c r="I156" s="110">
        <f>'Table 1.2 complete'!H153</f>
        <v>25.54</v>
      </c>
      <c r="J156" s="110">
        <f>'Table 1.3 complete'!E153</f>
        <v>3939.01</v>
      </c>
      <c r="K156" s="110">
        <f>'Table 1.3 complete'!F153</f>
        <v>276.32</v>
      </c>
      <c r="L156" s="110">
        <f>'Table 1.3 complete'!G153</f>
        <v>0.79</v>
      </c>
      <c r="M156" s="110">
        <f>'Table 1.3 complete'!H153</f>
        <v>42.28</v>
      </c>
      <c r="N156" s="110">
        <f>'Table 1.3 complete'!I153</f>
        <v>683.91</v>
      </c>
      <c r="O156" s="110">
        <f>'Table 1.3 complete'!J153</f>
        <v>1819.08</v>
      </c>
      <c r="P156" s="110">
        <f>'Table 1.3 complete'!K153</f>
        <v>36.020000000000003</v>
      </c>
      <c r="Q156" s="110">
        <f>'Table 1.3 complete'!L153</f>
        <v>2.0699999999999998</v>
      </c>
      <c r="R156" s="110">
        <f>'Table 1.3 complete'!M153</f>
        <v>3.02</v>
      </c>
      <c r="S156" s="110">
        <f>'Table 1.3 complete'!N153</f>
        <v>0.14000000000000001</v>
      </c>
      <c r="T156" s="150">
        <f>SUM(F156:S156)</f>
        <v>9126.4399999999987</v>
      </c>
      <c r="U156" s="107">
        <f>T156-'Table 1.1 complete'!E153</f>
        <v>3.9999999999054126E-2</v>
      </c>
      <c r="V156" s="114">
        <f>T156-'Table 1.2 complete'!K153</f>
        <v>9.9999999983992893E-3</v>
      </c>
      <c r="W156" s="107">
        <f>'Table 1.2 complete'!K153-'Table 1.1 complete'!E153</f>
        <v>3.0000000000654836E-2</v>
      </c>
    </row>
    <row r="157" spans="1:23" x14ac:dyDescent="0.25">
      <c r="B157" s="183" t="str">
        <f>'Table 1.2 complete'!A154</f>
        <v xml:space="preserve">Non-OECD Total </v>
      </c>
      <c r="C157" s="74">
        <f>'Table 1.2 complete'!B154</f>
        <v>2</v>
      </c>
      <c r="D157" s="77" t="s">
        <v>285</v>
      </c>
      <c r="E157" s="75">
        <f>'Table 1.2 complete'!D154</f>
        <v>99</v>
      </c>
      <c r="F157" s="110">
        <f>'Table 1.2 complete'!E154</f>
        <v>446.42</v>
      </c>
      <c r="G157" s="110">
        <f>'Table 1.2 complete'!F154</f>
        <v>1830.23</v>
      </c>
      <c r="H157" s="110">
        <f>'Table 1.2 complete'!G154</f>
        <v>21.61</v>
      </c>
      <c r="I157" s="110">
        <f>'Table 1.2 complete'!H154</f>
        <v>25.54</v>
      </c>
      <c r="J157" s="110">
        <f>'Table 1.3 complete'!E154</f>
        <v>3939.01</v>
      </c>
      <c r="K157" s="110">
        <f>'Table 1.3 complete'!F154</f>
        <v>276.32</v>
      </c>
      <c r="L157" s="110">
        <f>'Table 1.3 complete'!G154</f>
        <v>0.79</v>
      </c>
      <c r="M157" s="110">
        <f>'Table 1.3 complete'!H154</f>
        <v>42.28</v>
      </c>
      <c r="N157" s="110">
        <f>'Table 1.3 complete'!I154</f>
        <v>683.91</v>
      </c>
      <c r="O157" s="110">
        <f>'Table 1.3 complete'!J154</f>
        <v>1819.08</v>
      </c>
      <c r="P157" s="110">
        <f>'Table 1.3 complete'!K154</f>
        <v>36.020000000000003</v>
      </c>
      <c r="Q157" s="110">
        <f>'Table 1.3 complete'!L154</f>
        <v>2.0699999999999998</v>
      </c>
      <c r="R157" s="110">
        <f>'Table 1.3 complete'!M154</f>
        <v>3.02</v>
      </c>
      <c r="S157" s="110">
        <f>'Table 1.3 complete'!N154</f>
        <v>0.14000000000000001</v>
      </c>
      <c r="T157" s="150">
        <f>SUM(F157:S157)</f>
        <v>9126.4399999999987</v>
      </c>
      <c r="U157" s="107">
        <f>T157-'Table 1.1 complete'!E154</f>
        <v>3.9999999999054126E-2</v>
      </c>
      <c r="V157" s="114">
        <f>T157-'Table 1.2 complete'!K154</f>
        <v>9.9999999983992893E-3</v>
      </c>
      <c r="W157" s="107">
        <f>'Table 1.2 complete'!K154-'Table 1.1 complete'!E154</f>
        <v>3.0000000000654836E-2</v>
      </c>
    </row>
    <row r="158" spans="1:23" x14ac:dyDescent="0.25">
      <c r="B158" s="183" t="str">
        <f>'Table 1.2 complete'!A155</f>
        <v>OECD Europe</v>
      </c>
      <c r="C158" s="74">
        <f>'Table 1.2 complete'!B155</f>
        <v>35</v>
      </c>
      <c r="D158" s="77" t="s">
        <v>286</v>
      </c>
      <c r="E158" s="75">
        <f>'Table 1.2 complete'!D155</f>
        <v>99</v>
      </c>
      <c r="F158" s="110">
        <f>'Table 1.2 complete'!E155</f>
        <v>925.32</v>
      </c>
      <c r="G158" s="110">
        <f>'Table 1.2 complete'!F155</f>
        <v>533.11</v>
      </c>
      <c r="H158" s="110">
        <f>'Table 1.2 complete'!G155</f>
        <v>9.51</v>
      </c>
      <c r="I158" s="110">
        <f>'Table 1.2 complete'!H155</f>
        <v>111.93</v>
      </c>
      <c r="J158" s="110">
        <f>'Table 1.3 complete'!E155</f>
        <v>600.42999999999995</v>
      </c>
      <c r="K158" s="110">
        <f>'Table 1.3 complete'!F155</f>
        <v>366.37</v>
      </c>
      <c r="L158" s="110">
        <f>'Table 1.3 complete'!G155</f>
        <v>9.93</v>
      </c>
      <c r="M158" s="110">
        <f>'Table 1.3 complete'!H155</f>
        <v>35.97</v>
      </c>
      <c r="N158" s="110">
        <f>'Table 1.3 complete'!I155</f>
        <v>109.89</v>
      </c>
      <c r="O158" s="110">
        <f>'Table 1.3 complete'!J155</f>
        <v>801.95</v>
      </c>
      <c r="P158" s="110">
        <f>'Table 1.3 complete'!K155</f>
        <v>52.63</v>
      </c>
      <c r="Q158" s="110">
        <f>'Table 1.3 complete'!L155</f>
        <v>3.96</v>
      </c>
      <c r="R158" s="110">
        <f>'Table 1.3 complete'!M155</f>
        <v>29.25</v>
      </c>
      <c r="S158" s="110">
        <f>'Table 1.3 complete'!N155</f>
        <v>22.25</v>
      </c>
      <c r="T158" s="150">
        <f>SUM(F158:S158)</f>
        <v>3612.5</v>
      </c>
      <c r="U158" s="107">
        <f>T158-'Table 1.1 complete'!E155</f>
        <v>0</v>
      </c>
      <c r="V158" s="114">
        <f>T158-'Table 1.2 complete'!K155</f>
        <v>0</v>
      </c>
      <c r="W158" s="107">
        <f>'Table 1.2 complete'!K155-'Table 1.1 complete'!E155</f>
        <v>0</v>
      </c>
    </row>
    <row r="159" spans="1:23" x14ac:dyDescent="0.25">
      <c r="B159" s="182" t="str">
        <f>'Table 1.2 complete'!A156</f>
        <v>OECD N. America</v>
      </c>
      <c r="C159" s="74">
        <f>'Table 1.2 complete'!B156</f>
        <v>37</v>
      </c>
      <c r="D159" s="266" t="s">
        <v>287</v>
      </c>
      <c r="E159" s="75">
        <f>'Table 1.2 complete'!D156</f>
        <v>99</v>
      </c>
      <c r="F159" s="110">
        <f>'Table 1.2 complete'!E156</f>
        <v>940.55</v>
      </c>
      <c r="G159" s="110">
        <f>'Table 1.2 complete'!F156</f>
        <v>671.34</v>
      </c>
      <c r="H159" s="110">
        <f>'Table 1.2 complete'!G156</f>
        <v>24.2</v>
      </c>
      <c r="I159" s="110">
        <f>'Table 1.2 complete'!H156</f>
        <v>39.79</v>
      </c>
      <c r="J159" s="110">
        <f>'Table 1.3 complete'!E156</f>
        <v>2101.4499999999998</v>
      </c>
      <c r="K159" s="110">
        <f>'Table 1.3 complete'!F156</f>
        <v>159.99</v>
      </c>
      <c r="L159" s="110" t="str">
        <f>'Table 1.3 complete'!G156</f>
        <v>-</v>
      </c>
      <c r="M159" s="110">
        <f>'Table 1.3 complete'!H156</f>
        <v>4.33</v>
      </c>
      <c r="N159" s="110">
        <f>'Table 1.3 complete'!I156</f>
        <v>140.24</v>
      </c>
      <c r="O159" s="110">
        <f>'Table 1.3 complete'!J156</f>
        <v>1081.51</v>
      </c>
      <c r="P159" s="110">
        <f>'Table 1.3 complete'!K156</f>
        <v>52.14</v>
      </c>
      <c r="Q159" s="110">
        <f>'Table 1.3 complete'!L156</f>
        <v>5.01</v>
      </c>
      <c r="R159" s="110">
        <f>'Table 1.3 complete'!M156</f>
        <v>17.260000000000002</v>
      </c>
      <c r="S159" s="110">
        <f>'Table 1.3 complete'!N156</f>
        <v>8.36</v>
      </c>
      <c r="T159" s="150">
        <f>SUM(F159:S159)</f>
        <v>5246.17</v>
      </c>
      <c r="U159" s="107">
        <f>T159-'Table 1.1 complete'!E156</f>
        <v>-2.9999999999745341E-2</v>
      </c>
      <c r="V159" s="114">
        <f>T159-'Table 1.2 complete'!K156</f>
        <v>2.0000000000436557E-2</v>
      </c>
      <c r="W159" s="107">
        <f>'Table 1.2 complete'!K156-'Table 1.1 complete'!E156</f>
        <v>-5.0000000000181899E-2</v>
      </c>
    </row>
    <row r="160" spans="1:23" x14ac:dyDescent="0.25">
      <c r="B160" s="183" t="str">
        <f>'Table 1.2 complete'!A157</f>
        <v>OECD Pacific</v>
      </c>
      <c r="C160" s="74">
        <f>'Table 1.2 complete'!B157</f>
        <v>36</v>
      </c>
      <c r="D160" s="77" t="s">
        <v>288</v>
      </c>
      <c r="E160" s="75">
        <f>'Table 1.2 complete'!D157</f>
        <v>99</v>
      </c>
      <c r="F160" s="110">
        <f>'Table 1.2 complete'!E157</f>
        <v>406.77</v>
      </c>
      <c r="G160" s="110">
        <f>'Table 1.2 complete'!F157</f>
        <v>127.52</v>
      </c>
      <c r="H160" s="110">
        <f>'Table 1.2 complete'!G157</f>
        <v>6.5</v>
      </c>
      <c r="I160" s="110">
        <f>'Table 1.2 complete'!H157</f>
        <v>6.76</v>
      </c>
      <c r="J160" s="110">
        <f>'Table 1.3 complete'!E157</f>
        <v>567.21</v>
      </c>
      <c r="K160" s="110">
        <f>'Table 1.3 complete'!F157</f>
        <v>57.5</v>
      </c>
      <c r="L160" s="110" t="str">
        <f>'Table 1.3 complete'!G157</f>
        <v>-</v>
      </c>
      <c r="M160" s="110">
        <f>'Table 1.3 complete'!H157</f>
        <v>54.16</v>
      </c>
      <c r="N160" s="110">
        <f>'Table 1.3 complete'!I157</f>
        <v>183.64</v>
      </c>
      <c r="O160" s="110">
        <f>'Table 1.3 complete'!J157</f>
        <v>423.39</v>
      </c>
      <c r="P160" s="110">
        <f>'Table 1.3 complete'!K157</f>
        <v>17.45</v>
      </c>
      <c r="Q160" s="110">
        <f>'Table 1.3 complete'!L157</f>
        <v>0.44</v>
      </c>
      <c r="R160" s="110">
        <f>'Table 1.3 complete'!M157</f>
        <v>7.03</v>
      </c>
      <c r="S160" s="110">
        <f>'Table 1.3 complete'!N157</f>
        <v>1.49</v>
      </c>
      <c r="T160" s="150">
        <f>SUM(F160:S160)</f>
        <v>1859.86</v>
      </c>
      <c r="U160" s="107">
        <f>T160-'Table 1.1 complete'!E157</f>
        <v>5.999999999994543E-2</v>
      </c>
      <c r="V160" s="114">
        <f>T160-'Table 1.2 complete'!K157</f>
        <v>1.999999999998181E-2</v>
      </c>
      <c r="W160" s="107">
        <f>'Table 1.2 complete'!K157-'Table 1.1 complete'!E157</f>
        <v>3.999999999996362E-2</v>
      </c>
    </row>
    <row r="161" spans="2:23" x14ac:dyDescent="0.25">
      <c r="B161" s="183" t="str">
        <f>'Table 1.2 complete'!A158</f>
        <v>OECD Total</v>
      </c>
      <c r="C161" s="74">
        <f>'Table 1.2 complete'!B158</f>
        <v>34</v>
      </c>
      <c r="D161" s="77" t="s">
        <v>289</v>
      </c>
      <c r="E161" s="75">
        <f>'Table 1.2 complete'!D158</f>
        <v>99</v>
      </c>
      <c r="F161" s="110">
        <f>'Table 1.2 complete'!E158</f>
        <v>2272.64</v>
      </c>
      <c r="G161" s="110">
        <f>'Table 1.2 complete'!F158</f>
        <v>1331.96</v>
      </c>
      <c r="H161" s="110">
        <f>'Table 1.2 complete'!G158</f>
        <v>40.21</v>
      </c>
      <c r="I161" s="110">
        <f>'Table 1.2 complete'!H158</f>
        <v>158.47999999999999</v>
      </c>
      <c r="J161" s="110">
        <f>'Table 1.3 complete'!E158</f>
        <v>3269.09</v>
      </c>
      <c r="K161" s="110">
        <f>'Table 1.3 complete'!F158</f>
        <v>583.85</v>
      </c>
      <c r="L161" s="110">
        <f>'Table 1.3 complete'!G158</f>
        <v>9.93</v>
      </c>
      <c r="M161" s="110">
        <f>'Table 1.3 complete'!H158</f>
        <v>94.46</v>
      </c>
      <c r="N161" s="110">
        <f>'Table 1.3 complete'!I158</f>
        <v>433.77</v>
      </c>
      <c r="O161" s="110">
        <f>'Table 1.3 complete'!J158</f>
        <v>2306.85</v>
      </c>
      <c r="P161" s="110">
        <f>'Table 1.3 complete'!K158</f>
        <v>122.22</v>
      </c>
      <c r="Q161" s="110">
        <f>'Table 1.3 complete'!L158</f>
        <v>9.41</v>
      </c>
      <c r="R161" s="110">
        <f>'Table 1.3 complete'!M158</f>
        <v>53.55</v>
      </c>
      <c r="S161" s="110">
        <f>'Table 1.3 complete'!N158</f>
        <v>32.090000000000003</v>
      </c>
      <c r="T161" s="150">
        <f>SUM(F161:S161)</f>
        <v>10718.51</v>
      </c>
      <c r="U161" s="107">
        <f>T161-'Table 1.1 complete'!E158</f>
        <v>1.0000000000218279E-2</v>
      </c>
      <c r="V161" s="114">
        <f>T161-'Table 1.2 complete'!K158</f>
        <v>2.0000000000436557E-2</v>
      </c>
      <c r="W161" s="107">
        <f>'Table 1.2 complete'!K158-'Table 1.1 complete'!E158</f>
        <v>-1.0000000000218279E-2</v>
      </c>
    </row>
    <row r="162" spans="2:23" x14ac:dyDescent="0.25">
      <c r="B162" s="183" t="str">
        <f>'Table 1.2 complete'!A159</f>
        <v xml:space="preserve">OECD Total     </v>
      </c>
      <c r="C162" s="74">
        <f>'Table 1.2 complete'!B159</f>
        <v>1</v>
      </c>
      <c r="D162" s="77" t="s">
        <v>290</v>
      </c>
      <c r="E162" s="75">
        <f>'Table 1.2 complete'!D159</f>
        <v>99</v>
      </c>
      <c r="F162" s="110">
        <f>'Table 1.2 complete'!E159</f>
        <v>2272.64</v>
      </c>
      <c r="G162" s="110">
        <f>'Table 1.2 complete'!F159</f>
        <v>1331.96</v>
      </c>
      <c r="H162" s="110">
        <f>'Table 1.2 complete'!G159</f>
        <v>40.21</v>
      </c>
      <c r="I162" s="110">
        <f>'Table 1.2 complete'!H159</f>
        <v>158.47999999999999</v>
      </c>
      <c r="J162" s="110">
        <f>'Table 1.3 complete'!E159</f>
        <v>3269.09</v>
      </c>
      <c r="K162" s="110">
        <f>'Table 1.3 complete'!F159</f>
        <v>583.85</v>
      </c>
      <c r="L162" s="110">
        <f>'Table 1.3 complete'!G159</f>
        <v>9.93</v>
      </c>
      <c r="M162" s="110">
        <f>'Table 1.3 complete'!H159</f>
        <v>94.46</v>
      </c>
      <c r="N162" s="110">
        <f>'Table 1.3 complete'!I159</f>
        <v>433.77</v>
      </c>
      <c r="O162" s="110">
        <f>'Table 1.3 complete'!J159</f>
        <v>2306.85</v>
      </c>
      <c r="P162" s="110">
        <f>'Table 1.3 complete'!K159</f>
        <v>122.22</v>
      </c>
      <c r="Q162" s="110">
        <f>'Table 1.3 complete'!L159</f>
        <v>9.41</v>
      </c>
      <c r="R162" s="110">
        <f>'Table 1.3 complete'!M159</f>
        <v>53.55</v>
      </c>
      <c r="S162" s="110">
        <f>'Table 1.3 complete'!N159</f>
        <v>32.090000000000003</v>
      </c>
      <c r="T162" s="150">
        <f>SUM(F162:S162)</f>
        <v>10718.51</v>
      </c>
      <c r="U162" s="107">
        <f>T162-'Table 1.1 complete'!E159</f>
        <v>1.0000000000218279E-2</v>
      </c>
      <c r="V162" s="114">
        <f>T162-'Table 1.2 complete'!K159</f>
        <v>2.0000000000436557E-2</v>
      </c>
      <c r="W162" s="107">
        <f>'Table 1.2 complete'!K159-'Table 1.1 complete'!E159</f>
        <v>-1.0000000000218279E-2</v>
      </c>
    </row>
    <row r="163" spans="2:23" x14ac:dyDescent="0.25">
      <c r="B163" s="184" t="str">
        <f>'Table 1.2 complete'!A160</f>
        <v>World</v>
      </c>
      <c r="C163" s="80">
        <f>'Table 1.2 complete'!B160</f>
        <v>3</v>
      </c>
      <c r="D163" s="185" t="s">
        <v>291</v>
      </c>
      <c r="E163" s="81">
        <f>'Table 1.2 complete'!D160</f>
        <v>99</v>
      </c>
      <c r="F163" s="111">
        <f>'Table 1.2 complete'!E160</f>
        <v>2719.06</v>
      </c>
      <c r="G163" s="111">
        <f>'Table 1.2 complete'!F160</f>
        <v>3162.19</v>
      </c>
      <c r="H163" s="111">
        <f>'Table 1.2 complete'!G160</f>
        <v>61.82</v>
      </c>
      <c r="I163" s="111">
        <f>'Table 1.2 complete'!H160</f>
        <v>184.02</v>
      </c>
      <c r="J163" s="111">
        <f>'Table 1.3 complete'!E160</f>
        <v>7208.1</v>
      </c>
      <c r="K163" s="111">
        <f>'Table 1.3 complete'!F160</f>
        <v>860.17</v>
      </c>
      <c r="L163" s="111">
        <f>'Table 1.3 complete'!G160</f>
        <v>10.72</v>
      </c>
      <c r="M163" s="111">
        <f>'Table 1.3 complete'!H160</f>
        <v>136.72999999999999</v>
      </c>
      <c r="N163" s="111">
        <f>'Table 1.3 complete'!I160</f>
        <v>1117.68</v>
      </c>
      <c r="O163" s="111">
        <f>'Table 1.3 complete'!J160</f>
        <v>4125.93</v>
      </c>
      <c r="P163" s="111">
        <f>'Table 1.3 complete'!K160</f>
        <v>158.24</v>
      </c>
      <c r="Q163" s="111">
        <f>'Table 1.3 complete'!L160</f>
        <v>11.47</v>
      </c>
      <c r="R163" s="111">
        <f>'Table 1.3 complete'!M160</f>
        <v>56.56</v>
      </c>
      <c r="S163" s="111">
        <f>'Table 1.3 complete'!N160</f>
        <v>32.229999999999997</v>
      </c>
      <c r="T163" s="151">
        <f>SUM(F163:S163)</f>
        <v>19844.920000000002</v>
      </c>
      <c r="U163" s="108">
        <f>T163-'Table 1.1 complete'!E160</f>
        <v>2.0000000000436557E-2</v>
      </c>
      <c r="V163" s="115">
        <f>T163-'Table 1.2 complete'!K160</f>
        <v>0</v>
      </c>
      <c r="W163" s="108">
        <f>'Table 1.2 complete'!K160-'Table 1.1 complete'!E160</f>
        <v>1.9999999996798579E-2</v>
      </c>
    </row>
  </sheetData>
  <autoFilter ref="B8:V8">
    <sortState ref="B9:V163">
      <sortCondition ref="E8"/>
    </sortState>
  </autoFilter>
  <mergeCells count="12">
    <mergeCell ref="F3:I3"/>
    <mergeCell ref="J3:S3"/>
    <mergeCell ref="F2:S2"/>
    <mergeCell ref="U6:W6"/>
    <mergeCell ref="F4:S4"/>
    <mergeCell ref="F5:F7"/>
    <mergeCell ref="G5:I7"/>
    <mergeCell ref="J5:S5"/>
    <mergeCell ref="J6:O6"/>
    <mergeCell ref="P6:S7"/>
    <mergeCell ref="J7:M7"/>
    <mergeCell ref="N7:O7"/>
  </mergeCells>
  <conditionalFormatting sqref="U9:U163">
    <cfRule type="cellIs" dxfId="246" priority="5" operator="lessThan">
      <formula>-0.05</formula>
    </cfRule>
    <cfRule type="cellIs" dxfId="245" priority="6" operator="greaterThan">
      <formula>0.05</formula>
    </cfRule>
  </conditionalFormatting>
  <conditionalFormatting sqref="W9:W163">
    <cfRule type="cellIs" dxfId="244" priority="1" operator="lessThan">
      <formula>-0.05</formula>
    </cfRule>
    <cfRule type="cellIs" dxfId="243" priority="2" operator="greaterThan">
      <formula>0.05</formula>
    </cfRule>
  </conditionalFormatting>
  <conditionalFormatting sqref="V9:V163">
    <cfRule type="cellIs" dxfId="242" priority="3" operator="lessThan">
      <formula>-0.05</formula>
    </cfRule>
    <cfRule type="cellIs" dxfId="241" priority="4" operator="greaterThan">
      <formula>0.05</formula>
    </cfRule>
  </conditionalFormatting>
  <hyperlinks>
    <hyperlink ref="B3" r:id="rId1"/>
  </hyperlinks>
  <pageMargins left="0.7" right="0.7" top="0.78740157499999996" bottom="0.78740157499999996" header="0.3" footer="0.3"/>
  <pageSetup paperSize="9" scale="29" orientation="portrait"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"/>
  <sheetViews>
    <sheetView workbookViewId="0">
      <selection activeCell="C6" sqref="C6"/>
    </sheetView>
  </sheetViews>
  <sheetFormatPr baseColWidth="10" defaultRowHeight="15" x14ac:dyDescent="0.25"/>
  <sheetData>
    <row r="2" spans="1:1" x14ac:dyDescent="0.25">
      <c r="A2" s="50" t="s">
        <v>375</v>
      </c>
    </row>
  </sheetData>
  <hyperlinks>
    <hyperlink ref="A2" r:id="rId1"/>
  </hyperlinks>
  <pageMargins left="0.7" right="0.7" top="0.78740157499999996" bottom="0.78740157499999996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>
    <row r="1" spans="1:1" x14ac:dyDescent="0.25">
      <c r="A1" s="50" t="s">
        <v>375</v>
      </c>
    </row>
  </sheetData>
  <hyperlinks>
    <hyperlink ref="A1" r:id="rId1"/>
  </hyperlinks>
  <pageMargins left="0.7" right="0.7" top="0.78740157499999996" bottom="0.78740157499999996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6" sqref="C6"/>
    </sheetView>
  </sheetViews>
  <sheetFormatPr baseColWidth="10" defaultRowHeight="15" x14ac:dyDescent="0.25"/>
  <sheetData>
    <row r="1" spans="1:1" x14ac:dyDescent="0.25">
      <c r="A1" s="50" t="s">
        <v>375</v>
      </c>
    </row>
  </sheetData>
  <hyperlinks>
    <hyperlink ref="A1" r:id="rId1"/>
  </hyperlink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K165"/>
  <sheetViews>
    <sheetView zoomScale="85" zoomScaleNormal="85" workbookViewId="0">
      <pane ySplit="8" topLeftCell="A24" activePane="bottomLeft" state="frozen"/>
      <selection activeCell="J1" sqref="J1"/>
      <selection pane="bottomLeft" activeCell="T48" sqref="T48"/>
    </sheetView>
  </sheetViews>
  <sheetFormatPr baseColWidth="10" defaultRowHeight="15" x14ac:dyDescent="0.25"/>
  <cols>
    <col min="1" max="1" width="5.42578125" style="379" customWidth="1"/>
    <col min="2" max="2" width="13.42578125" customWidth="1"/>
    <col min="3" max="3" width="10" customWidth="1"/>
    <col min="4" max="4" width="10.5703125" customWidth="1"/>
    <col min="5" max="5" width="16.85546875" customWidth="1"/>
    <col min="6" max="6" width="10.28515625" customWidth="1"/>
    <col min="7" max="7" width="15.7109375" customWidth="1"/>
    <col min="8" max="8" width="11.7109375" style="86" customWidth="1"/>
    <col min="9" max="9" width="13.28515625" style="86" customWidth="1"/>
    <col min="10" max="11" width="11.7109375" style="86" customWidth="1"/>
    <col min="12" max="12" width="14.28515625" style="144" customWidth="1"/>
    <col min="13" max="13" width="11.140625" style="86" customWidth="1"/>
    <col min="14" max="14" width="11.7109375" style="144" customWidth="1"/>
    <col min="15" max="15" width="11.85546875" style="86" customWidth="1"/>
    <col min="16" max="16" width="14.5703125" style="485" customWidth="1"/>
    <col min="17" max="17" width="6.7109375" style="57" bestFit="1" customWidth="1"/>
    <col min="18" max="18" width="10.7109375" style="55" customWidth="1"/>
    <col min="19" max="19" width="11.28515625" customWidth="1"/>
    <col min="20" max="33" width="8.7109375" customWidth="1"/>
    <col min="34" max="34" width="12.140625" style="152" customWidth="1"/>
    <col min="35" max="36" width="11.28515625" bestFit="1" customWidth="1"/>
    <col min="37" max="37" width="20.5703125" customWidth="1"/>
  </cols>
  <sheetData>
    <row r="1" spans="1:37" s="86" customFormat="1" ht="16.5" customHeight="1" x14ac:dyDescent="0.25">
      <c r="A1" s="144"/>
      <c r="B1" s="769" t="s">
        <v>346</v>
      </c>
      <c r="C1" s="770"/>
      <c r="D1" s="770"/>
      <c r="E1" s="770"/>
      <c r="F1" s="771"/>
      <c r="G1" s="496" t="s">
        <v>346</v>
      </c>
      <c r="H1" s="497"/>
      <c r="I1" s="497"/>
      <c r="J1" s="497"/>
      <c r="K1" s="497"/>
      <c r="L1" s="498"/>
      <c r="M1" s="420" t="s">
        <v>346</v>
      </c>
      <c r="N1" s="421"/>
      <c r="O1" s="351" t="s">
        <v>52</v>
      </c>
      <c r="P1" s="473"/>
      <c r="Q1" s="93"/>
      <c r="R1" s="153"/>
      <c r="T1" s="346">
        <f>SUM(T52:T54)/SUM($AH52:$AH54)</f>
        <v>2.0517275573966948E-2</v>
      </c>
      <c r="U1" s="346">
        <f t="shared" ref="U1:AG1" si="0">SUM(U52:U54)/SUM($AH52:$AH54)</f>
        <v>0.13670734739141491</v>
      </c>
      <c r="V1" s="346">
        <f t="shared" si="0"/>
        <v>0</v>
      </c>
      <c r="W1" s="346">
        <f t="shared" si="0"/>
        <v>2.5028562170557366E-3</v>
      </c>
      <c r="X1" s="346">
        <f t="shared" si="0"/>
        <v>0.80479676863384841</v>
      </c>
      <c r="Y1" s="346">
        <f t="shared" si="0"/>
        <v>0</v>
      </c>
      <c r="Z1" s="346">
        <f t="shared" si="0"/>
        <v>0</v>
      </c>
      <c r="AA1" s="346">
        <f t="shared" si="0"/>
        <v>6.1789262858563494E-3</v>
      </c>
      <c r="AB1" s="346">
        <f t="shared" si="0"/>
        <v>9.9415907103809886E-3</v>
      </c>
      <c r="AC1" s="346">
        <f t="shared" si="0"/>
        <v>1.8637340044861467E-2</v>
      </c>
      <c r="AD1" s="346">
        <f t="shared" si="0"/>
        <v>7.1789514261531731E-4</v>
      </c>
      <c r="AE1" s="346">
        <f t="shared" si="0"/>
        <v>0</v>
      </c>
      <c r="AF1" s="346">
        <f t="shared" si="0"/>
        <v>0</v>
      </c>
      <c r="AG1" s="346">
        <f t="shared" si="0"/>
        <v>0</v>
      </c>
      <c r="AH1" s="146"/>
    </row>
    <row r="2" spans="1:37" ht="18" customHeight="1" x14ac:dyDescent="0.25">
      <c r="B2" s="762" t="s">
        <v>335</v>
      </c>
      <c r="C2" s="762"/>
      <c r="D2" s="762"/>
      <c r="E2" s="762"/>
      <c r="F2" s="763"/>
      <c r="G2" s="361" t="s">
        <v>336</v>
      </c>
      <c r="H2" s="96"/>
      <c r="I2" s="96"/>
      <c r="J2" s="96"/>
      <c r="K2" s="96"/>
      <c r="M2" s="415" t="s">
        <v>336</v>
      </c>
      <c r="N2" s="417"/>
      <c r="O2" s="144"/>
      <c r="P2" s="473"/>
      <c r="Q2" s="93"/>
      <c r="R2" s="153"/>
      <c r="S2" s="86"/>
      <c r="T2" s="728" t="s">
        <v>269</v>
      </c>
      <c r="U2" s="728"/>
      <c r="V2" s="728"/>
      <c r="W2" s="728"/>
      <c r="X2" s="728"/>
      <c r="Y2" s="728"/>
      <c r="Z2" s="728"/>
      <c r="AA2" s="728"/>
      <c r="AB2" s="728"/>
      <c r="AC2" s="728"/>
      <c r="AD2" s="728"/>
      <c r="AE2" s="728"/>
      <c r="AF2" s="728"/>
      <c r="AG2" s="728"/>
      <c r="AH2" s="146"/>
      <c r="AI2" s="86"/>
      <c r="AJ2" s="86"/>
      <c r="AK2" s="86"/>
    </row>
    <row r="3" spans="1:37" ht="18.75" customHeight="1" x14ac:dyDescent="0.25">
      <c r="B3" s="772" t="s">
        <v>380</v>
      </c>
      <c r="C3" s="772"/>
      <c r="D3" s="772"/>
      <c r="E3" s="772"/>
      <c r="F3" s="773"/>
      <c r="G3" s="411" t="s">
        <v>335</v>
      </c>
      <c r="H3" s="412"/>
      <c r="I3" s="412"/>
      <c r="J3" s="412"/>
      <c r="K3" s="412"/>
      <c r="L3" s="413"/>
      <c r="M3" s="393" t="s">
        <v>335</v>
      </c>
      <c r="N3" s="350"/>
      <c r="O3" s="144" t="s">
        <v>52</v>
      </c>
      <c r="P3" s="474"/>
      <c r="Q3" s="93"/>
      <c r="R3" s="387" t="s">
        <v>375</v>
      </c>
      <c r="S3" s="86"/>
      <c r="T3" s="727" t="s">
        <v>267</v>
      </c>
      <c r="U3" s="727"/>
      <c r="V3" s="727"/>
      <c r="W3" s="727"/>
      <c r="X3" s="727" t="s">
        <v>268</v>
      </c>
      <c r="Y3" s="727"/>
      <c r="Z3" s="727"/>
      <c r="AA3" s="727"/>
      <c r="AB3" s="727"/>
      <c r="AC3" s="727"/>
      <c r="AD3" s="727"/>
      <c r="AE3" s="727"/>
      <c r="AF3" s="727"/>
      <c r="AG3" s="727"/>
      <c r="AH3" s="146"/>
      <c r="AI3" s="86"/>
      <c r="AJ3" s="86"/>
      <c r="AK3" s="86"/>
    </row>
    <row r="4" spans="1:37" ht="21.75" customHeight="1" x14ac:dyDescent="0.35">
      <c r="B4" s="759" t="s">
        <v>375</v>
      </c>
      <c r="C4" s="760"/>
      <c r="D4" s="760"/>
      <c r="E4" s="760"/>
      <c r="F4" s="761"/>
      <c r="G4" s="414" t="s">
        <v>364</v>
      </c>
      <c r="H4" s="392"/>
      <c r="I4" s="392"/>
      <c r="J4" s="392"/>
      <c r="K4" s="392"/>
      <c r="L4" s="391"/>
      <c r="M4" s="361" t="s">
        <v>364</v>
      </c>
      <c r="O4" s="144" t="s">
        <v>52</v>
      </c>
      <c r="P4" s="473"/>
      <c r="Q4" s="341"/>
      <c r="R4" s="418" t="s">
        <v>274</v>
      </c>
      <c r="S4" s="86"/>
      <c r="T4" s="732" t="s">
        <v>272</v>
      </c>
      <c r="U4" s="733"/>
      <c r="V4" s="733"/>
      <c r="W4" s="733"/>
      <c r="X4" s="733"/>
      <c r="Y4" s="733"/>
      <c r="Z4" s="733"/>
      <c r="AA4" s="733"/>
      <c r="AB4" s="733"/>
      <c r="AC4" s="733"/>
      <c r="AD4" s="733"/>
      <c r="AE4" s="733"/>
      <c r="AF4" s="733"/>
      <c r="AG4" s="734"/>
      <c r="AH4" s="146"/>
      <c r="AI4" s="86"/>
      <c r="AJ4" s="86"/>
      <c r="AK4" s="86"/>
    </row>
    <row r="5" spans="1:37" ht="18" customHeight="1" x14ac:dyDescent="0.25">
      <c r="B5" s="764" t="s">
        <v>381</v>
      </c>
      <c r="C5" s="765"/>
      <c r="D5" s="766"/>
      <c r="E5" s="502" t="s">
        <v>382</v>
      </c>
      <c r="F5" s="503"/>
      <c r="G5" s="467" t="s">
        <v>357</v>
      </c>
      <c r="H5" s="468"/>
      <c r="I5" s="469"/>
      <c r="J5" s="469"/>
      <c r="K5" s="469"/>
      <c r="L5" s="470"/>
      <c r="M5" s="414" t="s">
        <v>52</v>
      </c>
      <c r="N5" s="391"/>
      <c r="O5" s="144" t="s">
        <v>52</v>
      </c>
      <c r="P5" s="473"/>
      <c r="Q5" s="341"/>
      <c r="R5" s="357" t="s">
        <v>273</v>
      </c>
      <c r="S5" s="86"/>
      <c r="T5" s="735" t="s">
        <v>257</v>
      </c>
      <c r="U5" s="738" t="s">
        <v>256</v>
      </c>
      <c r="V5" s="739"/>
      <c r="W5" s="740"/>
      <c r="X5" s="747" t="s">
        <v>258</v>
      </c>
      <c r="Y5" s="748"/>
      <c r="Z5" s="748"/>
      <c r="AA5" s="748"/>
      <c r="AB5" s="748"/>
      <c r="AC5" s="748"/>
      <c r="AD5" s="748"/>
      <c r="AE5" s="748"/>
      <c r="AF5" s="748"/>
      <c r="AG5" s="749"/>
      <c r="AH5" s="146"/>
      <c r="AI5" s="86"/>
      <c r="AJ5" s="86"/>
      <c r="AK5" s="86"/>
    </row>
    <row r="6" spans="1:37" ht="17.25" customHeight="1" x14ac:dyDescent="0.25">
      <c r="B6" s="506" t="s">
        <v>337</v>
      </c>
      <c r="C6" s="506" t="s">
        <v>337</v>
      </c>
      <c r="D6" s="506" t="s">
        <v>337</v>
      </c>
      <c r="E6" s="506" t="s">
        <v>337</v>
      </c>
      <c r="F6" s="506" t="s">
        <v>337</v>
      </c>
      <c r="H6" s="415" t="s">
        <v>337</v>
      </c>
      <c r="I6" s="416"/>
      <c r="J6" s="416"/>
      <c r="K6" s="416"/>
      <c r="L6" s="417"/>
      <c r="M6" s="415" t="s">
        <v>337</v>
      </c>
      <c r="N6" s="417"/>
      <c r="O6" s="144"/>
      <c r="P6" s="473"/>
      <c r="Q6" s="341"/>
      <c r="R6" s="357">
        <v>2007</v>
      </c>
      <c r="S6" s="86"/>
      <c r="T6" s="736"/>
      <c r="U6" s="741"/>
      <c r="V6" s="742"/>
      <c r="W6" s="743"/>
      <c r="X6" s="750" t="s">
        <v>251</v>
      </c>
      <c r="Y6" s="751"/>
      <c r="Z6" s="751"/>
      <c r="AA6" s="751"/>
      <c r="AB6" s="751"/>
      <c r="AC6" s="752"/>
      <c r="AD6" s="750" t="s">
        <v>252</v>
      </c>
      <c r="AE6" s="751"/>
      <c r="AF6" s="751"/>
      <c r="AG6" s="752"/>
      <c r="AH6" s="146"/>
      <c r="AI6" s="729" t="s">
        <v>276</v>
      </c>
      <c r="AJ6" s="730"/>
      <c r="AK6" s="731"/>
    </row>
    <row r="7" spans="1:37" ht="17.25" customHeight="1" x14ac:dyDescent="0.25">
      <c r="B7" s="507" t="s">
        <v>318</v>
      </c>
      <c r="C7" s="507" t="s">
        <v>324</v>
      </c>
      <c r="D7" s="507" t="s">
        <v>321</v>
      </c>
      <c r="E7" s="507" t="s">
        <v>332</v>
      </c>
      <c r="F7" s="507" t="s">
        <v>313</v>
      </c>
      <c r="G7" s="471" t="s">
        <v>369</v>
      </c>
      <c r="H7" s="392" t="s">
        <v>52</v>
      </c>
      <c r="I7" s="767" t="s">
        <v>372</v>
      </c>
      <c r="J7" s="768"/>
      <c r="K7" s="488"/>
      <c r="M7" s="86" t="s">
        <v>52</v>
      </c>
      <c r="N7" s="362" t="s">
        <v>333</v>
      </c>
      <c r="O7" s="362" t="s">
        <v>383</v>
      </c>
      <c r="P7" s="475"/>
      <c r="Q7" s="342"/>
      <c r="R7" s="419" t="s">
        <v>2</v>
      </c>
      <c r="S7" s="86"/>
      <c r="T7" s="737"/>
      <c r="U7" s="744"/>
      <c r="V7" s="745"/>
      <c r="W7" s="746"/>
      <c r="X7" s="756" t="s">
        <v>253</v>
      </c>
      <c r="Y7" s="757"/>
      <c r="Z7" s="757"/>
      <c r="AA7" s="758"/>
      <c r="AB7" s="753"/>
      <c r="AC7" s="755"/>
      <c r="AD7" s="753"/>
      <c r="AE7" s="754"/>
      <c r="AF7" s="754"/>
      <c r="AG7" s="755"/>
      <c r="AH7" s="147"/>
      <c r="AI7" s="142" t="s">
        <v>269</v>
      </c>
      <c r="AJ7" s="143" t="s">
        <v>267</v>
      </c>
      <c r="AK7" s="144"/>
    </row>
    <row r="8" spans="1:37" ht="17.25" customHeight="1" x14ac:dyDescent="0.25">
      <c r="A8" s="379" t="s">
        <v>353</v>
      </c>
      <c r="B8" s="506" t="s">
        <v>378</v>
      </c>
      <c r="C8" s="506" t="s">
        <v>376</v>
      </c>
      <c r="D8" s="506" t="s">
        <v>377</v>
      </c>
      <c r="E8" s="506" t="s">
        <v>373</v>
      </c>
      <c r="F8" s="506" t="s">
        <v>374</v>
      </c>
      <c r="G8" s="376" t="s">
        <v>368</v>
      </c>
      <c r="H8" s="402" t="s">
        <v>340</v>
      </c>
      <c r="I8" s="401" t="s">
        <v>360</v>
      </c>
      <c r="J8" s="401" t="s">
        <v>361</v>
      </c>
      <c r="K8" s="465" t="s">
        <v>363</v>
      </c>
      <c r="L8" s="394" t="s">
        <v>356</v>
      </c>
      <c r="M8" s="367" t="s">
        <v>340</v>
      </c>
      <c r="N8" s="355" t="s">
        <v>334</v>
      </c>
      <c r="O8" s="324" t="s">
        <v>339</v>
      </c>
      <c r="P8" s="155" t="s">
        <v>264</v>
      </c>
      <c r="Q8" s="71" t="s">
        <v>222</v>
      </c>
      <c r="R8" s="71" t="s">
        <v>262</v>
      </c>
      <c r="S8" s="71" t="s">
        <v>275</v>
      </c>
      <c r="T8" s="54" t="s">
        <v>186</v>
      </c>
      <c r="U8" s="54" t="s">
        <v>187</v>
      </c>
      <c r="V8" s="54" t="s">
        <v>188</v>
      </c>
      <c r="W8" s="54" t="s">
        <v>189</v>
      </c>
      <c r="X8" s="54" t="s">
        <v>201</v>
      </c>
      <c r="Y8" s="54" t="s">
        <v>202</v>
      </c>
      <c r="Z8" s="54" t="s">
        <v>203</v>
      </c>
      <c r="AA8" s="54" t="s">
        <v>204</v>
      </c>
      <c r="AB8" s="54" t="s">
        <v>205</v>
      </c>
      <c r="AC8" s="54" t="s">
        <v>206</v>
      </c>
      <c r="AD8" s="54" t="s">
        <v>207</v>
      </c>
      <c r="AE8" s="54" t="s">
        <v>208</v>
      </c>
      <c r="AF8" s="54" t="s">
        <v>209</v>
      </c>
      <c r="AG8" s="54" t="s">
        <v>210</v>
      </c>
      <c r="AH8" s="148" t="s">
        <v>250</v>
      </c>
      <c r="AI8" s="112" t="s">
        <v>270</v>
      </c>
      <c r="AJ8" s="112" t="s">
        <v>270</v>
      </c>
      <c r="AK8" s="145" t="s">
        <v>271</v>
      </c>
    </row>
    <row r="9" spans="1:37" x14ac:dyDescent="0.25">
      <c r="B9" s="504">
        <v>12.349</v>
      </c>
      <c r="C9" s="504">
        <v>5.25</v>
      </c>
      <c r="D9" s="505">
        <v>49.747</v>
      </c>
      <c r="E9" s="490">
        <v>7.6</v>
      </c>
      <c r="F9" s="490">
        <v>39.700000000000003</v>
      </c>
      <c r="G9" s="425" t="s">
        <v>357</v>
      </c>
      <c r="H9" s="389">
        <f>L9*O9</f>
        <v>0.29473338532900945</v>
      </c>
      <c r="I9" s="398">
        <v>24.361000000000001</v>
      </c>
      <c r="J9" s="396">
        <v>8.9749999999999996</v>
      </c>
      <c r="K9" s="396">
        <f>0.8*J9</f>
        <v>7.18</v>
      </c>
      <c r="L9" s="390">
        <f>K9/I9</f>
        <v>0.29473338532900945</v>
      </c>
      <c r="M9" s="368">
        <f>N9*O9</f>
        <v>0.92757009345794394</v>
      </c>
      <c r="N9" s="358">
        <f>39.7/(39.7+3.1)</f>
        <v>0.92757009345794394</v>
      </c>
      <c r="O9" s="360">
        <f>AH9/AH9</f>
        <v>1</v>
      </c>
      <c r="P9" s="476" t="str">
        <f>'Table 1.2 complete'!A6</f>
        <v>Germany</v>
      </c>
      <c r="Q9" s="190">
        <f>'Table 1.2 complete'!B6</f>
        <v>12</v>
      </c>
      <c r="R9" s="160" t="s">
        <v>238</v>
      </c>
      <c r="S9" s="120">
        <f>'Table 1.2 complete'!D6</f>
        <v>1</v>
      </c>
      <c r="T9" s="109">
        <f>'Table 1.2 complete'!E6</f>
        <v>140.53</v>
      </c>
      <c r="U9" s="109">
        <f>'Table 1.2 complete'!F6</f>
        <v>28.46</v>
      </c>
      <c r="V9" s="109" t="str">
        <f>'Table 1.2 complete'!G6</f>
        <v>-</v>
      </c>
      <c r="W9" s="109">
        <f>'Table 1.2 complete'!H6</f>
        <v>42.79</v>
      </c>
      <c r="X9" s="109">
        <f>'Table 1.3 complete'!E6</f>
        <v>132.27000000000001</v>
      </c>
      <c r="Y9" s="109">
        <f>'Table 1.3 complete'!F6</f>
        <v>167.51</v>
      </c>
      <c r="Z9" s="109" t="str">
        <f>'Table 1.3 complete'!G6</f>
        <v>-</v>
      </c>
      <c r="AA9" s="109">
        <f>'Table 1.3 complete'!H6</f>
        <v>10.78</v>
      </c>
      <c r="AB9" s="109">
        <f>'Table 1.3 complete'!I6</f>
        <v>11.08</v>
      </c>
      <c r="AC9" s="109">
        <f>'Table 1.3 complete'!J6</f>
        <v>72.91</v>
      </c>
      <c r="AD9" s="109">
        <f>'Table 1.3 complete'!K6</f>
        <v>10.38</v>
      </c>
      <c r="AE9" s="109">
        <f>'Table 1.3 complete'!L6</f>
        <v>0.68</v>
      </c>
      <c r="AF9" s="109">
        <f>'Table 1.3 complete'!M6</f>
        <v>8.26</v>
      </c>
      <c r="AG9" s="109">
        <f>'Table 1.3 complete'!N6</f>
        <v>11.44</v>
      </c>
      <c r="AH9" s="149">
        <f>SUM(T9:AG9)</f>
        <v>637.09</v>
      </c>
      <c r="AI9" s="106">
        <f>AH9-'Table 1.1 complete'!E6</f>
        <v>-9.9999999999909051E-3</v>
      </c>
      <c r="AJ9" s="113">
        <f>AH9-'Table 1.2 complete'!K6</f>
        <v>-9.9999999999909051E-3</v>
      </c>
      <c r="AK9" s="106">
        <f>'Table 1.2 complete'!K6-'Table 1.1 complete'!E6</f>
        <v>0</v>
      </c>
    </row>
    <row r="10" spans="1:37" x14ac:dyDescent="0.25">
      <c r="B10" s="504">
        <v>0.74099999999999999</v>
      </c>
      <c r="C10" s="504">
        <v>0.90400000000000003</v>
      </c>
      <c r="D10" s="504">
        <v>20.071000000000002</v>
      </c>
      <c r="E10" s="490">
        <v>5.5</v>
      </c>
      <c r="F10" s="490">
        <v>4.0999999999999996</v>
      </c>
      <c r="G10" s="425" t="s">
        <v>358</v>
      </c>
      <c r="H10" s="388">
        <f>L10*O10</f>
        <v>9.7324001646768216E-2</v>
      </c>
      <c r="I10" s="399">
        <v>63.154000000000003</v>
      </c>
      <c r="J10" s="397">
        <v>7.6829999999999998</v>
      </c>
      <c r="K10" s="397">
        <f>0.8*J10</f>
        <v>6.1463999999999999</v>
      </c>
      <c r="L10" s="353">
        <f>K10/I10</f>
        <v>9.7324001646768216E-2</v>
      </c>
      <c r="M10" s="356">
        <f>N10*O10</f>
        <v>0.999</v>
      </c>
      <c r="N10" s="354">
        <f>0.999</f>
        <v>0.999</v>
      </c>
      <c r="O10" s="345">
        <f>AH10/AH10</f>
        <v>1</v>
      </c>
      <c r="P10" s="477" t="str">
        <f>'Table 1.2 complete'!A7</f>
        <v>France</v>
      </c>
      <c r="Q10" s="195">
        <f>'Table 1.2 complete'!B7</f>
        <v>11</v>
      </c>
      <c r="R10" s="165" t="s">
        <v>249</v>
      </c>
      <c r="S10" s="125">
        <f>'Table 1.2 complete'!D7</f>
        <v>2</v>
      </c>
      <c r="T10" s="109">
        <f>'Table 1.2 complete'!E7</f>
        <v>439.73</v>
      </c>
      <c r="U10" s="109">
        <f>'Table 1.2 complete'!F7</f>
        <v>63.66</v>
      </c>
      <c r="V10" s="109" t="str">
        <f>'Table 1.2 complete'!G7</f>
        <v>-</v>
      </c>
      <c r="W10" s="109">
        <f>'Table 1.2 complete'!H7</f>
        <v>4.59</v>
      </c>
      <c r="X10" s="109">
        <f>'Table 1.3 complete'!E7</f>
        <v>24.45</v>
      </c>
      <c r="Y10" s="109" t="str">
        <f>'Table 1.3 complete'!F7</f>
        <v>-</v>
      </c>
      <c r="Z10" s="109" t="str">
        <f>'Table 1.3 complete'!G7</f>
        <v>-</v>
      </c>
      <c r="AA10" s="109">
        <f>'Table 1.3 complete'!H7</f>
        <v>3.75</v>
      </c>
      <c r="AB10" s="109">
        <f>'Table 1.3 complete'!I7</f>
        <v>6.16</v>
      </c>
      <c r="AC10" s="109">
        <f>'Table 1.3 complete'!J7</f>
        <v>21.99</v>
      </c>
      <c r="AD10" s="109">
        <f>'Table 1.3 complete'!K7</f>
        <v>1.37</v>
      </c>
      <c r="AE10" s="109" t="str">
        <f>'Table 1.3 complete'!L7</f>
        <v>-</v>
      </c>
      <c r="AF10" s="109">
        <f>'Table 1.3 complete'!M7</f>
        <v>3.51</v>
      </c>
      <c r="AG10" s="109">
        <f>'Table 1.3 complete'!N7</f>
        <v>0.64</v>
      </c>
      <c r="AH10" s="149">
        <f>SUM(T10:AG10)</f>
        <v>569.84999999999991</v>
      </c>
      <c r="AI10" s="106">
        <f>AH10-'Table 1.1 complete'!E7</f>
        <v>4.9999999999954525E-2</v>
      </c>
      <c r="AJ10" s="113">
        <f>AH10-'Table 1.2 complete'!K7</f>
        <v>9.9999999998772182E-3</v>
      </c>
      <c r="AK10" s="106">
        <f>'Table 1.2 complete'!K7-'Table 1.1 complete'!E7</f>
        <v>4.0000000000077307E-2</v>
      </c>
    </row>
    <row r="11" spans="1:37" x14ac:dyDescent="0.25">
      <c r="B11" s="504">
        <v>0.39300000000000002</v>
      </c>
      <c r="C11" s="504">
        <v>0.85799999999999998</v>
      </c>
      <c r="D11" s="504">
        <v>7.101</v>
      </c>
      <c r="E11" s="490">
        <v>2.5</v>
      </c>
      <c r="F11" s="490">
        <v>2</v>
      </c>
      <c r="G11" s="425" t="s">
        <v>359</v>
      </c>
      <c r="H11" s="388">
        <f>L11*O11</f>
        <v>6.8657488575288139E-2</v>
      </c>
      <c r="I11" s="399">
        <v>34.792999999999999</v>
      </c>
      <c r="J11" s="397">
        <v>2.9860000000000002</v>
      </c>
      <c r="K11" s="397">
        <f>0.8*J11</f>
        <v>2.3888000000000003</v>
      </c>
      <c r="L11" s="353">
        <f>K11/I11</f>
        <v>6.8657488575288139E-2</v>
      </c>
      <c r="M11" s="356">
        <f>N11*O11</f>
        <v>0.99502487562189068</v>
      </c>
      <c r="N11" s="347">
        <f>2/(2+0.01)</f>
        <v>0.99502487562189068</v>
      </c>
      <c r="O11" s="345">
        <f>AH11/AH11</f>
        <v>1</v>
      </c>
      <c r="P11" s="478" t="str">
        <f>'Table 1.2 complete'!A8</f>
        <v>Austria</v>
      </c>
      <c r="Q11" s="186">
        <f>'Table 1.2 complete'!B8</f>
        <v>5</v>
      </c>
      <c r="R11" s="156" t="s">
        <v>229</v>
      </c>
      <c r="S11" s="116">
        <f>'Table 1.2 complete'!D8</f>
        <v>3</v>
      </c>
      <c r="T11" s="109" t="str">
        <f>'Table 1.2 complete'!E8</f>
        <v>-</v>
      </c>
      <c r="U11" s="109">
        <f>'Table 1.2 complete'!F8</f>
        <v>38.49</v>
      </c>
      <c r="V11" s="109">
        <f>'Table 1.2 complete'!G8</f>
        <v>0</v>
      </c>
      <c r="W11" s="109">
        <f>'Table 1.2 complete'!H8</f>
        <v>2.0499999999999998</v>
      </c>
      <c r="X11" s="109">
        <f>'Table 1.3 complete'!E8</f>
        <v>6.26</v>
      </c>
      <c r="Y11" s="109" t="str">
        <f>'Table 1.3 complete'!F8</f>
        <v>-</v>
      </c>
      <c r="Z11" s="109" t="str">
        <f>'Table 1.3 complete'!G8</f>
        <v>-</v>
      </c>
      <c r="AA11" s="109">
        <f>'Table 1.3 complete'!H8</f>
        <v>1.33</v>
      </c>
      <c r="AB11" s="109">
        <f>'Table 1.3 complete'!I8</f>
        <v>1.28</v>
      </c>
      <c r="AC11" s="109">
        <f>'Table 1.3 complete'!J8</f>
        <v>9.8699999999999992</v>
      </c>
      <c r="AD11" s="109">
        <f>'Table 1.3 complete'!K8</f>
        <v>3.18</v>
      </c>
      <c r="AE11" s="109">
        <f>'Table 1.3 complete'!L8</f>
        <v>0.31</v>
      </c>
      <c r="AF11" s="109">
        <f>'Table 1.3 complete'!M8</f>
        <v>0.5</v>
      </c>
      <c r="AG11" s="109">
        <f>'Table 1.3 complete'!N8</f>
        <v>0.16</v>
      </c>
      <c r="AH11" s="149">
        <f>SUM(T11:AG11)</f>
        <v>63.429999999999993</v>
      </c>
      <c r="AI11" s="106">
        <f>AH11-'Table 1.1 complete'!E8</f>
        <v>2.9999999999994031E-2</v>
      </c>
      <c r="AJ11" s="113">
        <f>AH11-'Table 1.2 complete'!K8</f>
        <v>0</v>
      </c>
      <c r="AK11" s="106">
        <f>'Table 1.2 complete'!K8-'Table 1.1 complete'!E8</f>
        <v>3.0000000000001137E-2</v>
      </c>
    </row>
    <row r="12" spans="1:37" ht="15.75" thickBot="1" x14ac:dyDescent="0.3">
      <c r="B12" s="504">
        <v>0</v>
      </c>
      <c r="C12" s="504">
        <v>0.14599999999999999</v>
      </c>
      <c r="D12" s="504">
        <v>0.75</v>
      </c>
      <c r="E12" s="490">
        <v>1.5</v>
      </c>
      <c r="F12" s="490">
        <v>0</v>
      </c>
      <c r="G12" s="425" t="s">
        <v>379</v>
      </c>
      <c r="H12" s="424">
        <f>L12*O12</f>
        <v>5.7845104885491994E-2</v>
      </c>
      <c r="I12" s="399">
        <v>36.372999999999998</v>
      </c>
      <c r="J12" s="397">
        <v>2.1040000000000001</v>
      </c>
      <c r="K12" s="397">
        <f>0.8*J12</f>
        <v>1.6832000000000003</v>
      </c>
      <c r="L12" s="423">
        <f>1*J12/I12</f>
        <v>5.7845104885491994E-2</v>
      </c>
      <c r="M12" s="356">
        <f>N12*O12</f>
        <v>0.5</v>
      </c>
      <c r="N12" s="352">
        <f>0.5</f>
        <v>0.5</v>
      </c>
      <c r="O12" s="345">
        <f>AH12/AH12</f>
        <v>1</v>
      </c>
      <c r="P12" s="479" t="str">
        <f>'Table 1.2 complete'!A9</f>
        <v>Switzerland</v>
      </c>
      <c r="Q12" s="210">
        <f>'Table 1.2 complete'!B9</f>
        <v>30</v>
      </c>
      <c r="R12" s="179" t="s">
        <v>246</v>
      </c>
      <c r="S12" s="138">
        <f>'Table 1.2 complete'!D9</f>
        <v>4</v>
      </c>
      <c r="T12" s="109">
        <f>'Table 1.2 complete'!E9</f>
        <v>27.93</v>
      </c>
      <c r="U12" s="109">
        <f>'Table 1.2 complete'!F9</f>
        <v>36.74</v>
      </c>
      <c r="V12" s="109" t="str">
        <f>'Table 1.2 complete'!G9</f>
        <v>-</v>
      </c>
      <c r="W12" s="109">
        <f>'Table 1.2 complete'!H9</f>
        <v>0.04</v>
      </c>
      <c r="X12" s="109" t="str">
        <f>'Table 1.3 complete'!E9</f>
        <v>-</v>
      </c>
      <c r="Y12" s="109" t="str">
        <f>'Table 1.3 complete'!F9</f>
        <v>-</v>
      </c>
      <c r="Z12" s="109" t="str">
        <f>'Table 1.3 complete'!G9</f>
        <v>-</v>
      </c>
      <c r="AA12" s="109" t="str">
        <f>'Table 1.3 complete'!H9</f>
        <v>-</v>
      </c>
      <c r="AB12" s="109">
        <f>'Table 1.3 complete'!I9</f>
        <v>0.19</v>
      </c>
      <c r="AC12" s="109">
        <f>'Table 1.3 complete'!J9</f>
        <v>0.75</v>
      </c>
      <c r="AD12" s="109">
        <f>'Table 1.3 complete'!K9</f>
        <v>0.13</v>
      </c>
      <c r="AE12" s="109">
        <f>'Table 1.3 complete'!L9</f>
        <v>0.23</v>
      </c>
      <c r="AF12" s="109">
        <f>'Table 1.3 complete'!M9</f>
        <v>1.78</v>
      </c>
      <c r="AG12" s="109">
        <f>'Table 1.3 complete'!N9</f>
        <v>0.17</v>
      </c>
      <c r="AH12" s="149">
        <f>SUM(T12:AG12)</f>
        <v>67.960000000000008</v>
      </c>
      <c r="AI12" s="106">
        <f>AH12-'Table 1.1 complete'!E9</f>
        <v>-3.9999999999992042E-2</v>
      </c>
      <c r="AJ12" s="113">
        <f>AH12-'Table 1.2 complete'!K9</f>
        <v>1.0000000000005116E-2</v>
      </c>
      <c r="AK12" s="106">
        <f>'Table 1.2 complete'!K9-'Table 1.1 complete'!E9</f>
        <v>-4.9999999999997158E-2</v>
      </c>
    </row>
    <row r="13" spans="1:37" x14ac:dyDescent="0.25">
      <c r="B13" s="871">
        <v>0.113</v>
      </c>
      <c r="C13" s="871">
        <v>0.128</v>
      </c>
      <c r="D13" s="871">
        <v>9.5980000000000008</v>
      </c>
      <c r="E13" s="872">
        <v>1.3</v>
      </c>
      <c r="F13" s="872">
        <v>0.5</v>
      </c>
      <c r="G13" s="873" t="s">
        <v>362</v>
      </c>
      <c r="H13" s="389">
        <f>L13*O13</f>
        <v>7.909605601655964E-2</v>
      </c>
      <c r="I13" s="398">
        <v>1.6739999999999999</v>
      </c>
      <c r="J13" s="396">
        <v>1.716</v>
      </c>
      <c r="K13" s="396">
        <f>0.8*J13</f>
        <v>1.3728</v>
      </c>
      <c r="L13" s="390">
        <f>K13/I13</f>
        <v>0.82007168458781365</v>
      </c>
      <c r="M13" s="368">
        <f>N13*O13</f>
        <v>9.6450173202011089E-2</v>
      </c>
      <c r="N13" s="358">
        <f>1</f>
        <v>1</v>
      </c>
      <c r="O13" s="360">
        <f>AH13/SUM(AH$13:AH$24)</f>
        <v>9.6450173202011089E-2</v>
      </c>
      <c r="P13" s="631" t="str">
        <f>'Table 1.2 complete'!A10</f>
        <v>Belgium</v>
      </c>
      <c r="Q13" s="632">
        <f>'Table 1.2 complete'!B10</f>
        <v>6</v>
      </c>
      <c r="R13" s="633" t="s">
        <v>236</v>
      </c>
      <c r="S13" s="634">
        <f>'Table 1.2 complete'!D10</f>
        <v>5</v>
      </c>
      <c r="T13" s="635">
        <f>'Table 1.2 complete'!E10</f>
        <v>48.23</v>
      </c>
      <c r="U13" s="636">
        <f>'Table 1.2 complete'!F10</f>
        <v>1.68</v>
      </c>
      <c r="V13" s="636" t="str">
        <f>'Table 1.2 complete'!G10</f>
        <v>-</v>
      </c>
      <c r="W13" s="636">
        <f>'Table 1.2 complete'!H10</f>
        <v>0.74</v>
      </c>
      <c r="X13" s="636">
        <f>'Table 1.3 complete'!E10</f>
        <v>6.47</v>
      </c>
      <c r="Y13" s="636" t="str">
        <f>'Table 1.3 complete'!F10</f>
        <v>-</v>
      </c>
      <c r="Z13" s="636" t="str">
        <f>'Table 1.3 complete'!G10</f>
        <v>-</v>
      </c>
      <c r="AA13" s="636">
        <f>'Table 1.3 complete'!H10</f>
        <v>1.85</v>
      </c>
      <c r="AB13" s="636">
        <f>'Table 1.3 complete'!I10</f>
        <v>0.81</v>
      </c>
      <c r="AC13" s="636">
        <f>'Table 1.3 complete'!J10</f>
        <v>25.39</v>
      </c>
      <c r="AD13" s="636">
        <f>'Table 1.3 complete'!K10</f>
        <v>1.82</v>
      </c>
      <c r="AE13" s="636">
        <f>'Table 1.3 complete'!L10</f>
        <v>0.53</v>
      </c>
      <c r="AF13" s="636">
        <f>'Table 1.3 complete'!M10</f>
        <v>0.81</v>
      </c>
      <c r="AG13" s="636">
        <f>'Table 1.3 complete'!N10</f>
        <v>0.49</v>
      </c>
      <c r="AH13" s="637">
        <f>SUM(T13:AG13)</f>
        <v>88.82</v>
      </c>
      <c r="AI13" s="638">
        <f>AH13-'Table 1.1 complete'!E10</f>
        <v>1.9999999999996021E-2</v>
      </c>
      <c r="AJ13" s="639">
        <f>AH13-'Table 1.2 complete'!K10</f>
        <v>0</v>
      </c>
      <c r="AK13" s="638">
        <f>'Table 1.2 complete'!K10-'Table 1.1 complete'!E10</f>
        <v>1.9999999999996021E-2</v>
      </c>
    </row>
    <row r="14" spans="1:37" x14ac:dyDescent="0.25">
      <c r="B14" s="504">
        <v>19.898</v>
      </c>
      <c r="C14" s="504">
        <v>1.252</v>
      </c>
      <c r="D14" s="504">
        <v>6.9130000000000003</v>
      </c>
      <c r="E14" s="487">
        <v>0</v>
      </c>
      <c r="F14" s="490">
        <v>7.2</v>
      </c>
      <c r="G14" s="379"/>
      <c r="H14" s="359">
        <f>L14*O14</f>
        <v>0</v>
      </c>
      <c r="I14" s="359"/>
      <c r="J14" s="356"/>
      <c r="K14" s="356"/>
      <c r="L14" s="347">
        <v>0</v>
      </c>
      <c r="M14" s="356">
        <f>N14*O14</f>
        <v>4.2524079966119732E-2</v>
      </c>
      <c r="N14" s="347">
        <f>1</f>
        <v>1</v>
      </c>
      <c r="O14" s="345">
        <f>AH14/SUM(AH$13:AH$24)</f>
        <v>4.2524079966119732E-2</v>
      </c>
      <c r="P14" s="480" t="str">
        <f>'Table 1.2 complete'!A11</f>
        <v>Denmark</v>
      </c>
      <c r="Q14" s="211">
        <f>'Table 1.2 complete'!B11</f>
        <v>9</v>
      </c>
      <c r="R14" s="180" t="s">
        <v>236</v>
      </c>
      <c r="S14" s="139">
        <f>'Table 1.2 complete'!D11</f>
        <v>5</v>
      </c>
      <c r="T14" s="109" t="str">
        <f>'Table 1.2 complete'!E11</f>
        <v>-</v>
      </c>
      <c r="U14" s="109">
        <f>'Table 1.2 complete'!F11</f>
        <v>0.03</v>
      </c>
      <c r="V14" s="109" t="str">
        <f>'Table 1.2 complete'!G11</f>
        <v>-</v>
      </c>
      <c r="W14" s="109">
        <f>'Table 1.2 complete'!H11</f>
        <v>7.18</v>
      </c>
      <c r="X14" s="109">
        <f>'Table 1.3 complete'!E11</f>
        <v>19.899999999999999</v>
      </c>
      <c r="Y14" s="109" t="str">
        <f>'Table 1.3 complete'!F11</f>
        <v>-</v>
      </c>
      <c r="Z14" s="109" t="str">
        <f>'Table 1.3 complete'!G11</f>
        <v>-</v>
      </c>
      <c r="AA14" s="109" t="str">
        <f>'Table 1.3 complete'!H11</f>
        <v>-</v>
      </c>
      <c r="AB14" s="109">
        <f>'Table 1.3 complete'!I11</f>
        <v>1.28</v>
      </c>
      <c r="AC14" s="109">
        <f>'Table 1.3 complete'!J11</f>
        <v>6.91</v>
      </c>
      <c r="AD14" s="109">
        <f>'Table 1.3 complete'!K11</f>
        <v>1.83</v>
      </c>
      <c r="AE14" s="109" t="str">
        <f>'Table 1.3 complete'!L11</f>
        <v>-</v>
      </c>
      <c r="AF14" s="109">
        <f>'Table 1.3 complete'!M11</f>
        <v>1.76</v>
      </c>
      <c r="AG14" s="109">
        <f>'Table 1.3 complete'!N11</f>
        <v>0.27</v>
      </c>
      <c r="AH14" s="149">
        <f>SUM(T14:AG14)</f>
        <v>39.159999999999997</v>
      </c>
      <c r="AI14" s="106">
        <f>AH14-'Table 1.1 complete'!E11</f>
        <v>-4.0000000000006253E-2</v>
      </c>
      <c r="AJ14" s="113">
        <f>AH14-'Table 1.2 complete'!K11</f>
        <v>9.9999999999980105E-3</v>
      </c>
      <c r="AK14" s="106">
        <f>'Table 1.2 complete'!K11-'Table 1.1 complete'!E11</f>
        <v>-5.0000000000004263E-2</v>
      </c>
    </row>
    <row r="15" spans="1:37" x14ac:dyDescent="0.25">
      <c r="B15" s="511">
        <v>0</v>
      </c>
      <c r="C15" s="511">
        <v>0</v>
      </c>
      <c r="D15" s="511">
        <v>0.4</v>
      </c>
      <c r="E15" s="487">
        <f>0*U15</f>
        <v>0</v>
      </c>
      <c r="F15" s="487">
        <f>1*W15</f>
        <v>0.09</v>
      </c>
      <c r="G15" s="379"/>
      <c r="H15" s="359">
        <f>L15*O15</f>
        <v>0</v>
      </c>
      <c r="I15" s="359"/>
      <c r="J15" s="356"/>
      <c r="K15" s="356"/>
      <c r="L15" s="347">
        <v>0</v>
      </c>
      <c r="M15" s="356">
        <f>N15*O15</f>
        <v>1.3226335392935093E-2</v>
      </c>
      <c r="N15" s="347">
        <f>1</f>
        <v>1</v>
      </c>
      <c r="O15" s="345">
        <f>AH15/SUM(AH$13:AH$24)</f>
        <v>1.3226335392935093E-2</v>
      </c>
      <c r="P15" s="480" t="str">
        <f>'Table 1.2 complete'!A12</f>
        <v>Estonia</v>
      </c>
      <c r="Q15" s="211">
        <f>'Table 1.2 complete'!B12</f>
        <v>128</v>
      </c>
      <c r="R15" s="180" t="s">
        <v>236</v>
      </c>
      <c r="S15" s="139">
        <f>'Table 1.2 complete'!D12</f>
        <v>5</v>
      </c>
      <c r="T15" s="109" t="str">
        <f>'Table 1.2 complete'!E12</f>
        <v>-</v>
      </c>
      <c r="U15" s="109">
        <f>'Table 1.2 complete'!F12</f>
        <v>0.02</v>
      </c>
      <c r="V15" s="109" t="str">
        <f>'Table 1.2 complete'!G12</f>
        <v>-</v>
      </c>
      <c r="W15" s="109">
        <f>'Table 1.2 complete'!H12</f>
        <v>0.09</v>
      </c>
      <c r="X15" s="109" t="str">
        <f>'Table 1.3 complete'!E12</f>
        <v>-</v>
      </c>
      <c r="Y15" s="109">
        <f>'Table 1.3 complete'!F12</f>
        <v>11.4</v>
      </c>
      <c r="Z15" s="109">
        <f>'Table 1.3 complete'!G12</f>
        <v>0.02</v>
      </c>
      <c r="AA15" s="109" t="str">
        <f>'Table 1.3 complete'!H12</f>
        <v>-</v>
      </c>
      <c r="AB15" s="109">
        <f>'Table 1.3 complete'!I12</f>
        <v>0.03</v>
      </c>
      <c r="AC15" s="109">
        <f>'Table 1.3 complete'!J12</f>
        <v>0.59</v>
      </c>
      <c r="AD15" s="109">
        <f>'Table 1.3 complete'!K12</f>
        <v>0.02</v>
      </c>
      <c r="AE15" s="109" t="str">
        <f>'Table 1.3 complete'!L12</f>
        <v>-</v>
      </c>
      <c r="AF15" s="109" t="str">
        <f>'Table 1.3 complete'!M12</f>
        <v>-</v>
      </c>
      <c r="AG15" s="109">
        <f>'Table 1.3 complete'!N12</f>
        <v>0.01</v>
      </c>
      <c r="AH15" s="149">
        <f>SUM(T15:AG15)</f>
        <v>12.179999999999998</v>
      </c>
      <c r="AI15" s="106">
        <f>AH15-'Table 1.1 complete'!E12</f>
        <v>-2.000000000000135E-2</v>
      </c>
      <c r="AJ15" s="113">
        <f>AH15-'Table 1.2 complete'!K12</f>
        <v>-1.0000000000001563E-2</v>
      </c>
      <c r="AK15" s="106">
        <f>'Table 1.2 complete'!K12-'Table 1.1 complete'!E12</f>
        <v>-9.9999999999997868E-3</v>
      </c>
    </row>
    <row r="16" spans="1:37" s="495" customFormat="1" x14ac:dyDescent="0.25">
      <c r="A16" s="508"/>
      <c r="B16" s="504">
        <v>4.5819999999999999</v>
      </c>
      <c r="C16" s="504">
        <v>0.30499999999999999</v>
      </c>
      <c r="D16" s="504">
        <v>9.9969999999999999</v>
      </c>
      <c r="E16" s="487">
        <f>0.003*U16</f>
        <v>4.2540000000000001E-2</v>
      </c>
      <c r="F16" s="490">
        <v>0.2</v>
      </c>
      <c r="G16" s="379"/>
      <c r="H16" s="359">
        <f>L16*O16</f>
        <v>0</v>
      </c>
      <c r="I16" s="359"/>
      <c r="J16" s="356"/>
      <c r="K16" s="356"/>
      <c r="L16" s="347">
        <f>0</f>
        <v>0</v>
      </c>
      <c r="M16" s="356">
        <f>N16*O16</f>
        <v>8.8229864587518608E-2</v>
      </c>
      <c r="N16" s="347">
        <f>1</f>
        <v>1</v>
      </c>
      <c r="O16" s="644">
        <f>AH16/SUM(AH$13:AH$24)</f>
        <v>8.8229864587518608E-2</v>
      </c>
      <c r="P16" s="619" t="str">
        <f>'Table 1.2 complete'!A13</f>
        <v>Finland</v>
      </c>
      <c r="Q16" s="620">
        <f>'Table 1.2 complete'!B13</f>
        <v>10</v>
      </c>
      <c r="R16" s="621" t="s">
        <v>236</v>
      </c>
      <c r="S16" s="622">
        <v>5</v>
      </c>
      <c r="T16" s="491">
        <f>'Table 1.2 complete'!E13</f>
        <v>23.42</v>
      </c>
      <c r="U16" s="491">
        <f>'Table 1.2 complete'!F13</f>
        <v>14.18</v>
      </c>
      <c r="V16" s="491" t="str">
        <f>'Table 1.2 complete'!G13</f>
        <v>-</v>
      </c>
      <c r="W16" s="491">
        <f>'Table 1.2 complete'!H13</f>
        <v>0.57999999999999996</v>
      </c>
      <c r="X16" s="491">
        <f>'Table 1.3 complete'!E13</f>
        <v>13.96</v>
      </c>
      <c r="Y16" s="491">
        <f>'Table 1.3 complete'!F13</f>
        <v>0.01</v>
      </c>
      <c r="Z16" s="491">
        <f>'Table 1.3 complete'!G13</f>
        <v>7.4</v>
      </c>
      <c r="AA16" s="491">
        <f>'Table 1.3 complete'!H13</f>
        <v>0.59</v>
      </c>
      <c r="AB16" s="491">
        <f>'Table 1.3 complete'!I13</f>
        <v>0.47</v>
      </c>
      <c r="AC16" s="491">
        <f>'Table 1.3 complete'!J13</f>
        <v>10.54</v>
      </c>
      <c r="AD16" s="491">
        <f>'Table 1.3 complete'!K13</f>
        <v>9.66</v>
      </c>
      <c r="AE16" s="491">
        <f>'Table 1.3 complete'!L13</f>
        <v>0.04</v>
      </c>
      <c r="AF16" s="491">
        <f>'Table 1.3 complete'!M13</f>
        <v>0.37</v>
      </c>
      <c r="AG16" s="491">
        <f>'Table 1.3 complete'!N13</f>
        <v>0.03</v>
      </c>
      <c r="AH16" s="492">
        <f>SUM(T16:AG16)</f>
        <v>81.250000000000014</v>
      </c>
      <c r="AI16" s="493">
        <f>AH16-'Table 1.1 complete'!E13</f>
        <v>5.0000000000011369E-2</v>
      </c>
      <c r="AJ16" s="494">
        <f>AH16-'Table 1.2 complete'!K13</f>
        <v>0</v>
      </c>
      <c r="AK16" s="493">
        <f>'Table 1.2 complete'!K13-'Table 1.1 complete'!E13</f>
        <v>4.9999999999997158E-2</v>
      </c>
    </row>
    <row r="17" spans="1:37" x14ac:dyDescent="0.25">
      <c r="B17" s="612"/>
      <c r="C17" s="612"/>
      <c r="D17" s="612"/>
      <c r="E17" s="613"/>
      <c r="F17" s="613"/>
      <c r="G17" s="614" t="s">
        <v>365</v>
      </c>
      <c r="H17" s="641">
        <f>L17*O17</f>
        <v>1.7374496411080586E-9</v>
      </c>
      <c r="I17" s="614"/>
      <c r="J17" s="642"/>
      <c r="K17" s="642"/>
      <c r="L17" s="643">
        <v>1.0000000000000001E-5</v>
      </c>
      <c r="M17" s="642">
        <f>N17*O17</f>
        <v>1.7357121914669504E-4</v>
      </c>
      <c r="N17" s="643">
        <f>0.999</f>
        <v>0.999</v>
      </c>
      <c r="O17" s="345">
        <f>AH17/SUM(AH$13:AH$24)</f>
        <v>1.7374496411080585E-4</v>
      </c>
      <c r="P17" s="480" t="str">
        <f>'Table 1.2 complete'!A14</f>
        <v>Gibraltar</v>
      </c>
      <c r="Q17" s="211">
        <f>'Table 1.2 complete'!B14</f>
        <v>119</v>
      </c>
      <c r="R17" s="180" t="s">
        <v>236</v>
      </c>
      <c r="S17" s="139">
        <v>5</v>
      </c>
      <c r="T17" s="109" t="str">
        <f>'Table 1.2 complete'!E14</f>
        <v>-</v>
      </c>
      <c r="U17" s="109" t="str">
        <f>'Table 1.2 complete'!F14</f>
        <v>-</v>
      </c>
      <c r="V17" s="109" t="str">
        <f>'Table 1.2 complete'!G14</f>
        <v>-</v>
      </c>
      <c r="W17" s="109" t="str">
        <f>'Table 1.2 complete'!H14</f>
        <v>-</v>
      </c>
      <c r="X17" s="109" t="str">
        <f>'Table 1.3 complete'!E14</f>
        <v>-</v>
      </c>
      <c r="Y17" s="109" t="str">
        <f>'Table 1.3 complete'!F14</f>
        <v>-</v>
      </c>
      <c r="Z17" s="109" t="str">
        <f>'Table 1.3 complete'!G14</f>
        <v>-</v>
      </c>
      <c r="AA17" s="109" t="str">
        <f>'Table 1.3 complete'!H14</f>
        <v>-</v>
      </c>
      <c r="AB17" s="109">
        <f>'Table 1.3 complete'!I14</f>
        <v>0.16</v>
      </c>
      <c r="AC17" s="109" t="str">
        <f>'Table 1.3 complete'!J14</f>
        <v>-</v>
      </c>
      <c r="AD17" s="109" t="str">
        <f>'Table 1.3 complete'!K14</f>
        <v>-</v>
      </c>
      <c r="AE17" s="109" t="str">
        <f>'Table 1.3 complete'!L14</f>
        <v>-</v>
      </c>
      <c r="AF17" s="109" t="str">
        <f>'Table 1.3 complete'!M14</f>
        <v>-</v>
      </c>
      <c r="AG17" s="109" t="str">
        <f>'Table 1.3 complete'!N14</f>
        <v>-</v>
      </c>
      <c r="AH17" s="149">
        <f>SUM(T17:AG17)</f>
        <v>0.16</v>
      </c>
      <c r="AI17" s="106">
        <f>AH17-'Table 1.1 complete'!E14</f>
        <v>-4.0000000000000008E-2</v>
      </c>
      <c r="AJ17" s="113">
        <f>AH17-'Table 1.2 complete'!K14</f>
        <v>0</v>
      </c>
      <c r="AK17" s="106">
        <f>'Table 1.2 complete'!K14-'Table 1.1 complete'!E14</f>
        <v>-4.0000000000000008E-2</v>
      </c>
    </row>
    <row r="18" spans="1:37" x14ac:dyDescent="0.25">
      <c r="B18" s="504">
        <v>0</v>
      </c>
      <c r="C18" s="504">
        <v>4.3999999999999997E-2</v>
      </c>
      <c r="D18" s="504">
        <v>1.7230000000000001</v>
      </c>
      <c r="E18" s="490">
        <v>0.3</v>
      </c>
      <c r="F18" s="490">
        <v>1.96</v>
      </c>
      <c r="G18" s="466" t="s">
        <v>344</v>
      </c>
      <c r="H18" s="366">
        <f>L18*O18</f>
        <v>8.3604892105364481E-3</v>
      </c>
      <c r="I18" s="366"/>
      <c r="J18" s="395"/>
      <c r="K18" s="395"/>
      <c r="L18" s="348">
        <f>0.3/1.1</f>
        <v>0.27272727272727271</v>
      </c>
      <c r="M18" s="356">
        <f>N18*O18</f>
        <v>3.0655127105300311E-2</v>
      </c>
      <c r="N18" s="347">
        <f>1</f>
        <v>1</v>
      </c>
      <c r="O18" s="345">
        <f>AH18/SUM(AH$13:AH$24)</f>
        <v>3.0655127105300311E-2</v>
      </c>
      <c r="P18" s="480" t="str">
        <f>'Table 1.2 complete'!A15</f>
        <v>Ireland</v>
      </c>
      <c r="Q18" s="211">
        <f>'Table 1.2 complete'!B15</f>
        <v>16</v>
      </c>
      <c r="R18" s="180" t="s">
        <v>236</v>
      </c>
      <c r="S18" s="139">
        <v>5</v>
      </c>
      <c r="T18" s="109" t="str">
        <f>'Table 1.2 complete'!E15</f>
        <v>-</v>
      </c>
      <c r="U18" s="109">
        <f>'Table 1.2 complete'!F15</f>
        <v>1.02</v>
      </c>
      <c r="V18" s="109" t="str">
        <f>'Table 1.2 complete'!G15</f>
        <v>-</v>
      </c>
      <c r="W18" s="109">
        <f>'Table 1.2 complete'!H15</f>
        <v>1.96</v>
      </c>
      <c r="X18" s="109">
        <f>'Table 1.3 complete'!E15</f>
        <v>5.5</v>
      </c>
      <c r="Y18" s="109" t="str">
        <f>'Table 1.3 complete'!F15</f>
        <v>-</v>
      </c>
      <c r="Z18" s="109">
        <f>'Table 1.3 complete'!G15</f>
        <v>2.17</v>
      </c>
      <c r="AA18" s="109" t="str">
        <f>'Table 1.3 complete'!H15</f>
        <v>-</v>
      </c>
      <c r="AB18" s="109">
        <f>'Table 1.3 complete'!I15</f>
        <v>1.98</v>
      </c>
      <c r="AC18" s="109">
        <f>'Table 1.3 complete'!J15</f>
        <v>15.47</v>
      </c>
      <c r="AD18" s="109">
        <f>'Table 1.3 complete'!K15</f>
        <v>0.01</v>
      </c>
      <c r="AE18" s="109" t="str">
        <f>'Table 1.3 complete'!L15</f>
        <v>-</v>
      </c>
      <c r="AF18" s="109" t="str">
        <f>'Table 1.3 complete'!M15</f>
        <v>-</v>
      </c>
      <c r="AG18" s="109">
        <f>'Table 1.3 complete'!N15</f>
        <v>0.12</v>
      </c>
      <c r="AH18" s="149">
        <f>SUM(T18:AG18)</f>
        <v>28.230000000000004</v>
      </c>
      <c r="AI18" s="106">
        <f>AH18-'Table 1.1 complete'!E15</f>
        <v>3.000000000000469E-2</v>
      </c>
      <c r="AJ18" s="113">
        <f>AH18-'Table 1.2 complete'!K15</f>
        <v>0</v>
      </c>
      <c r="AK18" s="106">
        <f>'Table 1.2 complete'!K15-'Table 1.1 complete'!E15</f>
        <v>3.0000000000001137E-2</v>
      </c>
    </row>
    <row r="19" spans="1:37" x14ac:dyDescent="0.25">
      <c r="A19" s="379" t="s">
        <v>392</v>
      </c>
      <c r="B19" s="511">
        <v>0</v>
      </c>
      <c r="C19" s="511">
        <v>0</v>
      </c>
      <c r="D19" s="511">
        <v>1.8</v>
      </c>
      <c r="E19" s="487">
        <f>0.00061*U19</f>
        <v>1.6653E-3</v>
      </c>
      <c r="F19" s="487">
        <f>1*W19</f>
        <v>0.05</v>
      </c>
      <c r="G19" s="379"/>
      <c r="H19" s="359">
        <f>L19*O19</f>
        <v>0</v>
      </c>
      <c r="I19" s="359"/>
      <c r="J19" s="356"/>
      <c r="K19" s="356"/>
      <c r="L19" s="347">
        <f>0</f>
        <v>0</v>
      </c>
      <c r="M19" s="356">
        <f>N19*O19</f>
        <v>2.5953154014051621E-3</v>
      </c>
      <c r="N19" s="352">
        <v>0.5</v>
      </c>
      <c r="O19" s="345">
        <f>AH19/SUM(AH$13:AH$24)</f>
        <v>5.1906308028103242E-3</v>
      </c>
      <c r="P19" s="480" t="str">
        <f>'Table 1.2 complete'!A16</f>
        <v>Latvia</v>
      </c>
      <c r="Q19" s="211">
        <f>'Table 1.2 complete'!B16</f>
        <v>132</v>
      </c>
      <c r="R19" s="180" t="s">
        <v>236</v>
      </c>
      <c r="S19" s="139">
        <v>5</v>
      </c>
      <c r="T19" s="109" t="str">
        <f>'Table 1.2 complete'!E16</f>
        <v>-</v>
      </c>
      <c r="U19" s="109">
        <f>'Table 1.2 complete'!F16</f>
        <v>2.73</v>
      </c>
      <c r="V19" s="109" t="str">
        <f>'Table 1.2 complete'!G16</f>
        <v>-</v>
      </c>
      <c r="W19" s="109">
        <f>'Table 1.2 complete'!H16</f>
        <v>0.05</v>
      </c>
      <c r="X19" s="109">
        <f>'Table 1.3 complete'!E16</f>
        <v>0</v>
      </c>
      <c r="Y19" s="109" t="str">
        <f>'Table 1.3 complete'!F16</f>
        <v>-</v>
      </c>
      <c r="Z19" s="109" t="str">
        <f>'Table 1.3 complete'!G16</f>
        <v>-</v>
      </c>
      <c r="AA19" s="109" t="str">
        <f>'Table 1.3 complete'!H16</f>
        <v>-</v>
      </c>
      <c r="AB19" s="109">
        <f>'Table 1.3 complete'!I16</f>
        <v>0.02</v>
      </c>
      <c r="AC19" s="109">
        <f>'Table 1.3 complete'!J16</f>
        <v>1.93</v>
      </c>
      <c r="AD19" s="109">
        <f>'Table 1.3 complete'!K16</f>
        <v>0.01</v>
      </c>
      <c r="AE19" s="109" t="str">
        <f>'Table 1.3 complete'!L16</f>
        <v>-</v>
      </c>
      <c r="AF19" s="109" t="str">
        <f>'Table 1.3 complete'!M16</f>
        <v>-</v>
      </c>
      <c r="AG19" s="109">
        <f>'Table 1.3 complete'!N16</f>
        <v>0.04</v>
      </c>
      <c r="AH19" s="149">
        <f>SUM(T19:AG19)</f>
        <v>4.7799999999999994</v>
      </c>
      <c r="AI19" s="106">
        <f>AH19-'Table 1.1 complete'!E16</f>
        <v>-2.0000000000000462E-2</v>
      </c>
      <c r="AJ19" s="113">
        <f>AH19-'Table 1.2 complete'!K16</f>
        <v>9.9999999999997868E-3</v>
      </c>
      <c r="AK19" s="106">
        <f>'Table 1.2 complete'!K16-'Table 1.1 complete'!E16</f>
        <v>-3.0000000000000249E-2</v>
      </c>
    </row>
    <row r="20" spans="1:37" x14ac:dyDescent="0.25">
      <c r="B20" s="511">
        <v>0</v>
      </c>
      <c r="C20" s="511">
        <v>0</v>
      </c>
      <c r="D20" s="511">
        <v>0.1</v>
      </c>
      <c r="E20" s="487">
        <f>0.39434*U20</f>
        <v>0.37856640000000003</v>
      </c>
      <c r="F20" s="863">
        <f>1*W20</f>
        <v>0.34</v>
      </c>
      <c r="G20" s="374"/>
      <c r="H20" s="359">
        <f>L20*O20</f>
        <v>8.4580013778940907E-3</v>
      </c>
      <c r="I20" s="359"/>
      <c r="J20" s="356"/>
      <c r="K20" s="356"/>
      <c r="L20" s="347">
        <f>0.5/0.9</f>
        <v>0.55555555555555558</v>
      </c>
      <c r="M20" s="356">
        <f>N20*O20</f>
        <v>1.5224402480209362E-2</v>
      </c>
      <c r="N20" s="347">
        <f>1</f>
        <v>1</v>
      </c>
      <c r="O20" s="345">
        <f>AH20/SUM(AH$13:AH$24)</f>
        <v>1.5224402480209362E-2</v>
      </c>
      <c r="P20" s="480" t="str">
        <f>'Table 1.2 complete'!A17</f>
        <v>Lithuania</v>
      </c>
      <c r="Q20" s="211">
        <f>'Table 1.2 complete'!B17</f>
        <v>133</v>
      </c>
      <c r="R20" s="180" t="s">
        <v>236</v>
      </c>
      <c r="S20" s="139">
        <v>5</v>
      </c>
      <c r="T20" s="267">
        <f>'Table 1.2 complete'!E17</f>
        <v>9.83</v>
      </c>
      <c r="U20" s="109">
        <f>'Table 1.2 complete'!F17</f>
        <v>0.96</v>
      </c>
      <c r="V20" s="109" t="str">
        <f>'Table 1.2 complete'!G17</f>
        <v>-</v>
      </c>
      <c r="W20" s="109">
        <f>'Table 1.2 complete'!H17</f>
        <v>0.34</v>
      </c>
      <c r="X20" s="109" t="str">
        <f>'Table 1.3 complete'!E17</f>
        <v>-</v>
      </c>
      <c r="Y20" s="109" t="str">
        <f>'Table 1.3 complete'!F17</f>
        <v>-</v>
      </c>
      <c r="Z20" s="109">
        <f>'Table 1.3 complete'!G17</f>
        <v>0.01</v>
      </c>
      <c r="AA20" s="109" t="str">
        <f>'Table 1.3 complete'!H17</f>
        <v>-</v>
      </c>
      <c r="AB20" s="109">
        <f>'Table 1.3 complete'!I17</f>
        <v>0.41</v>
      </c>
      <c r="AC20" s="109">
        <f>'Table 1.3 complete'!J17</f>
        <v>2.41</v>
      </c>
      <c r="AD20" s="109">
        <f>'Table 1.3 complete'!K17</f>
        <v>0.05</v>
      </c>
      <c r="AE20" s="109" t="str">
        <f>'Table 1.3 complete'!L17</f>
        <v>-</v>
      </c>
      <c r="AF20" s="109" t="str">
        <f>'Table 1.3 complete'!M17</f>
        <v>-</v>
      </c>
      <c r="AG20" s="109">
        <f>'Table 1.3 complete'!N17</f>
        <v>0.01</v>
      </c>
      <c r="AH20" s="149">
        <f>SUM(T20:AG20)</f>
        <v>14.02</v>
      </c>
      <c r="AI20" s="106">
        <f>AH20-'Table 1.1 complete'!E17</f>
        <v>1.9999999999999574E-2</v>
      </c>
      <c r="AJ20" s="113">
        <f>AH20-'Table 1.2 complete'!K17</f>
        <v>9.9999999999997868E-3</v>
      </c>
      <c r="AK20" s="106">
        <f>'Table 1.2 complete'!K17-'Table 1.1 complete'!E17</f>
        <v>9.9999999999997868E-3</v>
      </c>
    </row>
    <row r="21" spans="1:37" x14ac:dyDescent="0.25">
      <c r="B21" s="504">
        <v>0</v>
      </c>
      <c r="C21" s="504">
        <v>0</v>
      </c>
      <c r="D21" s="504">
        <v>0.36199999999999999</v>
      </c>
      <c r="E21" s="490">
        <v>0.8</v>
      </c>
      <c r="F21" s="490">
        <v>0.1</v>
      </c>
      <c r="G21" s="489" t="s">
        <v>362</v>
      </c>
      <c r="H21" s="388">
        <f>L21*O21</f>
        <v>4.3305740108861594E-3</v>
      </c>
      <c r="I21" s="400">
        <v>0.90400000000000003</v>
      </c>
      <c r="J21" s="397">
        <v>1.121</v>
      </c>
      <c r="K21" s="397">
        <f>0.8*J21</f>
        <v>0.89680000000000004</v>
      </c>
      <c r="L21" s="353">
        <f>K21/I21</f>
        <v>0.99203539823008846</v>
      </c>
      <c r="M21" s="356">
        <f>N21*O21</f>
        <v>3.6377851860699968E-3</v>
      </c>
      <c r="N21" s="347">
        <f>0.1/(0.1+0.02)</f>
        <v>0.83333333333333326</v>
      </c>
      <c r="O21" s="345">
        <f>AH21/SUM(AH$13:AH$24)</f>
        <v>4.3653422232839967E-3</v>
      </c>
      <c r="P21" s="480" t="str">
        <f>'Table 1.2 complete'!A18</f>
        <v>Luxembourg</v>
      </c>
      <c r="Q21" s="211">
        <f>'Table 1.2 complete'!B18</f>
        <v>20</v>
      </c>
      <c r="R21" s="180" t="s">
        <v>236</v>
      </c>
      <c r="S21" s="139">
        <v>5</v>
      </c>
      <c r="T21" s="109" t="str">
        <f>'Table 1.2 complete'!E18</f>
        <v>-</v>
      </c>
      <c r="U21" s="109">
        <f>'Table 1.2 complete'!F18</f>
        <v>0.92</v>
      </c>
      <c r="V21" s="109" t="str">
        <f>'Table 1.2 complete'!G18</f>
        <v>-</v>
      </c>
      <c r="W21" s="109">
        <f>'Table 1.2 complete'!H18</f>
        <v>0.09</v>
      </c>
      <c r="X21" s="109" t="str">
        <f>'Table 1.3 complete'!E18</f>
        <v>-</v>
      </c>
      <c r="Y21" s="109" t="str">
        <f>'Table 1.3 complete'!F18</f>
        <v>-</v>
      </c>
      <c r="Z21" s="109" t="str">
        <f>'Table 1.3 complete'!G18</f>
        <v>-</v>
      </c>
      <c r="AA21" s="109" t="str">
        <f>'Table 1.3 complete'!H18</f>
        <v>-</v>
      </c>
      <c r="AB21" s="109" t="str">
        <f>'Table 1.3 complete'!I18</f>
        <v>-</v>
      </c>
      <c r="AC21" s="109">
        <f>'Table 1.3 complete'!J18</f>
        <v>2.9</v>
      </c>
      <c r="AD21" s="109" t="str">
        <f>'Table 1.3 complete'!K18</f>
        <v>-</v>
      </c>
      <c r="AE21" s="109" t="str">
        <f>'Table 1.3 complete'!L18</f>
        <v>-</v>
      </c>
      <c r="AF21" s="109">
        <f>'Table 1.3 complete'!M18</f>
        <v>7.0000000000000007E-2</v>
      </c>
      <c r="AG21" s="109">
        <f>'Table 1.3 complete'!N18</f>
        <v>0.04</v>
      </c>
      <c r="AH21" s="149">
        <f>SUM(T21:AG21)</f>
        <v>4.0199999999999996</v>
      </c>
      <c r="AI21" s="106">
        <f>AH21-'Table 1.1 complete'!E18</f>
        <v>1.9999999999999574E-2</v>
      </c>
      <c r="AJ21" s="113">
        <f>AH21-'Table 1.2 complete'!K18</f>
        <v>1.9999999999999574E-2</v>
      </c>
      <c r="AK21" s="106">
        <f>'Table 1.2 complete'!K18-'Table 1.1 complete'!E18</f>
        <v>0</v>
      </c>
    </row>
    <row r="22" spans="1:37" x14ac:dyDescent="0.25">
      <c r="A22" s="379" t="s">
        <v>391</v>
      </c>
      <c r="B22" s="504">
        <v>11.113</v>
      </c>
      <c r="C22" s="504">
        <v>2.2189999999999999</v>
      </c>
      <c r="D22" s="504">
        <v>38.85</v>
      </c>
      <c r="E22" s="490">
        <v>0</v>
      </c>
      <c r="F22" s="490">
        <v>3.4</v>
      </c>
      <c r="G22" s="489" t="s">
        <v>362</v>
      </c>
      <c r="H22" s="388">
        <f>L22*O22</f>
        <v>0</v>
      </c>
      <c r="I22" s="400">
        <v>9.7000000000000003E-2</v>
      </c>
      <c r="J22" s="640">
        <v>0</v>
      </c>
      <c r="K22" s="640">
        <f>0.8*J22</f>
        <v>0</v>
      </c>
      <c r="L22" s="353">
        <f>K22/I22</f>
        <v>0</v>
      </c>
      <c r="M22" s="356">
        <f>N22*O22</f>
        <v>0.11213065621301131</v>
      </c>
      <c r="N22" s="347">
        <f>1</f>
        <v>1</v>
      </c>
      <c r="O22" s="345">
        <f>AH22/SUM(AH$13:AH$24)</f>
        <v>0.11213065621301131</v>
      </c>
      <c r="P22" s="480" t="str">
        <f>'Table 1.2 complete'!A19</f>
        <v>Netherlands</v>
      </c>
      <c r="Q22" s="211">
        <f>'Table 1.2 complete'!B19</f>
        <v>22</v>
      </c>
      <c r="R22" s="180" t="s">
        <v>236</v>
      </c>
      <c r="S22" s="139">
        <v>5</v>
      </c>
      <c r="T22" s="109">
        <f>'Table 1.2 complete'!E19</f>
        <v>4.2</v>
      </c>
      <c r="U22" s="109">
        <f>'Table 1.2 complete'!F19</f>
        <v>0.11</v>
      </c>
      <c r="V22" s="109" t="str">
        <f>'Table 1.2 complete'!G19</f>
        <v>-</v>
      </c>
      <c r="W22" s="109">
        <f>'Table 1.2 complete'!H19</f>
        <v>3.65</v>
      </c>
      <c r="X22" s="109">
        <f>'Table 1.3 complete'!E19</f>
        <v>24.92</v>
      </c>
      <c r="Y22" s="109" t="str">
        <f>'Table 1.3 complete'!F19</f>
        <v>-</v>
      </c>
      <c r="Z22" s="109" t="str">
        <f>'Table 1.3 complete'!G19</f>
        <v>-</v>
      </c>
      <c r="AA22" s="109">
        <f>'Table 1.3 complete'!H19</f>
        <v>3.55</v>
      </c>
      <c r="AB22" s="109">
        <f>'Table 1.3 complete'!I19</f>
        <v>2.2200000000000002</v>
      </c>
      <c r="AC22" s="109">
        <f>'Table 1.3 complete'!J19</f>
        <v>59.04</v>
      </c>
      <c r="AD22" s="109">
        <f>'Table 1.3 complete'!K19</f>
        <v>1.97</v>
      </c>
      <c r="AE22" s="109" t="str">
        <f>'Table 1.3 complete'!L19</f>
        <v>-</v>
      </c>
      <c r="AF22" s="109">
        <f>'Table 1.3 complete'!M19</f>
        <v>2.96</v>
      </c>
      <c r="AG22" s="109">
        <f>'Table 1.3 complete'!N19</f>
        <v>0.64</v>
      </c>
      <c r="AH22" s="149">
        <f>SUM(T22:AG22)</f>
        <v>103.25999999999999</v>
      </c>
      <c r="AI22" s="106">
        <f>AH22-'Table 1.1 complete'!E19</f>
        <v>5.9999999999988063E-2</v>
      </c>
      <c r="AJ22" s="113">
        <f>AH22-'Table 1.2 complete'!K19</f>
        <v>1.9999999999996021E-2</v>
      </c>
      <c r="AK22" s="106">
        <f>'Table 1.2 complete'!K19-'Table 1.1 complete'!E19</f>
        <v>3.9999999999992042E-2</v>
      </c>
    </row>
    <row r="23" spans="1:37" x14ac:dyDescent="0.25">
      <c r="B23" s="504">
        <v>0.64900000000000002</v>
      </c>
      <c r="C23" s="504">
        <v>0.97299999999999998</v>
      </c>
      <c r="D23" s="504">
        <v>0.82399999999999995</v>
      </c>
      <c r="E23" s="487">
        <f>0.0003*U23</f>
        <v>1.9856999999999996E-2</v>
      </c>
      <c r="F23" s="490">
        <v>1.4</v>
      </c>
      <c r="G23" s="676" t="s">
        <v>345</v>
      </c>
      <c r="H23" s="366">
        <f>L23*O23</f>
        <v>6.4501518016462844E-3</v>
      </c>
      <c r="I23" s="366"/>
      <c r="J23" s="395"/>
      <c r="K23" s="395"/>
      <c r="L23" s="348">
        <f>L38</f>
        <v>3.9902460651740197E-2</v>
      </c>
      <c r="M23" s="356">
        <f>N23*O23</f>
        <v>0.16164797098459102</v>
      </c>
      <c r="N23" s="347">
        <f>1</f>
        <v>1</v>
      </c>
      <c r="O23" s="345">
        <f>AH23/SUM(AH$13:AH$24)</f>
        <v>0.16164797098459102</v>
      </c>
      <c r="P23" s="480" t="str">
        <f>'Table 1.2 complete'!A20</f>
        <v>Sweden</v>
      </c>
      <c r="Q23" s="211">
        <f>'Table 1.2 complete'!B20</f>
        <v>29</v>
      </c>
      <c r="R23" s="180" t="s">
        <v>236</v>
      </c>
      <c r="S23" s="139">
        <v>5</v>
      </c>
      <c r="T23" s="109">
        <f>'Table 1.2 complete'!E20</f>
        <v>66.97</v>
      </c>
      <c r="U23" s="109">
        <f>'Table 1.2 complete'!F20</f>
        <v>66.19</v>
      </c>
      <c r="V23" s="109" t="str">
        <f>'Table 1.2 complete'!G20</f>
        <v>-</v>
      </c>
      <c r="W23" s="109">
        <f>'Table 1.2 complete'!H20</f>
        <v>1.43</v>
      </c>
      <c r="X23" s="109">
        <f>'Table 1.3 complete'!E20</f>
        <v>0.65</v>
      </c>
      <c r="Y23" s="109" t="str">
        <f>'Table 1.3 complete'!F20</f>
        <v>-</v>
      </c>
      <c r="Z23" s="109">
        <f>'Table 1.3 complete'!G20</f>
        <v>0.36</v>
      </c>
      <c r="AA23" s="109">
        <f>'Table 1.3 complete'!H20</f>
        <v>0.7</v>
      </c>
      <c r="AB23" s="109">
        <f>'Table 1.3 complete'!I20</f>
        <v>1.08</v>
      </c>
      <c r="AC23" s="109">
        <f>'Table 1.3 complete'!J20</f>
        <v>0.82</v>
      </c>
      <c r="AD23" s="109">
        <f>'Table 1.3 complete'!K20</f>
        <v>8.5</v>
      </c>
      <c r="AE23" s="109">
        <f>'Table 1.3 complete'!L20</f>
        <v>0.08</v>
      </c>
      <c r="AF23" s="109">
        <f>'Table 1.3 complete'!M20</f>
        <v>1.85</v>
      </c>
      <c r="AG23" s="109">
        <f>'Table 1.3 complete'!N20</f>
        <v>0.23</v>
      </c>
      <c r="AH23" s="149">
        <f>SUM(T23:AG23)</f>
        <v>148.86000000000001</v>
      </c>
      <c r="AI23" s="106">
        <f>AH23-'Table 1.1 complete'!E20</f>
        <v>6.0000000000002274E-2</v>
      </c>
      <c r="AJ23" s="113">
        <f>AH23-'Table 1.2 complete'!K20</f>
        <v>1.0000000000019327E-2</v>
      </c>
      <c r="AK23" s="106">
        <f>'Table 1.2 complete'!K20-'Table 1.1 complete'!E20</f>
        <v>4.9999999999982947E-2</v>
      </c>
    </row>
    <row r="24" spans="1:37" ht="15.75" thickBot="1" x14ac:dyDescent="0.3">
      <c r="B24" s="645">
        <v>0.72299999999999998</v>
      </c>
      <c r="C24" s="645">
        <v>2.214</v>
      </c>
      <c r="D24" s="645">
        <v>22.077999999999999</v>
      </c>
      <c r="E24" s="647">
        <v>3.9</v>
      </c>
      <c r="F24" s="647">
        <v>5.29</v>
      </c>
      <c r="G24" s="702"/>
      <c r="H24" s="701">
        <f>L24*O24</f>
        <v>0.1836730734715476</v>
      </c>
      <c r="I24" s="701"/>
      <c r="J24" s="648"/>
      <c r="K24" s="648"/>
      <c r="L24" s="649">
        <f>3.8/8.9</f>
        <v>0.42696629213483145</v>
      </c>
      <c r="M24" s="648">
        <f>N24*O24</f>
        <v>0.42937153710243336</v>
      </c>
      <c r="N24" s="649">
        <f>5.3/(5.3+0.01)</f>
        <v>0.99811676082862533</v>
      </c>
      <c r="O24" s="345">
        <f>AH24/SUM(AH$13:AH$24)</f>
        <v>0.43018167207809832</v>
      </c>
      <c r="P24" s="480" t="str">
        <f>'Table 1.2 complete'!A21</f>
        <v>United Kingdom</v>
      </c>
      <c r="Q24" s="211">
        <f>'Table 1.2 complete'!B21</f>
        <v>32</v>
      </c>
      <c r="R24" s="180" t="s">
        <v>236</v>
      </c>
      <c r="S24" s="139">
        <v>5</v>
      </c>
      <c r="T24" s="109">
        <f>'Table 1.2 complete'!E21</f>
        <v>63.03</v>
      </c>
      <c r="U24" s="109">
        <f>'Table 1.2 complete'!F21</f>
        <v>8.9499999999999993</v>
      </c>
      <c r="V24" s="109" t="str">
        <f>'Table 1.2 complete'!G21</f>
        <v>-</v>
      </c>
      <c r="W24" s="109">
        <f>'Table 1.2 complete'!H21</f>
        <v>5.29</v>
      </c>
      <c r="X24" s="109">
        <f>'Table 1.3 complete'!E21</f>
        <v>136.69</v>
      </c>
      <c r="Y24" s="109" t="str">
        <f>'Table 1.3 complete'!F21</f>
        <v>-</v>
      </c>
      <c r="Z24" s="109" t="str">
        <f>'Table 1.3 complete'!G21</f>
        <v>-</v>
      </c>
      <c r="AA24" s="109">
        <f>'Table 1.3 complete'!H21</f>
        <v>1.64</v>
      </c>
      <c r="AB24" s="109">
        <f>'Table 1.3 complete'!I21</f>
        <v>4.6900000000000004</v>
      </c>
      <c r="AC24" s="109">
        <f>'Table 1.3 complete'!J21</f>
        <v>164.47</v>
      </c>
      <c r="AD24" s="109">
        <f>'Table 1.3 complete'!K21</f>
        <v>2.92</v>
      </c>
      <c r="AE24" s="109">
        <f>'Table 1.3 complete'!L21</f>
        <v>1.4</v>
      </c>
      <c r="AF24" s="109">
        <f>'Table 1.3 complete'!M21</f>
        <v>1.88</v>
      </c>
      <c r="AG24" s="109">
        <f>'Table 1.3 complete'!N21</f>
        <v>5.19</v>
      </c>
      <c r="AH24" s="149">
        <f>SUM(T24:AG24)</f>
        <v>396.15</v>
      </c>
      <c r="AI24" s="106">
        <f>AH24-'Table 1.1 complete'!E21</f>
        <v>4.9999999999954525E-2</v>
      </c>
      <c r="AJ24" s="113">
        <f>AH24-'Table 1.2 complete'!K21</f>
        <v>9.9999999999909051E-3</v>
      </c>
      <c r="AK24" s="106">
        <f>'Table 1.2 complete'!K21-'Table 1.1 complete'!E21</f>
        <v>3.999999999996362E-2</v>
      </c>
    </row>
    <row r="25" spans="1:37" x14ac:dyDescent="0.25">
      <c r="A25" s="885"/>
      <c r="B25" s="883"/>
      <c r="C25" s="883"/>
      <c r="D25" s="883"/>
      <c r="E25" s="884">
        <f>K25</f>
        <v>0.18640000000000001</v>
      </c>
      <c r="F25" s="884">
        <f>N25*W25</f>
        <v>3.9960000000000002E-2</v>
      </c>
      <c r="G25" s="923" t="s">
        <v>362</v>
      </c>
      <c r="H25" s="626">
        <f>L25*O25</f>
        <v>6.8678170702393454E-4</v>
      </c>
      <c r="I25" s="864">
        <v>4.3609999999999998</v>
      </c>
      <c r="J25" s="866">
        <v>0.23300000000000001</v>
      </c>
      <c r="K25" s="924">
        <f>0.8*J25</f>
        <v>0.18640000000000001</v>
      </c>
      <c r="L25" s="627">
        <f>K25/I25</f>
        <v>4.2742490254528781E-2</v>
      </c>
      <c r="M25" s="628">
        <f>N25*O25</f>
        <v>1.6051823869673E-2</v>
      </c>
      <c r="N25" s="925">
        <f>0.999</f>
        <v>0.999</v>
      </c>
      <c r="O25" s="630">
        <f>AH25/SUM($AH$25:$AH$32)</f>
        <v>1.6067891761434434E-2</v>
      </c>
      <c r="P25" s="867" t="str">
        <f>'Table 1.2 complete'!A22</f>
        <v>Croatia</v>
      </c>
      <c r="Q25" s="868">
        <f>'Table 1.2 complete'!B22</f>
        <v>116</v>
      </c>
      <c r="R25" s="869" t="s">
        <v>235</v>
      </c>
      <c r="S25" s="870">
        <v>6</v>
      </c>
      <c r="T25" s="636" t="str">
        <f>'Table 1.2 complete'!E22</f>
        <v>-</v>
      </c>
      <c r="U25" s="636">
        <f>'Table 1.2 complete'!F22</f>
        <v>4.4000000000000004</v>
      </c>
      <c r="V25" s="636" t="str">
        <f>'Table 1.2 complete'!G22</f>
        <v>-</v>
      </c>
      <c r="W25" s="636">
        <f>'Table 1.2 complete'!H22</f>
        <v>0.04</v>
      </c>
      <c r="X25" s="636">
        <f>'Table 1.3 complete'!E22</f>
        <v>2.4</v>
      </c>
      <c r="Y25" s="636">
        <f>'Table 1.3 complete'!F22</f>
        <v>0.02</v>
      </c>
      <c r="Z25" s="636" t="str">
        <f>'Table 1.3 complete'!G22</f>
        <v>-</v>
      </c>
      <c r="AA25" s="636" t="str">
        <f>'Table 1.3 complete'!H22</f>
        <v>-</v>
      </c>
      <c r="AB25" s="636">
        <f>'Table 1.3 complete'!I22</f>
        <v>2.3199999999999998</v>
      </c>
      <c r="AC25" s="636">
        <f>'Table 1.3 complete'!J22</f>
        <v>3.06</v>
      </c>
      <c r="AD25" s="636">
        <f>'Table 1.3 complete'!K22</f>
        <v>0</v>
      </c>
      <c r="AE25" s="636" t="str">
        <f>'Table 1.3 complete'!L22</f>
        <v>-</v>
      </c>
      <c r="AF25" s="636" t="str">
        <f>'Table 1.3 complete'!M22</f>
        <v>-</v>
      </c>
      <c r="AG25" s="636">
        <f>'Table 1.3 complete'!N22</f>
        <v>0.01</v>
      </c>
      <c r="AH25" s="637">
        <f>SUM(T25:AG25)</f>
        <v>12.25</v>
      </c>
      <c r="AI25" s="638">
        <f>AH25-'Table 1.1 complete'!E22</f>
        <v>5.0000000000000711E-2</v>
      </c>
      <c r="AJ25" s="639">
        <f>AH25-'Table 1.2 complete'!K22</f>
        <v>0</v>
      </c>
      <c r="AK25" s="638">
        <f>'Table 1.2 complete'!K22-'Table 1.1 complete'!E22</f>
        <v>5.0000000000000711E-2</v>
      </c>
    </row>
    <row r="26" spans="1:37" x14ac:dyDescent="0.25">
      <c r="B26" s="513">
        <v>0</v>
      </c>
      <c r="C26" s="513">
        <v>0</v>
      </c>
      <c r="D26" s="513">
        <v>0</v>
      </c>
      <c r="E26" s="487">
        <v>0</v>
      </c>
      <c r="F26" s="487">
        <v>0</v>
      </c>
      <c r="G26" s="379"/>
      <c r="H26" s="359">
        <f>L26*O26</f>
        <v>0</v>
      </c>
      <c r="I26" s="359"/>
      <c r="J26" s="356"/>
      <c r="K26" s="356"/>
      <c r="L26" s="347">
        <f>0</f>
        <v>0</v>
      </c>
      <c r="M26" s="356">
        <f>N26*O26</f>
        <v>3.1939033827830896E-3</v>
      </c>
      <c r="N26" s="352">
        <v>0.5</v>
      </c>
      <c r="O26" s="345">
        <f t="shared" ref="O26:O32" si="1">AH26/SUM($AH$25:$AH$32)</f>
        <v>6.3878067655661792E-3</v>
      </c>
      <c r="P26" s="77" t="str">
        <f>'Table 1.2 complete'!A23</f>
        <v>Cyprus</v>
      </c>
      <c r="Q26" s="194">
        <f>'Table 1.2 complete'!B23</f>
        <v>117</v>
      </c>
      <c r="R26" s="164" t="s">
        <v>235</v>
      </c>
      <c r="S26" s="124">
        <v>6</v>
      </c>
      <c r="T26" s="109" t="str">
        <f>'Table 1.2 complete'!E23</f>
        <v>-</v>
      </c>
      <c r="U26" s="109" t="str">
        <f>'Table 1.2 complete'!F23</f>
        <v>-</v>
      </c>
      <c r="V26" s="109" t="str">
        <f>'Table 1.2 complete'!G23</f>
        <v>-</v>
      </c>
      <c r="W26" s="109">
        <f>'Table 1.2 complete'!H23</f>
        <v>0</v>
      </c>
      <c r="X26" s="109" t="str">
        <f>'Table 1.3 complete'!E23</f>
        <v>-</v>
      </c>
      <c r="Y26" s="109" t="str">
        <f>'Table 1.3 complete'!F23</f>
        <v>-</v>
      </c>
      <c r="Z26" s="109" t="str">
        <f>'Table 1.3 complete'!G23</f>
        <v>-</v>
      </c>
      <c r="AA26" s="109" t="str">
        <f>'Table 1.3 complete'!H23</f>
        <v>-</v>
      </c>
      <c r="AB26" s="109">
        <f>'Table 1.3 complete'!I23</f>
        <v>4.87</v>
      </c>
      <c r="AC26" s="109" t="str">
        <f>'Table 1.3 complete'!J23</f>
        <v>-</v>
      </c>
      <c r="AD26" s="109" t="str">
        <f>'Table 1.3 complete'!K23</f>
        <v>-</v>
      </c>
      <c r="AE26" s="109" t="str">
        <f>'Table 1.3 complete'!L23</f>
        <v>-</v>
      </c>
      <c r="AF26" s="109" t="str">
        <f>'Table 1.3 complete'!M23</f>
        <v>-</v>
      </c>
      <c r="AG26" s="109" t="str">
        <f>'Table 1.3 complete'!N23</f>
        <v>-</v>
      </c>
      <c r="AH26" s="149">
        <f>SUM(T26:AG26)</f>
        <v>4.87</v>
      </c>
      <c r="AI26" s="106">
        <f>AH26-'Table 1.1 complete'!E23</f>
        <v>-3.0000000000000249E-2</v>
      </c>
      <c r="AJ26" s="113">
        <f>AH26-'Table 1.2 complete'!K23</f>
        <v>0</v>
      </c>
      <c r="AK26" s="106">
        <f>'Table 1.2 complete'!K23-'Table 1.1 complete'!E23</f>
        <v>-3.0000000000000249E-2</v>
      </c>
    </row>
    <row r="27" spans="1:37" x14ac:dyDescent="0.25">
      <c r="B27" s="504">
        <v>0</v>
      </c>
      <c r="C27" s="504">
        <v>0.77100000000000002</v>
      </c>
      <c r="D27" s="504">
        <v>0.105</v>
      </c>
      <c r="E27" s="490">
        <v>0.8</v>
      </c>
      <c r="F27" s="490">
        <v>1.8</v>
      </c>
      <c r="G27" s="489" t="s">
        <v>362</v>
      </c>
      <c r="H27" s="388">
        <f>L27*O27</f>
        <v>2.2204257831692612E-2</v>
      </c>
      <c r="I27" s="403">
        <v>3.367</v>
      </c>
      <c r="J27" s="464">
        <v>1.1220000000000001</v>
      </c>
      <c r="K27" s="399">
        <f>0.8*J27</f>
        <v>0.89760000000000018</v>
      </c>
      <c r="L27" s="353">
        <f>K27/I27</f>
        <v>0.26658746658746663</v>
      </c>
      <c r="M27" s="356">
        <f>N27*O27</f>
        <v>8.3290704232741777E-2</v>
      </c>
      <c r="N27" s="347">
        <f>1</f>
        <v>1</v>
      </c>
      <c r="O27" s="345">
        <f t="shared" si="1"/>
        <v>8.3290704232741777E-2</v>
      </c>
      <c r="P27" s="77" t="str">
        <f>'Table 1.2 complete'!A24</f>
        <v>Greece</v>
      </c>
      <c r="Q27" s="194">
        <f>'Table 1.2 complete'!B24</f>
        <v>13</v>
      </c>
      <c r="R27" s="164" t="s">
        <v>235</v>
      </c>
      <c r="S27" s="124">
        <v>6</v>
      </c>
      <c r="T27" s="109" t="str">
        <f>'Table 1.2 complete'!E24</f>
        <v>-</v>
      </c>
      <c r="U27" s="109">
        <f>'Table 1.2 complete'!F24</f>
        <v>3.38</v>
      </c>
      <c r="V27" s="109" t="str">
        <f>'Table 1.2 complete'!G24</f>
        <v>-</v>
      </c>
      <c r="W27" s="109">
        <f>'Table 1.2 complete'!H24</f>
        <v>1.82</v>
      </c>
      <c r="X27" s="109" t="str">
        <f>'Table 1.3 complete'!E24</f>
        <v>-</v>
      </c>
      <c r="Y27" s="109">
        <f>'Table 1.3 complete'!F24</f>
        <v>34.68</v>
      </c>
      <c r="Z27" s="109" t="str">
        <f>'Table 1.3 complete'!G24</f>
        <v>-</v>
      </c>
      <c r="AA27" s="109" t="str">
        <f>'Table 1.3 complete'!H24</f>
        <v>-</v>
      </c>
      <c r="AB27" s="109">
        <f>'Table 1.3 complete'!I24</f>
        <v>9.64</v>
      </c>
      <c r="AC27" s="109">
        <f>'Table 1.3 complete'!J24</f>
        <v>13.77</v>
      </c>
      <c r="AD27" s="109" t="str">
        <f>'Table 1.3 complete'!K24</f>
        <v>-</v>
      </c>
      <c r="AE27" s="109">
        <f>'Table 1.3 complete'!L24</f>
        <v>0.03</v>
      </c>
      <c r="AF27" s="109" t="str">
        <f>'Table 1.3 complete'!M24</f>
        <v>-</v>
      </c>
      <c r="AG27" s="109">
        <f>'Table 1.3 complete'!N24</f>
        <v>0.18</v>
      </c>
      <c r="AH27" s="149">
        <f>SUM(T27:AG27)</f>
        <v>63.500000000000007</v>
      </c>
      <c r="AI27" s="106">
        <f>AH27-'Table 1.1 complete'!E24</f>
        <v>0</v>
      </c>
      <c r="AJ27" s="113">
        <f>AH27-'Table 1.2 complete'!K24</f>
        <v>0</v>
      </c>
      <c r="AK27" s="106">
        <f>'Table 1.2 complete'!K24-'Table 1.1 complete'!E24</f>
        <v>0</v>
      </c>
    </row>
    <row r="28" spans="1:37" x14ac:dyDescent="0.25">
      <c r="B28" s="504">
        <v>0.41199999999999998</v>
      </c>
      <c r="C28" s="504">
        <v>19.236000000000001</v>
      </c>
      <c r="D28" s="504">
        <v>80.846000000000004</v>
      </c>
      <c r="E28" s="490">
        <v>5.7</v>
      </c>
      <c r="F28" s="490">
        <v>4</v>
      </c>
      <c r="G28" s="489" t="s">
        <v>362</v>
      </c>
      <c r="H28" s="388">
        <f>L28*O28</f>
        <v>6.6409047799272369E-2</v>
      </c>
      <c r="I28" s="403">
        <v>37.960999999999999</v>
      </c>
      <c r="J28" s="404">
        <v>7.6539999999999999</v>
      </c>
      <c r="K28" s="404">
        <f>0.8*J28</f>
        <v>6.1232000000000006</v>
      </c>
      <c r="L28" s="353">
        <f>K28/I28</f>
        <v>0.16130238929427573</v>
      </c>
      <c r="M28" s="356">
        <f>N28*O28</f>
        <v>0.41067859869339224</v>
      </c>
      <c r="N28" s="347">
        <f>4/(4+0.01)</f>
        <v>0.99750623441396513</v>
      </c>
      <c r="O28" s="345">
        <f t="shared" si="1"/>
        <v>0.41170529519012572</v>
      </c>
      <c r="P28" s="77" t="str">
        <f>'Table 1.2 complete'!A25</f>
        <v>Italy</v>
      </c>
      <c r="Q28" s="194">
        <f>'Table 1.2 complete'!B25</f>
        <v>17</v>
      </c>
      <c r="R28" s="164" t="s">
        <v>235</v>
      </c>
      <c r="S28" s="124">
        <v>6</v>
      </c>
      <c r="T28" s="109" t="str">
        <f>'Table 1.2 complete'!E25</f>
        <v>-</v>
      </c>
      <c r="U28" s="109">
        <f>'Table 1.2 complete'!F25</f>
        <v>38.479999999999997</v>
      </c>
      <c r="V28" s="109">
        <f>'Table 1.2 complete'!G25</f>
        <v>5.57</v>
      </c>
      <c r="W28" s="109">
        <f>'Table 1.2 complete'!H25</f>
        <v>5.09</v>
      </c>
      <c r="X28" s="109">
        <f>'Table 1.3 complete'!E25</f>
        <v>44.11</v>
      </c>
      <c r="Y28" s="109" t="str">
        <f>'Table 1.3 complete'!F25</f>
        <v>-</v>
      </c>
      <c r="Z28" s="109" t="str">
        <f>'Table 1.3 complete'!G25</f>
        <v>-</v>
      </c>
      <c r="AA28" s="109">
        <f>'Table 1.3 complete'!H25</f>
        <v>5.62</v>
      </c>
      <c r="AB28" s="109">
        <f>'Table 1.3 complete'!I25</f>
        <v>35.409999999999997</v>
      </c>
      <c r="AC28" s="109">
        <f>'Table 1.3 complete'!J25</f>
        <v>172.65</v>
      </c>
      <c r="AD28" s="109">
        <f>'Table 1.3 complete'!K25</f>
        <v>2.2999999999999998</v>
      </c>
      <c r="AE28" s="109">
        <f>'Table 1.3 complete'!L25</f>
        <v>0.18</v>
      </c>
      <c r="AF28" s="109">
        <f>'Table 1.3 complete'!M25</f>
        <v>3.02</v>
      </c>
      <c r="AG28" s="109">
        <f>'Table 1.3 complete'!N25</f>
        <v>1.45</v>
      </c>
      <c r="AH28" s="149">
        <f>SUM(T28:AG28)</f>
        <v>313.88</v>
      </c>
      <c r="AI28" s="106">
        <f>AH28-'Table 1.1 complete'!E25</f>
        <v>-1.999999999998181E-2</v>
      </c>
      <c r="AJ28" s="113">
        <f>AH28-'Table 1.2 complete'!K25</f>
        <v>-9.9999999999909051E-3</v>
      </c>
      <c r="AK28" s="106">
        <f>'Table 1.2 complete'!K25-'Table 1.1 complete'!E25</f>
        <v>-9.9999999999909051E-3</v>
      </c>
    </row>
    <row r="29" spans="1:37" x14ac:dyDescent="0.25">
      <c r="B29" s="512">
        <v>0</v>
      </c>
      <c r="C29" s="512">
        <v>0</v>
      </c>
      <c r="D29" s="512">
        <v>0</v>
      </c>
      <c r="E29" s="487">
        <v>0</v>
      </c>
      <c r="F29" s="487">
        <v>0</v>
      </c>
      <c r="G29" s="379"/>
      <c r="H29" s="359">
        <f>L29*O29</f>
        <v>0</v>
      </c>
      <c r="I29" s="405"/>
      <c r="J29" s="406"/>
      <c r="K29" s="406"/>
      <c r="L29" s="347">
        <v>0</v>
      </c>
      <c r="M29" s="356">
        <f>N29*O29</f>
        <v>1.5084143286244569E-3</v>
      </c>
      <c r="N29" s="352">
        <v>0.5</v>
      </c>
      <c r="O29" s="345">
        <f t="shared" si="1"/>
        <v>3.0168286572489138E-3</v>
      </c>
      <c r="P29" s="77" t="str">
        <f>'Table 1.2 complete'!A26</f>
        <v>Malta</v>
      </c>
      <c r="Q29" s="194">
        <f>'Table 1.2 complete'!B26</f>
        <v>120</v>
      </c>
      <c r="R29" s="164" t="s">
        <v>235</v>
      </c>
      <c r="S29" s="124">
        <v>6</v>
      </c>
      <c r="T29" s="109" t="str">
        <f>'Table 1.2 complete'!E26</f>
        <v>-</v>
      </c>
      <c r="U29" s="109" t="str">
        <f>'Table 1.2 complete'!F26</f>
        <v>-</v>
      </c>
      <c r="V29" s="109" t="str">
        <f>'Table 1.2 complete'!G26</f>
        <v>-</v>
      </c>
      <c r="W29" s="109" t="str">
        <f>'Table 1.2 complete'!H26</f>
        <v>-</v>
      </c>
      <c r="X29" s="109" t="str">
        <f>'Table 1.3 complete'!E26</f>
        <v>-</v>
      </c>
      <c r="Y29" s="109" t="str">
        <f>'Table 1.3 complete'!F26</f>
        <v>-</v>
      </c>
      <c r="Z29" s="109" t="str">
        <f>'Table 1.3 complete'!G26</f>
        <v>-</v>
      </c>
      <c r="AA29" s="109" t="str">
        <f>'Table 1.3 complete'!H26</f>
        <v>-</v>
      </c>
      <c r="AB29" s="109">
        <f>'Table 1.3 complete'!I26</f>
        <v>2.2999999999999998</v>
      </c>
      <c r="AC29" s="109" t="str">
        <f>'Table 1.3 complete'!J26</f>
        <v>-</v>
      </c>
      <c r="AD29" s="109" t="str">
        <f>'Table 1.3 complete'!K26</f>
        <v>-</v>
      </c>
      <c r="AE29" s="109" t="str">
        <f>'Table 1.3 complete'!L26</f>
        <v>-</v>
      </c>
      <c r="AF29" s="109" t="str">
        <f>'Table 1.3 complete'!M26</f>
        <v>-</v>
      </c>
      <c r="AG29" s="109" t="str">
        <f>'Table 1.3 complete'!N26</f>
        <v>-</v>
      </c>
      <c r="AH29" s="149">
        <f>SUM(T29:AG29)</f>
        <v>2.2999999999999998</v>
      </c>
      <c r="AI29" s="106">
        <f>AH29-'Table 1.1 complete'!E26</f>
        <v>0</v>
      </c>
      <c r="AJ29" s="113">
        <f>AH29-'Table 1.2 complete'!K26</f>
        <v>0</v>
      </c>
      <c r="AK29" s="106">
        <f>'Table 1.2 complete'!K26-'Table 1.1 complete'!E26</f>
        <v>0</v>
      </c>
    </row>
    <row r="30" spans="1:37" x14ac:dyDescent="0.25">
      <c r="B30" s="504">
        <v>0</v>
      </c>
      <c r="C30" s="504">
        <v>2.39</v>
      </c>
      <c r="D30" s="504">
        <v>2.2999999999999998</v>
      </c>
      <c r="E30" s="490">
        <v>0.4</v>
      </c>
      <c r="F30" s="490">
        <v>4</v>
      </c>
      <c r="G30" s="489" t="s">
        <v>362</v>
      </c>
      <c r="H30" s="388">
        <f>L30*O30</f>
        <v>2.6202484342109341E-3</v>
      </c>
      <c r="I30" s="403">
        <v>10.218</v>
      </c>
      <c r="J30" s="464">
        <v>0.54</v>
      </c>
      <c r="K30" s="399">
        <f>0.8*J30</f>
        <v>0.43200000000000005</v>
      </c>
      <c r="L30" s="353">
        <f>K30/I30</f>
        <v>4.2278332354668241E-2</v>
      </c>
      <c r="M30" s="356">
        <f>N30*O30</f>
        <v>6.1821599937118596E-2</v>
      </c>
      <c r="N30" s="347">
        <f>4/(4+0.01)</f>
        <v>0.99750623441396513</v>
      </c>
      <c r="O30" s="345">
        <f t="shared" si="1"/>
        <v>6.197615393696139E-2</v>
      </c>
      <c r="P30" s="77" t="str">
        <f>'Table 1.2 complete'!A27</f>
        <v>Portugal</v>
      </c>
      <c r="Q30" s="194">
        <f>'Table 1.2 complete'!B27</f>
        <v>26</v>
      </c>
      <c r="R30" s="164" t="s">
        <v>235</v>
      </c>
      <c r="S30" s="124">
        <v>6</v>
      </c>
      <c r="T30" s="109" t="str">
        <f>'Table 1.2 complete'!E27</f>
        <v>-</v>
      </c>
      <c r="U30" s="109">
        <f>'Table 1.2 complete'!F27</f>
        <v>10.45</v>
      </c>
      <c r="V30" s="109">
        <f>'Table 1.2 complete'!G27</f>
        <v>0.2</v>
      </c>
      <c r="W30" s="109">
        <f>'Table 1.2 complete'!H27</f>
        <v>4.0599999999999996</v>
      </c>
      <c r="X30" s="109">
        <f>'Table 1.3 complete'!E27</f>
        <v>12.4</v>
      </c>
      <c r="Y30" s="109" t="str">
        <f>'Table 1.3 complete'!F27</f>
        <v>-</v>
      </c>
      <c r="Z30" s="109" t="str">
        <f>'Table 1.3 complete'!G27</f>
        <v>-</v>
      </c>
      <c r="AA30" s="109" t="str">
        <f>'Table 1.3 complete'!H27</f>
        <v>-</v>
      </c>
      <c r="AB30" s="109">
        <f>'Table 1.3 complete'!I27</f>
        <v>4.87</v>
      </c>
      <c r="AC30" s="109">
        <f>'Table 1.3 complete'!J27</f>
        <v>13.12</v>
      </c>
      <c r="AD30" s="109">
        <f>'Table 1.3 complete'!K27</f>
        <v>1.53</v>
      </c>
      <c r="AE30" s="109">
        <f>'Table 1.3 complete'!L27</f>
        <v>0.01</v>
      </c>
      <c r="AF30" s="109">
        <f>'Table 1.3 complete'!M27</f>
        <v>0.55000000000000004</v>
      </c>
      <c r="AG30" s="109">
        <f>'Table 1.3 complete'!N27</f>
        <v>0.06</v>
      </c>
      <c r="AH30" s="149">
        <f>SUM(T30:AG30)</f>
        <v>47.25</v>
      </c>
      <c r="AI30" s="106">
        <f>AH30-'Table 1.1 complete'!E27</f>
        <v>-4.9999999999997158E-2</v>
      </c>
      <c r="AJ30" s="113">
        <f>AH30-'Table 1.2 complete'!K27</f>
        <v>0</v>
      </c>
      <c r="AK30" s="106">
        <f>'Table 1.2 complete'!K27-'Table 1.1 complete'!E27</f>
        <v>-4.9999999999997158E-2</v>
      </c>
    </row>
    <row r="31" spans="1:37" x14ac:dyDescent="0.25">
      <c r="B31" s="512">
        <v>4.8</v>
      </c>
      <c r="C31" s="512">
        <v>0</v>
      </c>
      <c r="D31" s="512">
        <v>0.4</v>
      </c>
      <c r="E31" s="487">
        <v>0</v>
      </c>
      <c r="F31" s="487">
        <v>0</v>
      </c>
      <c r="G31" s="489" t="s">
        <v>362</v>
      </c>
      <c r="H31" s="388">
        <f>L31*O31</f>
        <v>0</v>
      </c>
      <c r="I31" s="403">
        <v>2.8140000000000001</v>
      </c>
      <c r="J31" s="404">
        <v>0</v>
      </c>
      <c r="K31" s="404">
        <f>0.8*J31</f>
        <v>0</v>
      </c>
      <c r="L31" s="353">
        <f>K31/I31</f>
        <v>0</v>
      </c>
      <c r="M31" s="356">
        <f>N31*O31</f>
        <v>9.8702763677382972E-3</v>
      </c>
      <c r="N31" s="352">
        <f>0.5</f>
        <v>0.5</v>
      </c>
      <c r="O31" s="345">
        <f t="shared" si="1"/>
        <v>1.9740552735476594E-2</v>
      </c>
      <c r="P31" s="77" t="str">
        <f>'Table 1.2 complete'!A28</f>
        <v>Slovenia</v>
      </c>
      <c r="Q31" s="194">
        <f>'Table 1.2 complete'!B28</f>
        <v>123</v>
      </c>
      <c r="R31" s="164" t="s">
        <v>235</v>
      </c>
      <c r="S31" s="124">
        <v>6</v>
      </c>
      <c r="T31" s="109">
        <f>'Table 1.2 complete'!E28</f>
        <v>5.7</v>
      </c>
      <c r="U31" s="109">
        <f>'Table 1.2 complete'!F28</f>
        <v>3.27</v>
      </c>
      <c r="V31" s="109" t="str">
        <f>'Table 1.2 complete'!G28</f>
        <v>-</v>
      </c>
      <c r="W31" s="109" t="str">
        <f>'Table 1.2 complete'!H28</f>
        <v>-</v>
      </c>
      <c r="X31" s="109">
        <f>'Table 1.3 complete'!E28</f>
        <v>0.54</v>
      </c>
      <c r="Y31" s="109">
        <f>'Table 1.3 complete'!F28</f>
        <v>4.9400000000000004</v>
      </c>
      <c r="Z31" s="109" t="str">
        <f>'Table 1.3 complete'!G28</f>
        <v>-</v>
      </c>
      <c r="AA31" s="109" t="str">
        <f>'Table 1.3 complete'!H28</f>
        <v>-</v>
      </c>
      <c r="AB31" s="109">
        <f>'Table 1.3 complete'!I28</f>
        <v>0.03</v>
      </c>
      <c r="AC31" s="109">
        <f>'Table 1.3 complete'!J28</f>
        <v>0.45</v>
      </c>
      <c r="AD31" s="109">
        <f>'Table 1.3 complete'!K28</f>
        <v>0.06</v>
      </c>
      <c r="AE31" s="109">
        <f>'Table 1.3 complete'!L28</f>
        <v>0.01</v>
      </c>
      <c r="AF31" s="109" t="str">
        <f>'Table 1.3 complete'!M28</f>
        <v>-</v>
      </c>
      <c r="AG31" s="109">
        <f>'Table 1.3 complete'!N28</f>
        <v>0.05</v>
      </c>
      <c r="AH31" s="149">
        <f>SUM(T31:AG31)</f>
        <v>15.050000000000002</v>
      </c>
      <c r="AI31" s="106">
        <f>AH31-'Table 1.1 complete'!E28</f>
        <v>5.0000000000002487E-2</v>
      </c>
      <c r="AJ31" s="113">
        <f>AH31-'Table 1.2 complete'!K28</f>
        <v>1.000000000000334E-2</v>
      </c>
      <c r="AK31" s="106">
        <f>'Table 1.2 complete'!K28-'Table 1.1 complete'!E28</f>
        <v>3.9999999999999147E-2</v>
      </c>
    </row>
    <row r="32" spans="1:37" ht="15.75" thickBot="1" x14ac:dyDescent="0.3">
      <c r="A32" s="702"/>
      <c r="B32" s="645">
        <v>0.23499999999999999</v>
      </c>
      <c r="C32" s="645">
        <v>3.8679999999999999</v>
      </c>
      <c r="D32" s="645">
        <v>25.155000000000001</v>
      </c>
      <c r="E32" s="647">
        <v>3</v>
      </c>
      <c r="F32" s="647">
        <v>27.5</v>
      </c>
      <c r="G32" s="655" t="s">
        <v>362</v>
      </c>
      <c r="H32" s="656">
        <f>L32*O32</f>
        <v>4.6330289755602168E-2</v>
      </c>
      <c r="I32" s="657">
        <v>29.881</v>
      </c>
      <c r="J32" s="658">
        <v>4.3499999999999996</v>
      </c>
      <c r="K32" s="658">
        <f>0.8*J32</f>
        <v>3.48</v>
      </c>
      <c r="L32" s="659">
        <f>K32/I32</f>
        <v>0.11646196579766406</v>
      </c>
      <c r="M32" s="648">
        <f>N32*O32</f>
        <v>0.39073621215246551</v>
      </c>
      <c r="N32" s="649">
        <f>27.6/(27.6+0.5)</f>
        <v>0.98220640569395012</v>
      </c>
      <c r="O32" s="650">
        <f t="shared" si="1"/>
        <v>0.39781476672044497</v>
      </c>
      <c r="P32" s="703" t="str">
        <f>'Table 1.2 complete'!A29</f>
        <v>Spain</v>
      </c>
      <c r="Q32" s="704">
        <f>'Table 1.2 complete'!B29</f>
        <v>28</v>
      </c>
      <c r="R32" s="705" t="s">
        <v>235</v>
      </c>
      <c r="S32" s="706">
        <v>6</v>
      </c>
      <c r="T32" s="651">
        <f>'Table 1.2 complete'!E29</f>
        <v>55.1</v>
      </c>
      <c r="U32" s="651">
        <f>'Table 1.2 complete'!F29</f>
        <v>30.81</v>
      </c>
      <c r="V32" s="651" t="str">
        <f>'Table 1.2 complete'!G29</f>
        <v>-</v>
      </c>
      <c r="W32" s="651">
        <f>'Table 1.2 complete'!H29</f>
        <v>28.34</v>
      </c>
      <c r="X32" s="651">
        <f>'Table 1.3 complete'!E29</f>
        <v>64.73</v>
      </c>
      <c r="Y32" s="651">
        <f>'Table 1.3 complete'!F29</f>
        <v>8.3699999999999992</v>
      </c>
      <c r="Z32" s="651" t="str">
        <f>'Table 1.3 complete'!G29</f>
        <v>-</v>
      </c>
      <c r="AA32" s="651">
        <f>'Table 1.3 complete'!H29</f>
        <v>1.29</v>
      </c>
      <c r="AB32" s="651">
        <f>'Table 1.3 complete'!I29</f>
        <v>18.510000000000002</v>
      </c>
      <c r="AC32" s="651">
        <f>'Table 1.3 complete'!J29</f>
        <v>92.51</v>
      </c>
      <c r="AD32" s="651">
        <f>'Table 1.3 complete'!K29</f>
        <v>1.55</v>
      </c>
      <c r="AE32" s="651" t="str">
        <f>'Table 1.3 complete'!L29</f>
        <v>-</v>
      </c>
      <c r="AF32" s="651">
        <f>'Table 1.3 complete'!M29</f>
        <v>1.47</v>
      </c>
      <c r="AG32" s="651">
        <f>'Table 1.3 complete'!N29</f>
        <v>0.61</v>
      </c>
      <c r="AH32" s="652">
        <f>SUM(T32:AG32)</f>
        <v>303.29000000000008</v>
      </c>
      <c r="AI32" s="653">
        <f>AH32-'Table 1.1 complete'!E29</f>
        <v>-9.9999999999340616E-3</v>
      </c>
      <c r="AJ32" s="654">
        <f>AH32-'Table 1.2 complete'!K29</f>
        <v>0</v>
      </c>
      <c r="AK32" s="653">
        <f>'Table 1.2 complete'!K29-'Table 1.1 complete'!E29</f>
        <v>-9.9999999999909051E-3</v>
      </c>
    </row>
    <row r="33" spans="1:37" x14ac:dyDescent="0.25">
      <c r="B33" s="926">
        <v>0.7</v>
      </c>
      <c r="C33" s="926">
        <v>0.5</v>
      </c>
      <c r="D33" s="926">
        <v>3.3</v>
      </c>
      <c r="E33" s="862">
        <f>0.08462*U33</f>
        <v>0.27332260000000003</v>
      </c>
      <c r="F33" s="862">
        <f>1*W33</f>
        <v>0.05</v>
      </c>
      <c r="G33" s="923" t="s">
        <v>362</v>
      </c>
      <c r="H33" s="626">
        <f>L33*O33</f>
        <v>1.7581001231527529E-2</v>
      </c>
      <c r="I33" s="864">
        <v>2.4460000000000002</v>
      </c>
      <c r="J33" s="866">
        <v>0.52200000000000002</v>
      </c>
      <c r="K33" s="866">
        <f>0.8*J33</f>
        <v>0.41760000000000003</v>
      </c>
      <c r="L33" s="627">
        <f>K33/I33</f>
        <v>0.17072771872444809</v>
      </c>
      <c r="M33" s="628">
        <f>N33*O33</f>
        <v>5.1488420752294456E-2</v>
      </c>
      <c r="N33" s="629">
        <f>0.5</f>
        <v>0.5</v>
      </c>
      <c r="O33" s="345">
        <f>AH33/SUM($AH$33:$AH$38)</f>
        <v>0.10297684150458891</v>
      </c>
      <c r="P33" s="481" t="str">
        <f>'Table 1.2 complete'!A30</f>
        <v>Bulgaria</v>
      </c>
      <c r="Q33" s="191">
        <f>'Table 1.2 complete'!B30</f>
        <v>115</v>
      </c>
      <c r="R33" s="161" t="s">
        <v>233</v>
      </c>
      <c r="S33" s="121">
        <v>7</v>
      </c>
      <c r="T33" s="109">
        <f>'Table 1.2 complete'!E30</f>
        <v>14.64</v>
      </c>
      <c r="U33" s="109">
        <f>'Table 1.2 complete'!F30</f>
        <v>3.23</v>
      </c>
      <c r="V33" s="109" t="str">
        <f>'Table 1.2 complete'!G30</f>
        <v>-</v>
      </c>
      <c r="W33" s="109">
        <f>'Table 1.2 complete'!H30</f>
        <v>0.05</v>
      </c>
      <c r="X33" s="109">
        <f>'Table 1.3 complete'!E30</f>
        <v>5.92</v>
      </c>
      <c r="Y33" s="109">
        <f>'Table 1.3 complete'!F30</f>
        <v>16.45</v>
      </c>
      <c r="Z33" s="109" t="str">
        <f>'Table 1.3 complete'!G30</f>
        <v>-</v>
      </c>
      <c r="AA33" s="109">
        <f>'Table 1.3 complete'!H30</f>
        <v>0.1</v>
      </c>
      <c r="AB33" s="109">
        <f>'Table 1.3 complete'!I30</f>
        <v>0.56999999999999995</v>
      </c>
      <c r="AC33" s="109">
        <f>'Table 1.3 complete'!J30</f>
        <v>2.34</v>
      </c>
      <c r="AD33" s="109" t="str">
        <f>'Table 1.3 complete'!K30</f>
        <v>-</v>
      </c>
      <c r="AE33" s="109">
        <f>'Table 1.3 complete'!L30</f>
        <v>0.01</v>
      </c>
      <c r="AF33" s="109" t="str">
        <f>'Table 1.3 complete'!M30</f>
        <v>-</v>
      </c>
      <c r="AG33" s="109" t="str">
        <f>'Table 1.3 complete'!N30</f>
        <v>-</v>
      </c>
      <c r="AH33" s="149">
        <f>SUM(T33:AG33)</f>
        <v>43.310000000000009</v>
      </c>
      <c r="AI33" s="106">
        <f>AH33-'Table 1.1 complete'!E30</f>
        <v>1.0000000000012221E-2</v>
      </c>
      <c r="AJ33" s="113">
        <f>AH33-'Table 1.2 complete'!K30</f>
        <v>1.0000000000012221E-2</v>
      </c>
      <c r="AK33" s="106">
        <f>'Table 1.2 complete'!K30-'Table 1.1 complete'!E30</f>
        <v>0</v>
      </c>
    </row>
    <row r="34" spans="1:37" x14ac:dyDescent="0.25">
      <c r="B34" s="504">
        <v>0</v>
      </c>
      <c r="C34" s="504">
        <v>8.7999999999999995E-2</v>
      </c>
      <c r="D34" s="504">
        <v>3.125</v>
      </c>
      <c r="E34" s="490">
        <v>0.4</v>
      </c>
      <c r="F34" s="490">
        <v>0.1</v>
      </c>
      <c r="G34" s="489" t="s">
        <v>362</v>
      </c>
      <c r="H34" s="388">
        <f>L34*O34</f>
        <v>3.9526504593726398E-2</v>
      </c>
      <c r="I34" s="403">
        <v>2.5129999999999999</v>
      </c>
      <c r="J34" s="404">
        <v>0.59199999999999997</v>
      </c>
      <c r="K34" s="404">
        <f>0.8*J34</f>
        <v>0.47360000000000002</v>
      </c>
      <c r="L34" s="353">
        <f>K34/I34</f>
        <v>0.18846000795861523</v>
      </c>
      <c r="M34" s="356">
        <f>N34*O34</f>
        <v>0.20973417661324836</v>
      </c>
      <c r="N34" s="347">
        <f>1</f>
        <v>1</v>
      </c>
      <c r="O34" s="345">
        <f t="shared" ref="O34:O38" si="2">AH34/SUM($AH$33:$AH$38)</f>
        <v>0.20973417661324836</v>
      </c>
      <c r="P34" s="481" t="str">
        <f>'Table 1.2 complete'!A31</f>
        <v>Czech Republic</v>
      </c>
      <c r="Q34" s="191">
        <f>'Table 1.2 complete'!B31</f>
        <v>8</v>
      </c>
      <c r="R34" s="161" t="s">
        <v>233</v>
      </c>
      <c r="S34" s="121">
        <v>7</v>
      </c>
      <c r="T34" s="109">
        <f>'Table 1.2 complete'!E31</f>
        <v>26.17</v>
      </c>
      <c r="U34" s="109">
        <f>'Table 1.2 complete'!F31</f>
        <v>2.52</v>
      </c>
      <c r="V34" s="109" t="str">
        <f>'Table 1.2 complete'!G31</f>
        <v>-</v>
      </c>
      <c r="W34" s="109">
        <f>'Table 1.2 complete'!H31</f>
        <v>0.13</v>
      </c>
      <c r="X34" s="109" t="str">
        <f>'Table 1.3 complete'!E31</f>
        <v>-</v>
      </c>
      <c r="Y34" s="109">
        <f>'Table 1.3 complete'!F31</f>
        <v>53.79</v>
      </c>
      <c r="Z34" s="109" t="str">
        <f>'Table 1.3 complete'!G31</f>
        <v>-</v>
      </c>
      <c r="AA34" s="109">
        <f>'Table 1.3 complete'!H31</f>
        <v>1.0900000000000001</v>
      </c>
      <c r="AB34" s="109">
        <f>'Table 1.3 complete'!I31</f>
        <v>0.12</v>
      </c>
      <c r="AC34" s="109">
        <f>'Table 1.3 complete'!J31</f>
        <v>3.18</v>
      </c>
      <c r="AD34" s="109">
        <f>'Table 1.3 complete'!K31</f>
        <v>0.97</v>
      </c>
      <c r="AE34" s="109" t="str">
        <f>'Table 1.3 complete'!L31</f>
        <v>-</v>
      </c>
      <c r="AF34" s="109">
        <f>'Table 1.3 complete'!M31</f>
        <v>0.02</v>
      </c>
      <c r="AG34" s="109">
        <f>'Table 1.3 complete'!N31</f>
        <v>0.22</v>
      </c>
      <c r="AH34" s="149">
        <f>SUM(T34:AG34)</f>
        <v>88.210000000000008</v>
      </c>
      <c r="AI34" s="106">
        <f>AH34-'Table 1.1 complete'!E31</f>
        <v>1.0000000000005116E-2</v>
      </c>
      <c r="AJ34" s="113">
        <f>AH34-'Table 1.2 complete'!K31</f>
        <v>1.0000000000005116E-2</v>
      </c>
      <c r="AK34" s="106">
        <f>'Table 1.2 complete'!K31-'Table 1.1 complete'!E31</f>
        <v>0</v>
      </c>
    </row>
    <row r="35" spans="1:37" x14ac:dyDescent="0.25">
      <c r="B35" s="504">
        <v>0.90600000000000003</v>
      </c>
      <c r="C35" s="504">
        <v>1.7999999999999999E-2</v>
      </c>
      <c r="D35" s="504">
        <v>7.9359999999999999</v>
      </c>
      <c r="E35" s="490">
        <v>0</v>
      </c>
      <c r="F35" s="490">
        <v>0.1</v>
      </c>
      <c r="G35" s="489" t="s">
        <v>362</v>
      </c>
      <c r="H35" s="388">
        <f>L35*O35</f>
        <v>0</v>
      </c>
      <c r="I35" s="403">
        <v>0.20899999999999999</v>
      </c>
      <c r="J35" s="404">
        <v>0</v>
      </c>
      <c r="K35" s="404">
        <f>0.8*J35</f>
        <v>0</v>
      </c>
      <c r="L35" s="353">
        <f>K35/I35</f>
        <v>0</v>
      </c>
      <c r="M35" s="356">
        <f>N35*O35</f>
        <v>9.50354272671073E-2</v>
      </c>
      <c r="N35" s="347">
        <f>1</f>
        <v>1</v>
      </c>
      <c r="O35" s="345">
        <f t="shared" si="2"/>
        <v>9.50354272671073E-2</v>
      </c>
      <c r="P35" s="481" t="str">
        <f>'Table 1.2 complete'!A32</f>
        <v>Hungary</v>
      </c>
      <c r="Q35" s="191">
        <f>'Table 1.2 complete'!B32</f>
        <v>14</v>
      </c>
      <c r="R35" s="161" t="s">
        <v>233</v>
      </c>
      <c r="S35" s="121">
        <v>7</v>
      </c>
      <c r="T35" s="109">
        <f>'Table 1.2 complete'!E32</f>
        <v>14.68</v>
      </c>
      <c r="U35" s="109">
        <f>'Table 1.2 complete'!F32</f>
        <v>0.21</v>
      </c>
      <c r="V35" s="109" t="str">
        <f>'Table 1.2 complete'!G32</f>
        <v>-</v>
      </c>
      <c r="W35" s="109">
        <f>'Table 1.2 complete'!H32</f>
        <v>0.11</v>
      </c>
      <c r="X35" s="109">
        <f>'Table 1.3 complete'!E32</f>
        <v>0.34</v>
      </c>
      <c r="Y35" s="109">
        <f>'Table 1.3 complete'!F32</f>
        <v>7.04</v>
      </c>
      <c r="Z35" s="109" t="str">
        <f>'Table 1.3 complete'!G32</f>
        <v>-</v>
      </c>
      <c r="AA35" s="109">
        <f>'Table 1.3 complete'!H32</f>
        <v>0.11</v>
      </c>
      <c r="AB35" s="109">
        <f>'Table 1.3 complete'!I32</f>
        <v>0.54</v>
      </c>
      <c r="AC35" s="109">
        <f>'Table 1.3 complete'!J32</f>
        <v>15.23</v>
      </c>
      <c r="AD35" s="109">
        <f>'Table 1.3 complete'!K32</f>
        <v>1.37</v>
      </c>
      <c r="AE35" s="109">
        <f>'Table 1.3 complete'!L32</f>
        <v>0.01</v>
      </c>
      <c r="AF35" s="109">
        <f>'Table 1.3 complete'!M32</f>
        <v>0.28000000000000003</v>
      </c>
      <c r="AG35" s="109">
        <f>'Table 1.3 complete'!N32</f>
        <v>0.05</v>
      </c>
      <c r="AH35" s="149">
        <f>SUM(T35:AG35)</f>
        <v>39.969999999999992</v>
      </c>
      <c r="AI35" s="106">
        <f>AH35-'Table 1.1 complete'!E32</f>
        <v>-3.0000000000008242E-2</v>
      </c>
      <c r="AJ35" s="113">
        <f>AH35-'Table 1.2 complete'!K32</f>
        <v>9.9999999999909051E-3</v>
      </c>
      <c r="AK35" s="106">
        <f>'Table 1.2 complete'!K32-'Table 1.1 complete'!E32</f>
        <v>-3.9999999999999147E-2</v>
      </c>
    </row>
    <row r="36" spans="1:37" x14ac:dyDescent="0.25">
      <c r="B36" s="504">
        <v>90.807000000000002</v>
      </c>
      <c r="C36" s="504">
        <v>2.3039999999999998</v>
      </c>
      <c r="D36" s="504">
        <v>3.0619999999999998</v>
      </c>
      <c r="E36" s="490">
        <v>0.6</v>
      </c>
      <c r="F36" s="490">
        <v>0.5</v>
      </c>
      <c r="G36" s="489" t="s">
        <v>362</v>
      </c>
      <c r="H36" s="388">
        <f>L36*O36</f>
        <v>9.8249461622757994E-2</v>
      </c>
      <c r="I36" s="403">
        <v>2.6840000000000002</v>
      </c>
      <c r="J36" s="404">
        <v>0.87</v>
      </c>
      <c r="K36" s="404">
        <f>0.8*J36</f>
        <v>0.69600000000000006</v>
      </c>
      <c r="L36" s="353">
        <f>K36/I36</f>
        <v>0.25931445603576753</v>
      </c>
      <c r="M36" s="356">
        <f>N36*O36</f>
        <v>0.37888154453373912</v>
      </c>
      <c r="N36" s="347">
        <f>1</f>
        <v>1</v>
      </c>
      <c r="O36" s="345">
        <f t="shared" si="2"/>
        <v>0.37888154453373912</v>
      </c>
      <c r="P36" s="481" t="str">
        <f>'Table 1.2 complete'!A33</f>
        <v>Poland</v>
      </c>
      <c r="Q36" s="191">
        <f>'Table 1.2 complete'!B33</f>
        <v>25</v>
      </c>
      <c r="R36" s="161" t="s">
        <v>233</v>
      </c>
      <c r="S36" s="121">
        <v>7</v>
      </c>
      <c r="T36" s="109" t="str">
        <f>'Table 1.2 complete'!E33</f>
        <v>-</v>
      </c>
      <c r="U36" s="109">
        <f>'Table 1.2 complete'!F33</f>
        <v>2.94</v>
      </c>
      <c r="V36" s="109" t="str">
        <f>'Table 1.2 complete'!G33</f>
        <v>-</v>
      </c>
      <c r="W36" s="109">
        <f>'Table 1.2 complete'!H33</f>
        <v>0.52</v>
      </c>
      <c r="X36" s="109">
        <f>'Table 1.3 complete'!E33</f>
        <v>90.81</v>
      </c>
      <c r="Y36" s="109">
        <f>'Table 1.3 complete'!F33</f>
        <v>54.76</v>
      </c>
      <c r="Z36" s="109" t="str">
        <f>'Table 1.3 complete'!G33</f>
        <v>-</v>
      </c>
      <c r="AA36" s="109">
        <f>'Table 1.3 complete'!H33</f>
        <v>2.06</v>
      </c>
      <c r="AB36" s="109">
        <f>'Table 1.3 complete'!I33</f>
        <v>2.2999999999999998</v>
      </c>
      <c r="AC36" s="109">
        <f>'Table 1.3 complete'!J33</f>
        <v>3.06</v>
      </c>
      <c r="AD36" s="109">
        <f>'Table 1.3 complete'!K33</f>
        <v>2.36</v>
      </c>
      <c r="AE36" s="109">
        <f>'Table 1.3 complete'!L33</f>
        <v>0.34</v>
      </c>
      <c r="AF36" s="109" t="str">
        <f>'Table 1.3 complete'!M33</f>
        <v>-</v>
      </c>
      <c r="AG36" s="109">
        <f>'Table 1.3 complete'!N33</f>
        <v>0.2</v>
      </c>
      <c r="AH36" s="149">
        <f>SUM(T36:AG36)</f>
        <v>159.35000000000002</v>
      </c>
      <c r="AI36" s="106">
        <f>AH36-'Table 1.1 complete'!E33</f>
        <v>5.0000000000011369E-2</v>
      </c>
      <c r="AJ36" s="113">
        <f>AH36-'Table 1.2 complete'!K33</f>
        <v>0</v>
      </c>
      <c r="AK36" s="106">
        <f>'Table 1.2 complete'!K33-'Table 1.1 complete'!E33</f>
        <v>4.9999999999982947E-2</v>
      </c>
    </row>
    <row r="37" spans="1:37" x14ac:dyDescent="0.25">
      <c r="B37" s="512">
        <v>5.4</v>
      </c>
      <c r="C37" s="512">
        <v>0.9</v>
      </c>
      <c r="D37" s="512">
        <v>5.3</v>
      </c>
      <c r="E37" s="487">
        <v>0</v>
      </c>
      <c r="F37" s="487">
        <f>1*W37</f>
        <v>0</v>
      </c>
      <c r="G37" s="489" t="s">
        <v>362</v>
      </c>
      <c r="H37" s="388">
        <f>L37*O37</f>
        <v>1.1265237727108249E-3</v>
      </c>
      <c r="I37" s="403">
        <v>15.622</v>
      </c>
      <c r="J37" s="404">
        <v>0.15</v>
      </c>
      <c r="K37" s="404">
        <f>0.8*J37</f>
        <v>0.12</v>
      </c>
      <c r="L37" s="353">
        <f>K37/I37</f>
        <v>7.6814748431698887E-3</v>
      </c>
      <c r="M37" s="356">
        <f>N37*O37</f>
        <v>0.14665461981073755</v>
      </c>
      <c r="N37" s="347">
        <f>1</f>
        <v>1</v>
      </c>
      <c r="O37" s="345">
        <f t="shared" si="2"/>
        <v>0.14665461981073755</v>
      </c>
      <c r="P37" s="481" t="str">
        <f>'Table 1.2 complete'!A34</f>
        <v>Romania</v>
      </c>
      <c r="Q37" s="191">
        <f>'Table 1.2 complete'!B34</f>
        <v>121</v>
      </c>
      <c r="R37" s="161" t="s">
        <v>233</v>
      </c>
      <c r="S37" s="121">
        <v>7</v>
      </c>
      <c r="T37" s="109">
        <f>'Table 1.2 complete'!E34</f>
        <v>7.71</v>
      </c>
      <c r="U37" s="109">
        <f>'Table 1.2 complete'!F34</f>
        <v>15.97</v>
      </c>
      <c r="V37" s="109" t="str">
        <f>'Table 1.2 complete'!G34</f>
        <v>-</v>
      </c>
      <c r="W37" s="109">
        <f>'Table 1.2 complete'!H34</f>
        <v>0</v>
      </c>
      <c r="X37" s="109">
        <f>'Table 1.3 complete'!E34</f>
        <v>1.89</v>
      </c>
      <c r="Y37" s="109">
        <f>'Table 1.3 complete'!F34</f>
        <v>23.21</v>
      </c>
      <c r="Z37" s="109" t="str">
        <f>'Table 1.3 complete'!G34</f>
        <v>-</v>
      </c>
      <c r="AA37" s="109">
        <f>'Table 1.3 complete'!H34</f>
        <v>0.21</v>
      </c>
      <c r="AB37" s="109">
        <f>'Table 1.3 complete'!I34</f>
        <v>1.1000000000000001</v>
      </c>
      <c r="AC37" s="109">
        <f>'Table 1.3 complete'!J34</f>
        <v>11.56</v>
      </c>
      <c r="AD37" s="109">
        <f>'Table 1.3 complete'!K34</f>
        <v>0.03</v>
      </c>
      <c r="AE37" s="109" t="str">
        <f>'Table 1.3 complete'!L34</f>
        <v>-</v>
      </c>
      <c r="AF37" s="109" t="str">
        <f>'Table 1.3 complete'!M34</f>
        <v>-</v>
      </c>
      <c r="AG37" s="109">
        <f>'Table 1.3 complete'!N34</f>
        <v>0</v>
      </c>
      <c r="AH37" s="149">
        <f>SUM(T37:AG37)</f>
        <v>61.680000000000007</v>
      </c>
      <c r="AI37" s="106">
        <f>AH37-'Table 1.1 complete'!E34</f>
        <v>-1.9999999999996021E-2</v>
      </c>
      <c r="AJ37" s="113">
        <f>AH37-'Table 1.2 complete'!K34</f>
        <v>1.0000000000005116E-2</v>
      </c>
      <c r="AK37" s="106">
        <f>'Table 1.2 complete'!K34-'Table 1.1 complete'!E34</f>
        <v>-3.0000000000001137E-2</v>
      </c>
    </row>
    <row r="38" spans="1:37" ht="15.75" thickBot="1" x14ac:dyDescent="0.3">
      <c r="B38" s="645">
        <v>2.8940000000000001</v>
      </c>
      <c r="C38" s="645">
        <v>0.70199999999999996</v>
      </c>
      <c r="D38" s="645">
        <v>1.617</v>
      </c>
      <c r="E38" s="647">
        <v>0.2</v>
      </c>
      <c r="F38" s="646">
        <f>0.000639*AH38</f>
        <v>1.7930340000000003E-2</v>
      </c>
      <c r="G38" s="655" t="s">
        <v>362</v>
      </c>
      <c r="H38" s="656">
        <f>L38*O38</f>
        <v>2.6621880400585617E-3</v>
      </c>
      <c r="I38" s="657">
        <v>4.5110000000000001</v>
      </c>
      <c r="J38" s="658">
        <v>0.22500000000000001</v>
      </c>
      <c r="K38" s="658">
        <f>0.8*J38</f>
        <v>0.18000000000000002</v>
      </c>
      <c r="L38" s="659">
        <f>K38/I38</f>
        <v>3.9902460651740197E-2</v>
      </c>
      <c r="M38" s="648">
        <f>N38*O38</f>
        <v>3.3358695135289364E-2</v>
      </c>
      <c r="N38" s="660">
        <f>0.5</f>
        <v>0.5</v>
      </c>
      <c r="O38" s="345">
        <f t="shared" si="2"/>
        <v>6.6717390270578728E-2</v>
      </c>
      <c r="P38" s="481" t="str">
        <f>'Table 1.2 complete'!A35</f>
        <v>Slovak Republic</v>
      </c>
      <c r="Q38" s="191">
        <f>'Table 1.2 complete'!B35</f>
        <v>27</v>
      </c>
      <c r="R38" s="161" t="s">
        <v>233</v>
      </c>
      <c r="S38" s="121">
        <v>7</v>
      </c>
      <c r="T38" s="109">
        <f>'Table 1.2 complete'!E35</f>
        <v>15.33</v>
      </c>
      <c r="U38" s="109">
        <f>'Table 1.2 complete'!F35</f>
        <v>4.62</v>
      </c>
      <c r="V38" s="109" t="str">
        <f>'Table 1.2 complete'!G35</f>
        <v>-</v>
      </c>
      <c r="W38" s="109">
        <f>'Table 1.2 complete'!H35</f>
        <v>0.06</v>
      </c>
      <c r="X38" s="109">
        <f>'Table 1.3 complete'!E35</f>
        <v>2.89</v>
      </c>
      <c r="Y38" s="109">
        <f>'Table 1.3 complete'!F35</f>
        <v>1.91</v>
      </c>
      <c r="Z38" s="109" t="str">
        <f>'Table 1.3 complete'!G35</f>
        <v>-</v>
      </c>
      <c r="AA38" s="109">
        <f>'Table 1.3 complete'!H35</f>
        <v>0.42</v>
      </c>
      <c r="AB38" s="109">
        <f>'Table 1.3 complete'!I35</f>
        <v>0.71</v>
      </c>
      <c r="AC38" s="109">
        <f>'Table 1.3 complete'!J35</f>
        <v>1.62</v>
      </c>
      <c r="AD38" s="109">
        <f>'Table 1.3 complete'!K35</f>
        <v>0.44</v>
      </c>
      <c r="AE38" s="109">
        <f>'Table 1.3 complete'!L35</f>
        <v>0</v>
      </c>
      <c r="AF38" s="109">
        <f>'Table 1.3 complete'!M35</f>
        <v>0.05</v>
      </c>
      <c r="AG38" s="109">
        <f>'Table 1.3 complete'!N35</f>
        <v>0.01</v>
      </c>
      <c r="AH38" s="149">
        <f>SUM(T38:AG38)</f>
        <v>28.060000000000006</v>
      </c>
      <c r="AI38" s="106">
        <f>AH38-'Table 1.1 complete'!E35</f>
        <v>-3.9999999999995595E-2</v>
      </c>
      <c r="AJ38" s="113">
        <f>AH38-'Table 1.2 complete'!K35</f>
        <v>0</v>
      </c>
      <c r="AK38" s="106">
        <f>'Table 1.2 complete'!K35-'Table 1.1 complete'!E35</f>
        <v>-4.00000000000027E-2</v>
      </c>
    </row>
    <row r="39" spans="1:37" s="377" customFormat="1" x14ac:dyDescent="0.25">
      <c r="A39" s="379"/>
      <c r="B39" s="486">
        <v>3.3170000000000002</v>
      </c>
      <c r="C39" s="486">
        <v>0</v>
      </c>
      <c r="D39" s="486">
        <v>7.0819999999999999</v>
      </c>
      <c r="E39" s="486">
        <v>0.3</v>
      </c>
      <c r="F39" s="486">
        <v>2.6</v>
      </c>
      <c r="G39"/>
      <c r="H39" s="86"/>
      <c r="I39" s="86"/>
      <c r="J39" s="86"/>
      <c r="K39" s="86"/>
      <c r="L39" s="144"/>
      <c r="M39" s="86"/>
      <c r="N39" s="144"/>
      <c r="O39" s="630">
        <f>AH39/SUM($AH$39:$AH$46)</f>
        <v>8.771730641537738E-2</v>
      </c>
      <c r="P39" s="672" t="str">
        <f>'Table 1.2 complete'!A36</f>
        <v>Australia</v>
      </c>
      <c r="Q39" s="673">
        <f>'Table 1.2 complete'!B36</f>
        <v>4</v>
      </c>
      <c r="R39" s="674" t="s">
        <v>420</v>
      </c>
      <c r="S39" s="675">
        <v>8</v>
      </c>
      <c r="T39" s="635" t="str">
        <f>'Table 1.2 complete'!E36</f>
        <v>-</v>
      </c>
      <c r="U39" s="636">
        <f>'Table 1.2 complete'!F36</f>
        <v>14.72</v>
      </c>
      <c r="V39" s="636" t="str">
        <f>'Table 1.2 complete'!G36</f>
        <v>-</v>
      </c>
      <c r="W39" s="636">
        <f>'Table 1.2 complete'!H36</f>
        <v>2.62</v>
      </c>
      <c r="X39" s="636">
        <f>'Table 1.3 complete'!E36</f>
        <v>134.62</v>
      </c>
      <c r="Y39" s="636">
        <f>'Table 1.3 complete'!F36</f>
        <v>57.5</v>
      </c>
      <c r="Z39" s="636" t="str">
        <f>'Table 1.3 complete'!G36</f>
        <v>-</v>
      </c>
      <c r="AA39" s="636">
        <f>'Table 1.3 complete'!H36</f>
        <v>2.12</v>
      </c>
      <c r="AB39" s="636">
        <f>'Table 1.3 complete'!I36</f>
        <v>2.1800000000000002</v>
      </c>
      <c r="AC39" s="636">
        <f>'Table 1.3 complete'!J36</f>
        <v>39.17</v>
      </c>
      <c r="AD39" s="636">
        <f>'Table 1.3 complete'!K36</f>
        <v>1.1000000000000001</v>
      </c>
      <c r="AE39" s="636" t="str">
        <f>'Table 1.3 complete'!L36</f>
        <v>-</v>
      </c>
      <c r="AF39" s="636" t="str">
        <f>'Table 1.3 complete'!M36</f>
        <v>-</v>
      </c>
      <c r="AG39" s="636">
        <f>'Table 1.3 complete'!N36</f>
        <v>0.93</v>
      </c>
      <c r="AH39" s="637">
        <f>SUM(T39:AG39)</f>
        <v>254.96</v>
      </c>
      <c r="AI39" s="638">
        <f>AH39-'Table 1.1 complete'!E36</f>
        <v>-3.9999999999992042E-2</v>
      </c>
      <c r="AJ39" s="639">
        <f>AH39-'Table 1.2 complete'!K36</f>
        <v>-9.9999999999909051E-3</v>
      </c>
      <c r="AK39" s="638">
        <f>'Table 1.2 complete'!K36-'Table 1.1 complete'!E36</f>
        <v>-3.0000000000001137E-2</v>
      </c>
    </row>
    <row r="40" spans="1:37" s="377" customFormat="1" x14ac:dyDescent="0.25">
      <c r="A40" s="379"/>
      <c r="B40" s="486">
        <v>0</v>
      </c>
      <c r="C40" s="486">
        <v>0.01</v>
      </c>
      <c r="D40" s="486">
        <v>9.7080000000000002</v>
      </c>
      <c r="E40" s="486">
        <v>0.1</v>
      </c>
      <c r="F40" s="486">
        <v>3</v>
      </c>
      <c r="G40"/>
      <c r="H40" s="86"/>
      <c r="I40" s="86"/>
      <c r="J40" s="86"/>
      <c r="K40" s="86"/>
      <c r="L40" s="144"/>
      <c r="M40" s="86"/>
      <c r="N40" s="144"/>
      <c r="O40" s="677">
        <f t="shared" ref="O40:O46" si="3">AH40/SUM($AH$39:$AH$46)</f>
        <v>0.22013617237950744</v>
      </c>
      <c r="P40" s="482" t="str">
        <f>'Table 1.2 complete'!A37</f>
        <v>Canada</v>
      </c>
      <c r="Q40" s="201">
        <f>'Table 1.2 complete'!B37</f>
        <v>7</v>
      </c>
      <c r="R40" s="170" t="s">
        <v>420</v>
      </c>
      <c r="S40" s="130">
        <v>8</v>
      </c>
      <c r="T40" s="109">
        <f>'Table 1.2 complete'!E37</f>
        <v>93.49</v>
      </c>
      <c r="U40" s="109">
        <f>'Table 1.2 complete'!F37</f>
        <v>368.52</v>
      </c>
      <c r="V40" s="109" t="str">
        <f>'Table 1.2 complete'!G37</f>
        <v>-</v>
      </c>
      <c r="W40" s="109">
        <f>'Table 1.2 complete'!H37</f>
        <v>3.08</v>
      </c>
      <c r="X40" s="109">
        <f>'Table 1.3 complete'!E37</f>
        <v>45.89</v>
      </c>
      <c r="Y40" s="109">
        <f>'Table 1.3 complete'!F37</f>
        <v>69.75</v>
      </c>
      <c r="Z40" s="109" t="str">
        <f>'Table 1.3 complete'!G37</f>
        <v>-</v>
      </c>
      <c r="AA40" s="109">
        <f>'Table 1.3 complete'!H37</f>
        <v>0.11</v>
      </c>
      <c r="AB40" s="109">
        <f>'Table 1.3 complete'!I37</f>
        <v>9.85</v>
      </c>
      <c r="AC40" s="109">
        <f>'Table 1.3 complete'!J37</f>
        <v>40.700000000000003</v>
      </c>
      <c r="AD40" s="109">
        <f>'Table 1.3 complete'!K37</f>
        <v>7.53</v>
      </c>
      <c r="AE40" s="109" t="str">
        <f>'Table 1.3 complete'!L37</f>
        <v>-</v>
      </c>
      <c r="AF40" s="109">
        <f>'Table 1.3 complete'!M37</f>
        <v>0.16</v>
      </c>
      <c r="AG40" s="109">
        <f>'Table 1.3 complete'!N37</f>
        <v>0.77</v>
      </c>
      <c r="AH40" s="149">
        <f>SUM(T40:AG40)</f>
        <v>639.85</v>
      </c>
      <c r="AI40" s="106">
        <f>AH40-'Table 1.1 complete'!E37</f>
        <v>5.0000000000068212E-2</v>
      </c>
      <c r="AJ40" s="113">
        <f>AH40-'Table 1.2 complete'!K37</f>
        <v>9.9999999999909051E-3</v>
      </c>
      <c r="AK40" s="106">
        <f>'Table 1.2 complete'!K37-'Table 1.1 complete'!E37</f>
        <v>4.0000000000077307E-2</v>
      </c>
    </row>
    <row r="41" spans="1:37" s="377" customFormat="1" x14ac:dyDescent="0.25">
      <c r="A41" s="379"/>
      <c r="B41" s="504">
        <v>2E-3</v>
      </c>
      <c r="C41" s="504">
        <v>0</v>
      </c>
      <c r="D41" s="504">
        <v>0</v>
      </c>
      <c r="E41" s="490">
        <v>0</v>
      </c>
      <c r="F41" s="490">
        <v>0</v>
      </c>
      <c r="G41" s="350" t="s">
        <v>345</v>
      </c>
      <c r="H41" s="366">
        <f t="shared" ref="H41" si="4">L41*O41</f>
        <v>0</v>
      </c>
      <c r="I41" s="366"/>
      <c r="J41" s="395"/>
      <c r="K41" s="395"/>
      <c r="L41" s="348">
        <f>L42</f>
        <v>0</v>
      </c>
      <c r="M41" s="356">
        <f t="shared" ref="M41" si="5">N41*O41</f>
        <v>4.1140813525034322E-3</v>
      </c>
      <c r="N41" s="348">
        <f>0.999</f>
        <v>0.999</v>
      </c>
      <c r="O41" s="677">
        <f t="shared" si="3"/>
        <v>4.1181995520554876E-3</v>
      </c>
      <c r="P41" s="482" t="str">
        <f>'Table 1.2 complete'!A38</f>
        <v>Iceland</v>
      </c>
      <c r="Q41" s="201">
        <f>'Table 1.2 complete'!B38</f>
        <v>15</v>
      </c>
      <c r="R41" s="170" t="s">
        <v>420</v>
      </c>
      <c r="S41" s="130">
        <v>8</v>
      </c>
      <c r="T41" s="109" t="str">
        <f>'Table 1.2 complete'!E38</f>
        <v>-</v>
      </c>
      <c r="U41" s="109">
        <f>'Table 1.2 complete'!F38</f>
        <v>8.39</v>
      </c>
      <c r="V41" s="109">
        <f>'Table 1.2 complete'!G38</f>
        <v>3.58</v>
      </c>
      <c r="W41" s="109" t="str">
        <f>'Table 1.2 complete'!H38</f>
        <v>-</v>
      </c>
      <c r="X41" s="109" t="str">
        <f>'Table 1.3 complete'!E38</f>
        <v>-</v>
      </c>
      <c r="Y41" s="109" t="str">
        <f>'Table 1.3 complete'!F38</f>
        <v>-</v>
      </c>
      <c r="Z41" s="109" t="str">
        <f>'Table 1.3 complete'!G38</f>
        <v>-</v>
      </c>
      <c r="AA41" s="109" t="str">
        <f>'Table 1.3 complete'!H38</f>
        <v>-</v>
      </c>
      <c r="AB41" s="109">
        <f>'Table 1.3 complete'!I38</f>
        <v>0</v>
      </c>
      <c r="AC41" s="109" t="str">
        <f>'Table 1.3 complete'!J38</f>
        <v>-</v>
      </c>
      <c r="AD41" s="109" t="str">
        <f>'Table 1.3 complete'!K38</f>
        <v>-</v>
      </c>
      <c r="AE41" s="109" t="str">
        <f>'Table 1.3 complete'!L38</f>
        <v>-</v>
      </c>
      <c r="AF41" s="109">
        <f>'Table 1.3 complete'!M38</f>
        <v>0</v>
      </c>
      <c r="AG41" s="109" t="str">
        <f>'Table 1.3 complete'!N38</f>
        <v>-</v>
      </c>
      <c r="AH41" s="149">
        <f>SUM(T41:AG41)</f>
        <v>11.97</v>
      </c>
      <c r="AI41" s="106">
        <f>AH41-'Table 1.1 complete'!E38</f>
        <v>-2.9999999999999361E-2</v>
      </c>
      <c r="AJ41" s="113">
        <f>AH41-'Table 1.2 complete'!K38</f>
        <v>-9.9999999999997868E-3</v>
      </c>
      <c r="AK41" s="106">
        <f>'Table 1.2 complete'!K38-'Table 1.1 complete'!E38</f>
        <v>-1.9999999999999574E-2</v>
      </c>
    </row>
    <row r="42" spans="1:37" s="377" customFormat="1" x14ac:dyDescent="0.25">
      <c r="A42" s="517" t="s">
        <v>397</v>
      </c>
      <c r="B42" s="518">
        <f>(B43/X43)*X42</f>
        <v>4.4546996513470676</v>
      </c>
      <c r="C42" s="518">
        <f>(C43/AB43)*AB42</f>
        <v>31.864238284352663</v>
      </c>
      <c r="D42" s="518">
        <f>(D43/AC43)*AC42</f>
        <v>55.389042739193783</v>
      </c>
      <c r="E42" s="486">
        <v>10.199999999999999</v>
      </c>
      <c r="F42" s="486">
        <v>2.6</v>
      </c>
      <c r="G42"/>
      <c r="H42" s="86"/>
      <c r="I42" s="86"/>
      <c r="J42" s="86"/>
      <c r="K42" s="86"/>
      <c r="L42" s="144"/>
      <c r="M42" s="86"/>
      <c r="N42" s="144"/>
      <c r="O42" s="677">
        <f t="shared" si="3"/>
        <v>0.39004888856778175</v>
      </c>
      <c r="P42" s="482" t="str">
        <f>'Table 1.2 complete'!A39</f>
        <v>Japan</v>
      </c>
      <c r="Q42" s="201">
        <f>'Table 1.2 complete'!B39</f>
        <v>18</v>
      </c>
      <c r="R42" s="170" t="str">
        <f>'Table 1.2 complete'!C39</f>
        <v>OEC</v>
      </c>
      <c r="S42" s="130">
        <v>8</v>
      </c>
      <c r="T42" s="109">
        <f>'Table 1.2 complete'!E39</f>
        <v>263.83</v>
      </c>
      <c r="U42" s="109">
        <f>'Table 1.2 complete'!F39</f>
        <v>84.23</v>
      </c>
      <c r="V42" s="109">
        <f>'Table 1.2 complete'!G39</f>
        <v>3.04</v>
      </c>
      <c r="W42" s="109">
        <f>'Table 1.2 complete'!H39</f>
        <v>2.63</v>
      </c>
      <c r="X42" s="109">
        <f>'Table 1.3 complete'!E39</f>
        <v>272.27</v>
      </c>
      <c r="Y42" s="109" t="str">
        <f>'Table 1.3 complete'!F39</f>
        <v>-</v>
      </c>
      <c r="Z42" s="109" t="str">
        <f>'Table 1.3 complete'!G39</f>
        <v>-</v>
      </c>
      <c r="AA42" s="109">
        <f>'Table 1.3 complete'!H39</f>
        <v>38.53</v>
      </c>
      <c r="AB42" s="109">
        <f>'Table 1.3 complete'!I39</f>
        <v>156.28</v>
      </c>
      <c r="AC42" s="109">
        <f>'Table 1.3 complete'!J39</f>
        <v>289.88</v>
      </c>
      <c r="AD42" s="109">
        <f>'Table 1.3 complete'!K39</f>
        <v>15.76</v>
      </c>
      <c r="AE42" s="109">
        <f>'Table 1.3 complete'!L39</f>
        <v>0.43</v>
      </c>
      <c r="AF42" s="109">
        <f>'Table 1.3 complete'!M39</f>
        <v>6.84</v>
      </c>
      <c r="AG42" s="109" t="str">
        <f>'Table 1.3 complete'!N39</f>
        <v>-</v>
      </c>
      <c r="AH42" s="149">
        <f>SUM(T42:AG42)</f>
        <v>1133.72</v>
      </c>
      <c r="AI42" s="106">
        <f>AH42-'Table 1.1 complete'!E39</f>
        <v>1.999999999998181E-2</v>
      </c>
      <c r="AJ42" s="113">
        <f>AH42-'Table 1.2 complete'!K39</f>
        <v>9.9999999999909051E-3</v>
      </c>
      <c r="AK42" s="106">
        <f>'Table 1.2 complete'!K39-'Table 1.1 complete'!E39</f>
        <v>9.9999999999909051E-3</v>
      </c>
    </row>
    <row r="43" spans="1:37" s="377" customFormat="1" x14ac:dyDescent="0.25">
      <c r="A43" s="379"/>
      <c r="B43" s="486">
        <v>2.581</v>
      </c>
      <c r="C43" s="486">
        <v>5.1340000000000003</v>
      </c>
      <c r="D43" s="486">
        <v>15.737</v>
      </c>
      <c r="E43" s="486">
        <v>1.4</v>
      </c>
      <c r="F43" s="486">
        <v>0.4</v>
      </c>
      <c r="G43"/>
      <c r="H43" s="86"/>
      <c r="I43" s="86"/>
      <c r="J43" s="86"/>
      <c r="K43" s="86"/>
      <c r="L43" s="144"/>
      <c r="M43" s="86"/>
      <c r="N43" s="144"/>
      <c r="O43" s="677">
        <f t="shared" si="3"/>
        <v>0.14702006805178541</v>
      </c>
      <c r="P43" s="482" t="str">
        <f>'Table 1.2 complete'!A40</f>
        <v>Korea</v>
      </c>
      <c r="Q43" s="201">
        <f>'Table 1.2 complete'!B40</f>
        <v>19</v>
      </c>
      <c r="R43" s="170" t="str">
        <f>'Table 1.2 complete'!C40</f>
        <v>OEC</v>
      </c>
      <c r="S43" s="130">
        <v>8</v>
      </c>
      <c r="T43" s="109">
        <f>'Table 1.2 complete'!E40</f>
        <v>142.94</v>
      </c>
      <c r="U43" s="109">
        <f>'Table 1.2 complete'!F40</f>
        <v>5.04</v>
      </c>
      <c r="V43" s="109" t="str">
        <f>'Table 1.2 complete'!G40</f>
        <v>-</v>
      </c>
      <c r="W43" s="109">
        <f>'Table 1.2 complete'!H40</f>
        <v>0.52</v>
      </c>
      <c r="X43" s="109">
        <f>'Table 1.3 complete'!E40</f>
        <v>157.75</v>
      </c>
      <c r="Y43" s="109" t="str">
        <f>'Table 1.3 complete'!F40</f>
        <v>-</v>
      </c>
      <c r="Z43" s="109" t="str">
        <f>'Table 1.3 complete'!G40</f>
        <v>-</v>
      </c>
      <c r="AA43" s="109">
        <f>'Table 1.3 complete'!H40</f>
        <v>12.96</v>
      </c>
      <c r="AB43" s="109">
        <f>'Table 1.3 complete'!I40</f>
        <v>25.18</v>
      </c>
      <c r="AC43" s="109">
        <f>'Table 1.3 complete'!J40</f>
        <v>82.36</v>
      </c>
      <c r="AD43" s="109">
        <f>'Table 1.3 complete'!K40</f>
        <v>0.03</v>
      </c>
      <c r="AE43" s="109">
        <f>'Table 1.3 complete'!L40</f>
        <v>0.01</v>
      </c>
      <c r="AF43" s="109">
        <f>'Table 1.3 complete'!M40</f>
        <v>0.2</v>
      </c>
      <c r="AG43" s="109">
        <f>'Table 1.3 complete'!N40</f>
        <v>0.34</v>
      </c>
      <c r="AH43" s="149">
        <f>SUM(T43:AG43)</f>
        <v>427.32999999999993</v>
      </c>
      <c r="AI43" s="106">
        <f>AH43-'Table 1.1 complete'!E40</f>
        <v>2.9999999999915872E-2</v>
      </c>
      <c r="AJ43" s="113">
        <f>AH43-'Table 1.2 complete'!K40</f>
        <v>9.9999999999340616E-3</v>
      </c>
      <c r="AK43" s="106">
        <f>'Table 1.2 complete'!K40-'Table 1.1 complete'!E40</f>
        <v>1.999999999998181E-2</v>
      </c>
    </row>
    <row r="44" spans="1:37" s="377" customFormat="1" x14ac:dyDescent="0.25">
      <c r="A44" s="379" t="s">
        <v>393</v>
      </c>
      <c r="B44" s="510">
        <v>0</v>
      </c>
      <c r="C44" s="510">
        <v>0</v>
      </c>
      <c r="D44" s="510">
        <v>0</v>
      </c>
      <c r="E44" s="486">
        <v>0</v>
      </c>
      <c r="F44" s="486">
        <v>0.3</v>
      </c>
      <c r="G44"/>
      <c r="H44" s="86"/>
      <c r="I44" s="86"/>
      <c r="J44" s="86"/>
      <c r="K44" s="86"/>
      <c r="L44" s="144"/>
      <c r="M44" s="86"/>
      <c r="N44" s="144"/>
      <c r="O44" s="677">
        <f t="shared" si="3"/>
        <v>8.8573974492621999E-2</v>
      </c>
      <c r="P44" s="482" t="str">
        <f>'Table 1.2 complete'!A41</f>
        <v>Mexico</v>
      </c>
      <c r="Q44" s="201">
        <f>'Table 1.2 complete'!B41</f>
        <v>21</v>
      </c>
      <c r="R44" s="170" t="str">
        <f>'Table 1.2 complete'!C41</f>
        <v>OEC</v>
      </c>
      <c r="S44" s="130">
        <v>8</v>
      </c>
      <c r="T44" s="109">
        <f>'Table 1.2 complete'!E41</f>
        <v>10.42</v>
      </c>
      <c r="U44" s="109">
        <f>'Table 1.2 complete'!F41</f>
        <v>27.28</v>
      </c>
      <c r="V44" s="109">
        <f>'Table 1.2 complete'!G41</f>
        <v>7.4</v>
      </c>
      <c r="W44" s="109">
        <f>'Table 1.2 complete'!H41</f>
        <v>0.27</v>
      </c>
      <c r="X44" s="109">
        <f>'Table 1.3 complete'!E41</f>
        <v>31.33</v>
      </c>
      <c r="Y44" s="109" t="str">
        <f>'Table 1.3 complete'!F41</f>
        <v>-</v>
      </c>
      <c r="Z44" s="109" t="str">
        <f>'Table 1.3 complete'!G41</f>
        <v>-</v>
      </c>
      <c r="AA44" s="109">
        <f>'Table 1.3 complete'!H41</f>
        <v>0.23</v>
      </c>
      <c r="AB44" s="109">
        <f>'Table 1.3 complete'!I41</f>
        <v>52.26</v>
      </c>
      <c r="AC44" s="109">
        <f>'Table 1.3 complete'!J41</f>
        <v>125.61</v>
      </c>
      <c r="AD44" s="109">
        <f>'Table 1.3 complete'!K41</f>
        <v>2.62</v>
      </c>
      <c r="AE44" s="109" t="str">
        <f>'Table 1.3 complete'!L41</f>
        <v>-</v>
      </c>
      <c r="AF44" s="109" t="str">
        <f>'Table 1.3 complete'!M41</f>
        <v>-</v>
      </c>
      <c r="AG44" s="109">
        <f>'Table 1.3 complete'!N41</f>
        <v>0.03</v>
      </c>
      <c r="AH44" s="149">
        <f>SUM(T44:AG44)</f>
        <v>257.45</v>
      </c>
      <c r="AI44" s="106">
        <f>AH44-'Table 1.1 complete'!E41</f>
        <v>-5.0000000000011369E-2</v>
      </c>
      <c r="AJ44" s="113">
        <f>AH44-'Table 1.2 complete'!K41</f>
        <v>-9.9999999999909051E-3</v>
      </c>
      <c r="AK44" s="106">
        <f>'Table 1.2 complete'!K41-'Table 1.1 complete'!E41</f>
        <v>-4.0000000000020464E-2</v>
      </c>
    </row>
    <row r="45" spans="1:37" s="377" customFormat="1" x14ac:dyDescent="0.25">
      <c r="A45" s="379"/>
      <c r="B45" s="486">
        <v>5.7000000000000002E-2</v>
      </c>
      <c r="C45" s="486">
        <v>0</v>
      </c>
      <c r="D45" s="486">
        <v>0.69099999999999995</v>
      </c>
      <c r="E45" s="486">
        <v>0</v>
      </c>
      <c r="F45" s="486">
        <v>0.9</v>
      </c>
      <c r="G45"/>
      <c r="H45" s="86"/>
      <c r="I45" s="86"/>
      <c r="J45" s="86"/>
      <c r="K45" s="86"/>
      <c r="L45" s="144"/>
      <c r="M45" s="86"/>
      <c r="N45" s="144"/>
      <c r="O45" s="677">
        <f t="shared" si="3"/>
        <v>1.508630328802282E-2</v>
      </c>
      <c r="P45" s="482" t="str">
        <f>'Table 1.2 complete'!A42</f>
        <v>New Zealand</v>
      </c>
      <c r="Q45" s="201">
        <f>'Table 1.2 complete'!B42</f>
        <v>23</v>
      </c>
      <c r="R45" s="170" t="str">
        <f>'Table 1.2 complete'!C42</f>
        <v>OEC</v>
      </c>
      <c r="S45" s="130">
        <v>8</v>
      </c>
      <c r="T45" s="109" t="str">
        <f>'Table 1.2 complete'!E42</f>
        <v>-</v>
      </c>
      <c r="U45" s="109">
        <f>'Table 1.2 complete'!F42</f>
        <v>23.52</v>
      </c>
      <c r="V45" s="109">
        <f>'Table 1.2 complete'!G42</f>
        <v>3.46</v>
      </c>
      <c r="W45" s="109">
        <f>'Table 1.2 complete'!H42</f>
        <v>0.98</v>
      </c>
      <c r="X45" s="109">
        <f>'Table 1.3 complete'!E42</f>
        <v>2.58</v>
      </c>
      <c r="Y45" s="109" t="str">
        <f>'Table 1.3 complete'!F42</f>
        <v>-</v>
      </c>
      <c r="Z45" s="109" t="str">
        <f>'Table 1.3 complete'!G42</f>
        <v>-</v>
      </c>
      <c r="AA45" s="109">
        <f>'Table 1.3 complete'!H42</f>
        <v>0.55000000000000004</v>
      </c>
      <c r="AB45" s="109">
        <f>'Table 1.3 complete'!I42</f>
        <v>0</v>
      </c>
      <c r="AC45" s="109">
        <f>'Table 1.3 complete'!J42</f>
        <v>11.98</v>
      </c>
      <c r="AD45" s="109">
        <f>'Table 1.3 complete'!K42</f>
        <v>0.56999999999999995</v>
      </c>
      <c r="AE45" s="109" t="str">
        <f>'Table 1.3 complete'!L42</f>
        <v>-</v>
      </c>
      <c r="AF45" s="109" t="str">
        <f>'Table 1.3 complete'!M42</f>
        <v>-</v>
      </c>
      <c r="AG45" s="109">
        <f>'Table 1.3 complete'!N42</f>
        <v>0.21</v>
      </c>
      <c r="AH45" s="149">
        <f>SUM(T45:AG45)</f>
        <v>43.85</v>
      </c>
      <c r="AI45" s="106">
        <f>AH45-'Table 1.1 complete'!E42</f>
        <v>5.0000000000004263E-2</v>
      </c>
      <c r="AJ45" s="113">
        <f>AH45-'Table 1.2 complete'!K42</f>
        <v>0</v>
      </c>
      <c r="AK45" s="106">
        <f>'Table 1.2 complete'!K42-'Table 1.1 complete'!E42</f>
        <v>5.0000000000004263E-2</v>
      </c>
    </row>
    <row r="46" spans="1:37" s="377" customFormat="1" ht="15.75" thickBot="1" x14ac:dyDescent="0.3">
      <c r="A46" s="509"/>
      <c r="B46" s="874">
        <v>0.05</v>
      </c>
      <c r="C46" s="874">
        <v>0</v>
      </c>
      <c r="D46" s="874">
        <v>0</v>
      </c>
      <c r="E46" s="875">
        <v>1.1000000000000001</v>
      </c>
      <c r="F46" s="875">
        <v>0.9</v>
      </c>
      <c r="G46" s="876" t="s">
        <v>344</v>
      </c>
      <c r="H46" s="877">
        <f t="shared" ref="H46" si="6">L46*O46</f>
        <v>5.0282516569292524E-4</v>
      </c>
      <c r="I46" s="877"/>
      <c r="J46" s="878"/>
      <c r="K46" s="878"/>
      <c r="L46" s="879">
        <f>1.5/141.1</f>
        <v>1.0630758327427357E-2</v>
      </c>
      <c r="M46" s="880">
        <f t="shared" ref="M46" si="7">N46*O46</f>
        <v>4.729908725284783E-2</v>
      </c>
      <c r="N46" s="881">
        <f>1</f>
        <v>1</v>
      </c>
      <c r="O46" s="679">
        <f t="shared" si="3"/>
        <v>4.729908725284783E-2</v>
      </c>
      <c r="P46" s="680" t="str">
        <f>'Table 1.2 complete'!A43</f>
        <v>Norway</v>
      </c>
      <c r="Q46" s="681">
        <f>'Table 1.2 complete'!B43</f>
        <v>24</v>
      </c>
      <c r="R46" s="682" t="str">
        <f>'Table 1.2 complete'!C43</f>
        <v>OEC</v>
      </c>
      <c r="S46" s="683">
        <v>8</v>
      </c>
      <c r="T46" s="651" t="str">
        <f>'Table 1.2 complete'!E43</f>
        <v>-</v>
      </c>
      <c r="U46" s="651">
        <f>'Table 1.2 complete'!F43</f>
        <v>135.05000000000001</v>
      </c>
      <c r="V46" s="651" t="str">
        <f>'Table 1.2 complete'!G43</f>
        <v>-</v>
      </c>
      <c r="W46" s="651">
        <f>'Table 1.2 complete'!H43</f>
        <v>1.08</v>
      </c>
      <c r="X46" s="651">
        <f>'Table 1.3 complete'!E43</f>
        <v>0.05</v>
      </c>
      <c r="Y46" s="651" t="str">
        <f>'Table 1.3 complete'!F43</f>
        <v>-</v>
      </c>
      <c r="Z46" s="651" t="str">
        <f>'Table 1.3 complete'!G43</f>
        <v>-</v>
      </c>
      <c r="AA46" s="651">
        <f>'Table 1.3 complete'!H43</f>
        <v>0.09</v>
      </c>
      <c r="AB46" s="651">
        <f>'Table 1.3 complete'!I43</f>
        <v>0.03</v>
      </c>
      <c r="AC46" s="651">
        <f>'Table 1.3 complete'!J43</f>
        <v>0.73</v>
      </c>
      <c r="AD46" s="651">
        <f>'Table 1.3 complete'!K43</f>
        <v>0.32</v>
      </c>
      <c r="AE46" s="651">
        <f>'Table 1.3 complete'!L43</f>
        <v>0.01</v>
      </c>
      <c r="AF46" s="651">
        <f>'Table 1.3 complete'!M43</f>
        <v>0.12</v>
      </c>
      <c r="AG46" s="651" t="str">
        <f>'Table 1.3 complete'!N43</f>
        <v>-</v>
      </c>
      <c r="AH46" s="652">
        <f>SUM(T46:AG46)</f>
        <v>137.48000000000002</v>
      </c>
      <c r="AI46" s="653">
        <f>AH46-'Table 1.1 complete'!E43</f>
        <v>-1.999999999998181E-2</v>
      </c>
      <c r="AJ46" s="654">
        <f>AH46-'Table 1.2 complete'!K43</f>
        <v>1.0000000000019327E-2</v>
      </c>
      <c r="AK46" s="653">
        <f>'Table 1.2 complete'!K43-'Table 1.1 complete'!E43</f>
        <v>-3.0000000000001137E-2</v>
      </c>
    </row>
    <row r="47" spans="1:37" s="377" customFormat="1" ht="16.5" thickTop="1" thickBot="1" x14ac:dyDescent="0.3">
      <c r="A47" s="691"/>
      <c r="B47" s="661">
        <v>56.548000000000002</v>
      </c>
      <c r="C47" s="661">
        <v>18.748000000000001</v>
      </c>
      <c r="D47" s="661">
        <v>213.69900000000001</v>
      </c>
      <c r="E47" s="662">
        <v>25.9</v>
      </c>
      <c r="F47" s="662">
        <v>34.6</v>
      </c>
      <c r="G47" s="691"/>
      <c r="H47" s="692" t="s">
        <v>338</v>
      </c>
      <c r="I47" s="692"/>
      <c r="J47" s="692"/>
      <c r="K47" s="692"/>
      <c r="L47" s="692"/>
      <c r="M47" s="692" t="s">
        <v>338</v>
      </c>
      <c r="N47" s="663"/>
      <c r="O47" s="886">
        <f>AH47/AH47</f>
        <v>1</v>
      </c>
      <c r="P47" s="664" t="str">
        <f>'Table 1.2 complete'!A44</f>
        <v>United States</v>
      </c>
      <c r="Q47" s="665">
        <f>'Table 1.2 complete'!B44</f>
        <v>33</v>
      </c>
      <c r="R47" s="666" t="str">
        <f>'Table 1.2 complete'!C44</f>
        <v>USA</v>
      </c>
      <c r="S47" s="667">
        <v>9</v>
      </c>
      <c r="T47" s="668">
        <f>'Table 1.2 complete'!E44</f>
        <v>836.63</v>
      </c>
      <c r="U47" s="668">
        <f>'Table 1.2 complete'!F44</f>
        <v>275.55</v>
      </c>
      <c r="V47" s="668">
        <f>'Table 1.2 complete'!G44</f>
        <v>16.8</v>
      </c>
      <c r="W47" s="668">
        <f>'Table 1.2 complete'!H44</f>
        <v>36.44</v>
      </c>
      <c r="X47" s="668">
        <f>'Table 1.3 complete'!E44</f>
        <v>2024.23</v>
      </c>
      <c r="Y47" s="668">
        <f>'Table 1.3 complete'!F44</f>
        <v>90.23</v>
      </c>
      <c r="Z47" s="668" t="str">
        <f>'Table 1.3 complete'!G44</f>
        <v>-</v>
      </c>
      <c r="AA47" s="668">
        <f>'Table 1.3 complete'!H44</f>
        <v>3.99</v>
      </c>
      <c r="AB47" s="668">
        <f>'Table 1.3 complete'!I44</f>
        <v>78.14</v>
      </c>
      <c r="AC47" s="668">
        <f>'Table 1.3 complete'!J44</f>
        <v>915.2</v>
      </c>
      <c r="AD47" s="668">
        <f>'Table 1.3 complete'!K44</f>
        <v>41.99</v>
      </c>
      <c r="AE47" s="668">
        <f>'Table 1.3 complete'!L44</f>
        <v>5.01</v>
      </c>
      <c r="AF47" s="668">
        <f>'Table 1.3 complete'!M44</f>
        <v>17.100000000000001</v>
      </c>
      <c r="AG47" s="668">
        <f>'Table 1.3 complete'!N44</f>
        <v>7.55</v>
      </c>
      <c r="AH47" s="669">
        <f>SUM(T47:AG47)</f>
        <v>4348.8600000000006</v>
      </c>
      <c r="AI47" s="670">
        <f>AH47-'Table 1.1 complete'!E44</f>
        <v>-3.9999999999054126E-2</v>
      </c>
      <c r="AJ47" s="671">
        <f>AH47-'Table 1.2 complete'!K44</f>
        <v>0</v>
      </c>
      <c r="AK47" s="670">
        <f>'Table 1.2 complete'!K44-'Table 1.1 complete'!E44</f>
        <v>-3.999999999996362E-2</v>
      </c>
    </row>
    <row r="48" spans="1:37" s="377" customFormat="1" x14ac:dyDescent="0.25">
      <c r="A48" s="379"/>
      <c r="B48" s="374"/>
      <c r="C48" s="374"/>
      <c r="D48" s="374"/>
      <c r="E48" s="374"/>
      <c r="F48" s="374"/>
      <c r="G48"/>
      <c r="H48" s="86"/>
      <c r="I48" s="346">
        <f>X48/(X48+AB48+AC48)</f>
        <v>3.4048348655090232E-3</v>
      </c>
      <c r="J48" s="346">
        <f>AB48/(AC48+AB48+X48)</f>
        <v>0.46884576098059239</v>
      </c>
      <c r="K48" s="346">
        <f>AC48/(AC48+AB48+X48)</f>
        <v>0.52774940415389848</v>
      </c>
      <c r="L48" s="144"/>
      <c r="M48" s="86"/>
      <c r="N48" s="887"/>
      <c r="O48" s="888">
        <f>AH48/SUM($AH$48)</f>
        <v>1</v>
      </c>
      <c r="P48" s="889" t="str">
        <f>'Table 1.2 complete'!A45</f>
        <v>Brazil</v>
      </c>
      <c r="Q48" s="890">
        <f>'Table 1.2 complete'!B45</f>
        <v>69</v>
      </c>
      <c r="R48" s="891" t="s">
        <v>232</v>
      </c>
      <c r="S48" s="892">
        <v>10</v>
      </c>
      <c r="T48" s="893">
        <f>'Table 1.2 complete'!E45</f>
        <v>12.35</v>
      </c>
      <c r="U48" s="893">
        <f>'Table 1.2 complete'!F45</f>
        <v>374.02</v>
      </c>
      <c r="V48" s="893" t="str">
        <f>'Table 1.2 complete'!G45</f>
        <v>-</v>
      </c>
      <c r="W48" s="893">
        <f>'Table 1.2 complete'!H45</f>
        <v>2</v>
      </c>
      <c r="X48" s="893">
        <f>'Table 1.3 complete'!E45</f>
        <v>0.1</v>
      </c>
      <c r="Y48" s="893">
        <f>'Table 1.3 complete'!F45</f>
        <v>5.96</v>
      </c>
      <c r="Z48" s="893" t="str">
        <f>'Table 1.3 complete'!G45</f>
        <v>-</v>
      </c>
      <c r="AA48" s="893">
        <f>'Table 1.3 complete'!H45</f>
        <v>4.0599999999999996</v>
      </c>
      <c r="AB48" s="893">
        <f>'Table 1.3 complete'!I45</f>
        <v>13.77</v>
      </c>
      <c r="AC48" s="893">
        <f>'Table 1.3 complete'!J45</f>
        <v>15.5</v>
      </c>
      <c r="AD48" s="893">
        <f>'Table 1.3 complete'!K45</f>
        <v>17.399999999999999</v>
      </c>
      <c r="AE48" s="893" t="str">
        <f>'Table 1.3 complete'!L45</f>
        <v>-</v>
      </c>
      <c r="AF48" s="893" t="str">
        <f>'Table 1.3 complete'!M45</f>
        <v>-</v>
      </c>
      <c r="AG48" s="893" t="str">
        <f>'Table 1.3 complete'!N45</f>
        <v>-</v>
      </c>
      <c r="AH48" s="894">
        <f>SUM(T48:AG48)</f>
        <v>445.15999999999997</v>
      </c>
      <c r="AI48" s="895">
        <f>AH48-'Table 1.1 complete'!E45</f>
        <v>5.999999999994543E-2</v>
      </c>
      <c r="AJ48" s="896">
        <f>AH48-'Table 1.2 complete'!K45</f>
        <v>1.999999999998181E-2</v>
      </c>
      <c r="AK48" s="895">
        <f>'Table 1.2 complete'!K45-'Table 1.1 complete'!E45</f>
        <v>3.999999999996362E-2</v>
      </c>
    </row>
    <row r="49" spans="1:37" s="377" customFormat="1" x14ac:dyDescent="0.25">
      <c r="A49" s="379"/>
      <c r="B49" s="374"/>
      <c r="C49" s="374"/>
      <c r="D49" s="374"/>
      <c r="E49" s="374"/>
      <c r="F49" s="374"/>
      <c r="G49"/>
      <c r="H49" s="86"/>
      <c r="I49" s="346">
        <f>X49/(X49+AB49+AC49)</f>
        <v>0.16571750215217534</v>
      </c>
      <c r="J49" s="346">
        <f>AB49/(AC49+AB49+X49)</f>
        <v>2.8524601019800016E-2</v>
      </c>
      <c r="K49" s="346">
        <f>AC49/(AC49+AB49+X49)</f>
        <v>0.80575789682802468</v>
      </c>
      <c r="L49" s="144"/>
      <c r="M49" s="86"/>
      <c r="N49" s="417"/>
      <c r="O49" s="897">
        <f>AH49/SUM($AH$49)</f>
        <v>1</v>
      </c>
      <c r="P49" s="898" t="str">
        <f>'Table 1.2 complete'!A46</f>
        <v>Russia</v>
      </c>
      <c r="Q49" s="899">
        <f>'Table 1.2 complete'!B46</f>
        <v>135</v>
      </c>
      <c r="R49" s="900" t="s">
        <v>244</v>
      </c>
      <c r="S49" s="901">
        <v>11</v>
      </c>
      <c r="T49" s="523">
        <f>'Table 1.2 complete'!E46</f>
        <v>160.04</v>
      </c>
      <c r="U49" s="523">
        <f>'Table 1.2 complete'!F46</f>
        <v>178.98</v>
      </c>
      <c r="V49" s="523">
        <f>'Table 1.2 complete'!G46</f>
        <v>0.49</v>
      </c>
      <c r="W49" s="523">
        <f>'Table 1.2 complete'!H46</f>
        <v>0.01</v>
      </c>
      <c r="X49" s="523">
        <f>'Table 1.3 complete'!E46</f>
        <v>100.1</v>
      </c>
      <c r="Y49" s="523">
        <f>'Table 1.3 complete'!F46</f>
        <v>61.52</v>
      </c>
      <c r="Z49" s="523">
        <f>'Table 1.3 complete'!G46</f>
        <v>0.75</v>
      </c>
      <c r="AA49" s="523">
        <f>'Table 1.3 complete'!H46</f>
        <v>7.51</v>
      </c>
      <c r="AB49" s="523">
        <f>'Table 1.3 complete'!I46</f>
        <v>17.23</v>
      </c>
      <c r="AC49" s="523">
        <f>'Table 1.3 complete'!J46</f>
        <v>486.71</v>
      </c>
      <c r="AD49" s="523">
        <f>'Table 1.3 complete'!K46</f>
        <v>0.01</v>
      </c>
      <c r="AE49" s="523">
        <f>'Table 1.3 complete'!L46</f>
        <v>1.98</v>
      </c>
      <c r="AF49" s="523" t="str">
        <f>'Table 1.3 complete'!M46</f>
        <v>-</v>
      </c>
      <c r="AG49" s="523" t="str">
        <f>'Table 1.3 complete'!N46</f>
        <v>-</v>
      </c>
      <c r="AH49" s="531">
        <f>SUM(T49:AG49)</f>
        <v>1015.3299999999999</v>
      </c>
      <c r="AI49" s="532">
        <f>AH49-'Table 1.1 complete'!E46</f>
        <v>2.9999999999972715E-2</v>
      </c>
      <c r="AJ49" s="530">
        <f>AH49-'Table 1.2 complete'!K46</f>
        <v>0</v>
      </c>
      <c r="AK49" s="532">
        <f>'Table 1.2 complete'!K46-'Table 1.1 complete'!E46</f>
        <v>3.0000000000086402E-2</v>
      </c>
    </row>
    <row r="50" spans="1:37" s="377" customFormat="1" x14ac:dyDescent="0.25">
      <c r="A50" s="379"/>
      <c r="B50" s="374"/>
      <c r="C50" s="374"/>
      <c r="D50" s="374"/>
      <c r="E50" s="374"/>
      <c r="F50" s="374"/>
      <c r="G50"/>
      <c r="H50" s="86"/>
      <c r="I50" s="346">
        <f>X50/(X50+AB50+AC50)</f>
        <v>0.83607671764991509</v>
      </c>
      <c r="J50" s="346">
        <f>AB50/(AC50+AB50+X50)</f>
        <v>5.7489681961641177E-2</v>
      </c>
      <c r="K50" s="346">
        <f>AC50/(AC50+AB50+X50)</f>
        <v>0.10643360038844381</v>
      </c>
      <c r="L50" s="144"/>
      <c r="M50" s="86"/>
      <c r="N50" s="417"/>
      <c r="O50" s="897">
        <f>AH50/SUM($AH$50)</f>
        <v>1</v>
      </c>
      <c r="P50" s="902" t="str">
        <f>'Table 1.2 complete'!A47</f>
        <v>India</v>
      </c>
      <c r="Q50" s="903">
        <f>'Table 1.2 complete'!B47</f>
        <v>94</v>
      </c>
      <c r="R50" s="904" t="s">
        <v>241</v>
      </c>
      <c r="S50" s="905">
        <v>12</v>
      </c>
      <c r="T50" s="523">
        <f>'Table 1.2 complete'!E47</f>
        <v>16.78</v>
      </c>
      <c r="U50" s="523">
        <f>'Table 1.2 complete'!F47</f>
        <v>123.83</v>
      </c>
      <c r="V50" s="523" t="str">
        <f>'Table 1.2 complete'!G47</f>
        <v>-</v>
      </c>
      <c r="W50" s="523">
        <f>'Table 1.2 complete'!H47</f>
        <v>11.67</v>
      </c>
      <c r="X50" s="523">
        <f>'Table 1.3 complete'!E47</f>
        <v>516.57000000000005</v>
      </c>
      <c r="Y50" s="523">
        <f>'Table 1.3 complete'!F47</f>
        <v>18.87</v>
      </c>
      <c r="Z50" s="523" t="str">
        <f>'Table 1.3 complete'!G47</f>
        <v>-</v>
      </c>
      <c r="AA50" s="523">
        <f>'Table 1.3 complete'!H47</f>
        <v>1.48</v>
      </c>
      <c r="AB50" s="523">
        <f>'Table 1.3 complete'!I47</f>
        <v>35.520000000000003</v>
      </c>
      <c r="AC50" s="523">
        <f>'Table 1.3 complete'!J47</f>
        <v>65.760000000000005</v>
      </c>
      <c r="AD50" s="523">
        <f>'Table 1.3 complete'!K47</f>
        <v>1.95</v>
      </c>
      <c r="AE50" s="523" t="str">
        <f>'Table 1.3 complete'!L47</f>
        <v>-</v>
      </c>
      <c r="AF50" s="523" t="str">
        <f>'Table 1.3 complete'!M47</f>
        <v>-</v>
      </c>
      <c r="AG50" s="523" t="str">
        <f>'Table 1.3 complete'!N47</f>
        <v>-</v>
      </c>
      <c r="AH50" s="531">
        <f>SUM(T50:AG50)</f>
        <v>792.43000000000006</v>
      </c>
      <c r="AI50" s="532">
        <f>AH50-'Table 1.1 complete'!E47</f>
        <v>3.0000000000086402E-2</v>
      </c>
      <c r="AJ50" s="530">
        <f>AH50-'Table 1.2 complete'!K47</f>
        <v>1.0000000000104592E-2</v>
      </c>
      <c r="AK50" s="532">
        <f>'Table 1.2 complete'!K47-'Table 1.1 complete'!E47</f>
        <v>1.999999999998181E-2</v>
      </c>
    </row>
    <row r="51" spans="1:37" s="377" customFormat="1" x14ac:dyDescent="0.25">
      <c r="A51" s="379"/>
      <c r="B51" s="374"/>
      <c r="C51" s="374"/>
      <c r="D51" s="374"/>
      <c r="E51" s="374"/>
      <c r="F51" s="374"/>
      <c r="G51"/>
      <c r="H51" s="86"/>
      <c r="I51" s="346">
        <f t="shared" ref="I51:I52" si="8">X51/(X51+AB51+AC51)</f>
        <v>0.73254620123203285</v>
      </c>
      <c r="J51" s="346">
        <f t="shared" ref="J51:J52" si="9">AB51/(AC51+AB51+X51)</f>
        <v>2.5667351129363448E-3</v>
      </c>
      <c r="K51" s="346">
        <f t="shared" ref="K51:K52" si="10">AC51/(AC51+AB51+X51)</f>
        <v>0.26488706365503079</v>
      </c>
      <c r="L51" s="144"/>
      <c r="M51" s="86"/>
      <c r="N51" s="865"/>
      <c r="O51" s="916">
        <f>AH51/SUM(AH51:AH52)</f>
        <v>1.1741340911762137E-2</v>
      </c>
      <c r="P51" s="917" t="str">
        <f>'Table 1.2 complete'!A48</f>
        <v>Hong Kong</v>
      </c>
      <c r="Q51" s="918">
        <f>'Table 1.2 complete'!B48</f>
        <v>111</v>
      </c>
      <c r="R51" s="919" t="s">
        <v>239</v>
      </c>
      <c r="S51" s="920">
        <v>13</v>
      </c>
      <c r="T51" s="385" t="str">
        <f>'Table 1.2 complete'!E48</f>
        <v>-</v>
      </c>
      <c r="U51" s="385" t="str">
        <f>'Table 1.2 complete'!F48</f>
        <v>-</v>
      </c>
      <c r="V51" s="385" t="str">
        <f>'Table 1.2 complete'!G48</f>
        <v>-</v>
      </c>
      <c r="W51" s="385">
        <f>'Table 1.2 complete'!H48</f>
        <v>0</v>
      </c>
      <c r="X51" s="385">
        <f>'Table 1.3 complete'!E48</f>
        <v>28.54</v>
      </c>
      <c r="Y51" s="385" t="str">
        <f>'Table 1.3 complete'!F48</f>
        <v>-</v>
      </c>
      <c r="Z51" s="385" t="str">
        <f>'Table 1.3 complete'!G48</f>
        <v>-</v>
      </c>
      <c r="AA51" s="385" t="str">
        <f>'Table 1.3 complete'!H48</f>
        <v>-</v>
      </c>
      <c r="AB51" s="385">
        <f>'Table 1.3 complete'!I48</f>
        <v>0.1</v>
      </c>
      <c r="AC51" s="385">
        <f>'Table 1.3 complete'!J48</f>
        <v>10.32</v>
      </c>
      <c r="AD51" s="385" t="str">
        <f>'Table 1.3 complete'!K48</f>
        <v>-</v>
      </c>
      <c r="AE51" s="385" t="str">
        <f>'Table 1.3 complete'!L48</f>
        <v>-</v>
      </c>
      <c r="AF51" s="385" t="str">
        <f>'Table 1.3 complete'!M48</f>
        <v>-</v>
      </c>
      <c r="AG51" s="385" t="str">
        <f>'Table 1.3 complete'!N48</f>
        <v>-</v>
      </c>
      <c r="AH51" s="433">
        <f>SUM(T51:AG51)</f>
        <v>38.96</v>
      </c>
      <c r="AI51" s="434">
        <f>AH51-'Table 1.1 complete'!E48</f>
        <v>-3.9999999999999147E-2</v>
      </c>
      <c r="AJ51" s="301">
        <f>AH51-'Table 1.2 complete'!K48</f>
        <v>9.9999999999980105E-3</v>
      </c>
      <c r="AK51" s="434">
        <f>'Table 1.2 complete'!K48-'Table 1.1 complete'!E48</f>
        <v>-4.9999999999997158E-2</v>
      </c>
    </row>
    <row r="52" spans="1:37" s="377" customFormat="1" x14ac:dyDescent="0.25">
      <c r="A52" s="379"/>
      <c r="B52" s="374"/>
      <c r="C52" s="374"/>
      <c r="D52" s="374"/>
      <c r="E52" s="374"/>
      <c r="F52" s="374"/>
      <c r="G52"/>
      <c r="H52" s="86"/>
      <c r="I52" s="346">
        <f t="shared" si="8"/>
        <v>0.97621271076523997</v>
      </c>
      <c r="J52" s="346">
        <f t="shared" si="9"/>
        <v>1.2469890680007411E-2</v>
      </c>
      <c r="K52" s="346">
        <f t="shared" si="10"/>
        <v>1.1317398554752641E-2</v>
      </c>
      <c r="L52" s="144"/>
      <c r="M52" s="86"/>
      <c r="N52" s="391"/>
      <c r="O52" s="921">
        <f>AH52/SUM(AH51:AH52)</f>
        <v>0.98825865908823785</v>
      </c>
      <c r="P52" s="457" t="str">
        <f>'Table 1.2 complete'!A49</f>
        <v>PR of China</v>
      </c>
      <c r="Q52" s="215">
        <f>'Table 1.2 complete'!B49</f>
        <v>110</v>
      </c>
      <c r="R52" s="213" t="s">
        <v>239</v>
      </c>
      <c r="S52" s="217">
        <v>13</v>
      </c>
      <c r="T52" s="222">
        <f>'Table 1.2 complete'!E49</f>
        <v>62.13</v>
      </c>
      <c r="U52" s="222">
        <f>'Table 1.2 complete'!F49</f>
        <v>485.26</v>
      </c>
      <c r="V52" s="222" t="str">
        <f>'Table 1.2 complete'!G49</f>
        <v>-</v>
      </c>
      <c r="W52" s="222">
        <f>'Table 1.2 complete'!H49</f>
        <v>8.91</v>
      </c>
      <c r="X52" s="222">
        <f>'Table 1.3 complete'!E49</f>
        <v>2634.31</v>
      </c>
      <c r="Y52" s="222" t="str">
        <f>'Table 1.3 complete'!F49</f>
        <v>-</v>
      </c>
      <c r="Z52" s="222" t="str">
        <f>'Table 1.3 complete'!G49</f>
        <v>-</v>
      </c>
      <c r="AA52" s="222">
        <f>'Table 1.3 complete'!H49</f>
        <v>22.12</v>
      </c>
      <c r="AB52" s="222">
        <f>'Table 1.3 complete'!I49</f>
        <v>33.65</v>
      </c>
      <c r="AC52" s="222">
        <f>'Table 1.3 complete'!J49</f>
        <v>30.54</v>
      </c>
      <c r="AD52" s="222">
        <f>'Table 1.3 complete'!K49</f>
        <v>2.31</v>
      </c>
      <c r="AE52" s="222" t="str">
        <f>'Table 1.3 complete'!L49</f>
        <v>-</v>
      </c>
      <c r="AF52" s="222" t="str">
        <f>'Table 1.3 complete'!M49</f>
        <v>-</v>
      </c>
      <c r="AG52" s="222" t="str">
        <f>'Table 1.3 complete'!N49</f>
        <v>-</v>
      </c>
      <c r="AH52" s="223">
        <f>SUM(T52:AG52)</f>
        <v>3279.2299999999996</v>
      </c>
      <c r="AI52" s="224">
        <f>AH52-'Table 1.1 complete'!E49</f>
        <v>2.9999999999745341E-2</v>
      </c>
      <c r="AJ52" s="225">
        <f>AH52-'Table 1.2 complete'!K49</f>
        <v>0</v>
      </c>
      <c r="AK52" s="224">
        <f>'Table 1.2 complete'!K49-'Table 1.1 complete'!E49</f>
        <v>3.0000000000200089E-2</v>
      </c>
    </row>
    <row r="53" spans="1:37" s="377" customFormat="1" ht="15.75" thickBot="1" x14ac:dyDescent="0.3">
      <c r="A53" s="379"/>
      <c r="B53" s="374"/>
      <c r="C53" s="374"/>
      <c r="D53" s="374"/>
      <c r="E53" s="374"/>
      <c r="F53" s="374"/>
      <c r="G53"/>
      <c r="H53" s="86"/>
      <c r="I53" s="86"/>
      <c r="J53" s="86"/>
      <c r="K53" s="86"/>
      <c r="L53" s="144"/>
      <c r="M53" s="86"/>
      <c r="N53" s="865"/>
      <c r="O53" s="906">
        <f>AH53/SUM($AH$53)</f>
        <v>1</v>
      </c>
      <c r="P53" s="907" t="str">
        <f>'Table 1.2 complete'!A50</f>
        <v>South Africa</v>
      </c>
      <c r="Q53" s="908">
        <f>'Table 1.2 complete'!B50</f>
        <v>58</v>
      </c>
      <c r="R53" s="909" t="s">
        <v>245</v>
      </c>
      <c r="S53" s="910">
        <v>14</v>
      </c>
      <c r="T53" s="911">
        <f>'Table 1.2 complete'!E50</f>
        <v>11.32</v>
      </c>
      <c r="U53" s="912">
        <f>'Table 1.2 complete'!F50</f>
        <v>3.91</v>
      </c>
      <c r="V53" s="912" t="str">
        <f>'Table 1.2 complete'!G50</f>
        <v>-</v>
      </c>
      <c r="W53" s="912">
        <f>'Table 1.2 complete'!H50</f>
        <v>0.05</v>
      </c>
      <c r="X53" s="912">
        <f>'Table 1.3 complete'!E50</f>
        <v>246.79</v>
      </c>
      <c r="Y53" s="912" t="str">
        <f>'Table 1.3 complete'!F50</f>
        <v>-</v>
      </c>
      <c r="Z53" s="912" t="str">
        <f>'Table 1.3 complete'!G50</f>
        <v>-</v>
      </c>
      <c r="AA53" s="912" t="str">
        <f>'Table 1.3 complete'!H50</f>
        <v>-</v>
      </c>
      <c r="AB53" s="912">
        <f>'Table 1.3 complete'!I50</f>
        <v>1.1499999999999999</v>
      </c>
      <c r="AC53" s="912" t="str">
        <f>'Table 1.3 complete'!J50</f>
        <v>-</v>
      </c>
      <c r="AD53" s="912">
        <f>'Table 1.3 complete'!K50</f>
        <v>0.26</v>
      </c>
      <c r="AE53" s="912" t="str">
        <f>'Table 1.3 complete'!L50</f>
        <v>-</v>
      </c>
      <c r="AF53" s="912" t="str">
        <f>'Table 1.3 complete'!M50</f>
        <v>-</v>
      </c>
      <c r="AG53" s="912" t="str">
        <f>'Table 1.3 complete'!N50</f>
        <v>-</v>
      </c>
      <c r="AH53" s="913">
        <f>SUM(T53:AG53)</f>
        <v>263.47999999999996</v>
      </c>
      <c r="AI53" s="914">
        <f>AH53-'Table 1.1 complete'!E50</f>
        <v>-2.0000000000038654E-2</v>
      </c>
      <c r="AJ53" s="915">
        <f>AH53-'Table 1.2 complete'!K50</f>
        <v>0</v>
      </c>
      <c r="AK53" s="914">
        <f>'Table 1.2 complete'!K50-'Table 1.1 complete'!E50</f>
        <v>-1.999999999998181E-2</v>
      </c>
    </row>
    <row r="54" spans="1:37" x14ac:dyDescent="0.25">
      <c r="B54" s="882"/>
      <c r="C54" s="882"/>
      <c r="D54" s="882"/>
      <c r="E54" s="882"/>
      <c r="F54" s="882"/>
      <c r="G54" s="685"/>
      <c r="H54" s="686"/>
      <c r="I54" s="686"/>
      <c r="J54" s="686"/>
      <c r="K54" s="686"/>
      <c r="L54" s="687"/>
      <c r="M54" s="686"/>
      <c r="N54" s="687"/>
      <c r="O54" s="624">
        <f>AH54/SUM($AH$54:$AH$70)</f>
        <v>4.2018705100980436E-2</v>
      </c>
      <c r="P54" s="483" t="str">
        <f>'Table 1.2 complete'!A51</f>
        <v xml:space="preserve">Algeria       </v>
      </c>
      <c r="Q54" s="198">
        <f>'Table 1.2 complete'!B51</f>
        <v>38</v>
      </c>
      <c r="R54" s="167" t="s">
        <v>422</v>
      </c>
      <c r="S54" s="127">
        <v>15</v>
      </c>
      <c r="T54" s="636" t="str">
        <f>'Table 1.2 complete'!E51</f>
        <v>-</v>
      </c>
      <c r="U54" s="636">
        <f>'Table 1.2 complete'!F51</f>
        <v>0.23</v>
      </c>
      <c r="V54" s="636" t="str">
        <f>'Table 1.2 complete'!G51</f>
        <v>-</v>
      </c>
      <c r="W54" s="636" t="str">
        <f>'Table 1.2 complete'!H51</f>
        <v>-</v>
      </c>
      <c r="X54" s="636" t="str">
        <f>'Table 1.3 complete'!E51</f>
        <v>-</v>
      </c>
      <c r="Y54" s="636" t="str">
        <f>'Table 1.3 complete'!F51</f>
        <v>-</v>
      </c>
      <c r="Z54" s="636" t="str">
        <f>'Table 1.3 complete'!G51</f>
        <v>-</v>
      </c>
      <c r="AA54" s="636" t="str">
        <f>'Table 1.3 complete'!H51</f>
        <v>-</v>
      </c>
      <c r="AB54" s="636">
        <f>'Table 1.3 complete'!I51</f>
        <v>0.79</v>
      </c>
      <c r="AC54" s="636">
        <f>'Table 1.3 complete'!J51</f>
        <v>36.18</v>
      </c>
      <c r="AD54" s="636" t="str">
        <f>'Table 1.3 complete'!K51</f>
        <v>-</v>
      </c>
      <c r="AE54" s="636" t="str">
        <f>'Table 1.3 complete'!L51</f>
        <v>-</v>
      </c>
      <c r="AF54" s="636" t="str">
        <f>'Table 1.3 complete'!M51</f>
        <v>-</v>
      </c>
      <c r="AG54" s="636" t="str">
        <f>'Table 1.3 complete'!N51</f>
        <v>-</v>
      </c>
      <c r="AH54" s="637">
        <f>SUM(T54:AG54)</f>
        <v>37.200000000000003</v>
      </c>
      <c r="AI54" s="638">
        <f>AH54-'Table 1.1 complete'!E51</f>
        <v>0</v>
      </c>
      <c r="AJ54" s="639">
        <f>AH54-'Table 1.2 complete'!K51</f>
        <v>0</v>
      </c>
      <c r="AK54" s="638">
        <f>'Table 1.2 complete'!K51-'Table 1.1 complete'!E51</f>
        <v>0</v>
      </c>
    </row>
    <row r="55" spans="1:37" x14ac:dyDescent="0.25">
      <c r="B55" s="374"/>
      <c r="C55" s="374"/>
      <c r="D55" s="374"/>
      <c r="E55" s="374"/>
      <c r="F55" s="374"/>
      <c r="G55" s="377"/>
      <c r="H55" s="96"/>
      <c r="I55" s="96"/>
      <c r="J55" s="96"/>
      <c r="K55" s="96"/>
      <c r="M55" s="96"/>
      <c r="O55" s="618">
        <f t="shared" ref="O55:O70" si="11">AH55/SUM($AH$54:$AH$70)</f>
        <v>1.2323227759454209E-2</v>
      </c>
      <c r="P55" s="483" t="str">
        <f>'Table 1.2 complete'!A52</f>
        <v>Bahrain</v>
      </c>
      <c r="Q55" s="198">
        <f>'Table 1.2 complete'!B52</f>
        <v>141</v>
      </c>
      <c r="R55" s="167" t="s">
        <v>422</v>
      </c>
      <c r="S55" s="127">
        <v>15</v>
      </c>
      <c r="T55" s="267" t="str">
        <f>'Table 1.2 complete'!E52</f>
        <v>-</v>
      </c>
      <c r="U55" s="109" t="str">
        <f>'Table 1.2 complete'!F52</f>
        <v>-</v>
      </c>
      <c r="V55" s="109" t="str">
        <f>'Table 1.2 complete'!G52</f>
        <v>-</v>
      </c>
      <c r="W55" s="109" t="str">
        <f>'Table 1.2 complete'!H52</f>
        <v>-</v>
      </c>
      <c r="X55" s="109" t="str">
        <f>'Table 1.3 complete'!E52</f>
        <v>-</v>
      </c>
      <c r="Y55" s="109" t="str">
        <f>'Table 1.3 complete'!F52</f>
        <v>-</v>
      </c>
      <c r="Z55" s="109" t="str">
        <f>'Table 1.3 complete'!G52</f>
        <v>-</v>
      </c>
      <c r="AA55" s="109" t="str">
        <f>'Table 1.3 complete'!H52</f>
        <v>-</v>
      </c>
      <c r="AB55" s="109">
        <f>'Table 1.3 complete'!I52</f>
        <v>0.34</v>
      </c>
      <c r="AC55" s="109">
        <f>'Table 1.3 complete'!J52</f>
        <v>10.57</v>
      </c>
      <c r="AD55" s="109" t="str">
        <f>'Table 1.3 complete'!K52</f>
        <v>-</v>
      </c>
      <c r="AE55" s="109" t="str">
        <f>'Table 1.3 complete'!L52</f>
        <v>-</v>
      </c>
      <c r="AF55" s="109" t="str">
        <f>'Table 1.3 complete'!M52</f>
        <v>-</v>
      </c>
      <c r="AG55" s="109" t="str">
        <f>'Table 1.3 complete'!N52</f>
        <v>-</v>
      </c>
      <c r="AH55" s="149">
        <f>SUM(T55:AG55)</f>
        <v>10.91</v>
      </c>
      <c r="AI55" s="106">
        <f>AH55-'Table 1.1 complete'!E52</f>
        <v>9.9999999999997868E-3</v>
      </c>
      <c r="AJ55" s="113">
        <f>AH55-'Table 1.2 complete'!K52</f>
        <v>0</v>
      </c>
      <c r="AK55" s="106">
        <f>'Table 1.2 complete'!K52-'Table 1.1 complete'!E52</f>
        <v>9.9999999999997868E-3</v>
      </c>
    </row>
    <row r="56" spans="1:37" x14ac:dyDescent="0.25">
      <c r="B56" s="374"/>
      <c r="C56" s="374"/>
      <c r="D56" s="374"/>
      <c r="E56" s="374"/>
      <c r="F56" s="374"/>
      <c r="G56" s="377"/>
      <c r="H56" s="96"/>
      <c r="I56" s="96"/>
      <c r="J56" s="96"/>
      <c r="K56" s="96"/>
      <c r="M56" s="96"/>
      <c r="O56" s="618">
        <f t="shared" si="11"/>
        <v>0.14133872498079789</v>
      </c>
      <c r="P56" s="483" t="str">
        <f>'Table 1.2 complete'!A53</f>
        <v>Egypt</v>
      </c>
      <c r="Q56" s="198">
        <f>'Table 1.2 complete'!B53</f>
        <v>46</v>
      </c>
      <c r="R56" s="167" t="s">
        <v>422</v>
      </c>
      <c r="S56" s="127">
        <v>15</v>
      </c>
      <c r="T56" s="109" t="str">
        <f>'Table 1.2 complete'!E53</f>
        <v>-</v>
      </c>
      <c r="U56" s="109">
        <f>'Table 1.2 complete'!F53</f>
        <v>15.51</v>
      </c>
      <c r="V56" s="109" t="str">
        <f>'Table 1.2 complete'!G53</f>
        <v>-</v>
      </c>
      <c r="W56" s="109">
        <f>'Table 1.2 complete'!H53</f>
        <v>0.83</v>
      </c>
      <c r="X56" s="109" t="str">
        <f>'Table 1.3 complete'!E53</f>
        <v>-</v>
      </c>
      <c r="Y56" s="109" t="str">
        <f>'Table 1.3 complete'!F53</f>
        <v>-</v>
      </c>
      <c r="Z56" s="109" t="str">
        <f>'Table 1.3 complete'!G53</f>
        <v>-</v>
      </c>
      <c r="AA56" s="109" t="str">
        <f>'Table 1.3 complete'!H53</f>
        <v>-</v>
      </c>
      <c r="AB56" s="109">
        <f>'Table 1.3 complete'!I53</f>
        <v>23.24</v>
      </c>
      <c r="AC56" s="109">
        <f>'Table 1.3 complete'!J53</f>
        <v>85.55</v>
      </c>
      <c r="AD56" s="109" t="str">
        <f>'Table 1.3 complete'!K53</f>
        <v>-</v>
      </c>
      <c r="AE56" s="109" t="str">
        <f>'Table 1.3 complete'!L53</f>
        <v>-</v>
      </c>
      <c r="AF56" s="109" t="str">
        <f>'Table 1.3 complete'!M53</f>
        <v>-</v>
      </c>
      <c r="AG56" s="109" t="str">
        <f>'Table 1.3 complete'!N53</f>
        <v>-</v>
      </c>
      <c r="AH56" s="149">
        <f>SUM(T56:AG56)</f>
        <v>125.13</v>
      </c>
      <c r="AI56" s="106">
        <f>AH56-'Table 1.1 complete'!E53</f>
        <v>3.0000000000001137E-2</v>
      </c>
      <c r="AJ56" s="113">
        <f>AH56-'Table 1.2 complete'!K53</f>
        <v>0</v>
      </c>
      <c r="AK56" s="106">
        <f>'Table 1.2 complete'!K53-'Table 1.1 complete'!E53</f>
        <v>3.0000000000001137E-2</v>
      </c>
    </row>
    <row r="57" spans="1:37" x14ac:dyDescent="0.25">
      <c r="B57" s="374"/>
      <c r="C57" s="374"/>
      <c r="D57" s="374"/>
      <c r="E57" s="374"/>
      <c r="F57" s="374"/>
      <c r="G57" s="377"/>
      <c r="H57" s="96"/>
      <c r="I57" s="96"/>
      <c r="J57" s="96"/>
      <c r="K57" s="96"/>
      <c r="M57" s="96"/>
      <c r="O57" s="618">
        <f t="shared" si="11"/>
        <v>0.23040256630370939</v>
      </c>
      <c r="P57" s="483" t="str">
        <f>'Table 1.2 complete'!A54</f>
        <v>IR of Iran</v>
      </c>
      <c r="Q57" s="198">
        <f>'Table 1.2 complete'!B54</f>
        <v>142</v>
      </c>
      <c r="R57" s="167" t="s">
        <v>422</v>
      </c>
      <c r="S57" s="127">
        <v>15</v>
      </c>
      <c r="T57" s="109" t="str">
        <f>'Table 1.2 complete'!E54</f>
        <v>-</v>
      </c>
      <c r="U57" s="109">
        <f>'Table 1.2 complete'!F54</f>
        <v>17.989999999999998</v>
      </c>
      <c r="V57" s="109" t="str">
        <f>'Table 1.2 complete'!G54</f>
        <v>-</v>
      </c>
      <c r="W57" s="109">
        <f>'Table 1.2 complete'!H54</f>
        <v>0.14000000000000001</v>
      </c>
      <c r="X57" s="109" t="str">
        <f>'Table 1.3 complete'!E54</f>
        <v>-</v>
      </c>
      <c r="Y57" s="109" t="str">
        <f>'Table 1.3 complete'!F54</f>
        <v>-</v>
      </c>
      <c r="Z57" s="109" t="str">
        <f>'Table 1.3 complete'!G54</f>
        <v>-</v>
      </c>
      <c r="AA57" s="109" t="str">
        <f>'Table 1.3 complete'!H54</f>
        <v>-</v>
      </c>
      <c r="AB57" s="109">
        <f>'Table 1.3 complete'!I54</f>
        <v>25.57</v>
      </c>
      <c r="AC57" s="109">
        <f>'Table 1.3 complete'!J54</f>
        <v>160.28</v>
      </c>
      <c r="AD57" s="109" t="str">
        <f>'Table 1.3 complete'!K54</f>
        <v>-</v>
      </c>
      <c r="AE57" s="109" t="str">
        <f>'Table 1.3 complete'!L54</f>
        <v>-</v>
      </c>
      <c r="AF57" s="109" t="str">
        <f>'Table 1.3 complete'!M54</f>
        <v>-</v>
      </c>
      <c r="AG57" s="109" t="str">
        <f>'Table 1.3 complete'!N54</f>
        <v>-</v>
      </c>
      <c r="AH57" s="149">
        <f>SUM(T57:AG57)</f>
        <v>203.98000000000002</v>
      </c>
      <c r="AI57" s="106">
        <f>AH57-'Table 1.1 complete'!E54</f>
        <v>-1.999999999998181E-2</v>
      </c>
      <c r="AJ57" s="113">
        <f>AH57-'Table 1.2 complete'!K54</f>
        <v>-9.9999999999909051E-3</v>
      </c>
      <c r="AK57" s="106">
        <f>'Table 1.2 complete'!K54-'Table 1.1 complete'!E54</f>
        <v>-9.9999999999909051E-3</v>
      </c>
    </row>
    <row r="58" spans="1:37" x14ac:dyDescent="0.25">
      <c r="B58" s="374"/>
      <c r="C58" s="374"/>
      <c r="D58" s="374"/>
      <c r="E58" s="374"/>
      <c r="F58" s="374"/>
      <c r="G58" s="377"/>
      <c r="H58" s="96"/>
      <c r="I58" s="96"/>
      <c r="J58" s="96"/>
      <c r="K58" s="96"/>
      <c r="M58" s="96"/>
      <c r="O58" s="618">
        <f t="shared" si="11"/>
        <v>3.7489269416708076E-2</v>
      </c>
      <c r="P58" s="483" t="str">
        <f>'Table 1.2 complete'!A55</f>
        <v>Iraq</v>
      </c>
      <c r="Q58" s="198">
        <f>'Table 1.2 complete'!B55</f>
        <v>143</v>
      </c>
      <c r="R58" s="167" t="s">
        <v>422</v>
      </c>
      <c r="S58" s="127">
        <v>15</v>
      </c>
      <c r="T58" s="109" t="str">
        <f>'Table 1.2 complete'!E55</f>
        <v>-</v>
      </c>
      <c r="U58" s="109">
        <f>'Table 1.2 complete'!F55</f>
        <v>0.51</v>
      </c>
      <c r="V58" s="109" t="str">
        <f>'Table 1.2 complete'!G55</f>
        <v>-</v>
      </c>
      <c r="W58" s="109" t="str">
        <f>'Table 1.2 complete'!H55</f>
        <v>-</v>
      </c>
      <c r="X58" s="109" t="str">
        <f>'Table 1.3 complete'!E55</f>
        <v>-</v>
      </c>
      <c r="Y58" s="109" t="str">
        <f>'Table 1.3 complete'!F55</f>
        <v>-</v>
      </c>
      <c r="Z58" s="109" t="str">
        <f>'Table 1.3 complete'!G55</f>
        <v>-</v>
      </c>
      <c r="AA58" s="109" t="str">
        <f>'Table 1.3 complete'!H55</f>
        <v>-</v>
      </c>
      <c r="AB58" s="109">
        <f>'Table 1.3 complete'!I55</f>
        <v>32.68</v>
      </c>
      <c r="AC58" s="109" t="str">
        <f>'Table 1.3 complete'!J55</f>
        <v>-</v>
      </c>
      <c r="AD58" s="109" t="str">
        <f>'Table 1.3 complete'!K55</f>
        <v>-</v>
      </c>
      <c r="AE58" s="109" t="str">
        <f>'Table 1.3 complete'!L55</f>
        <v>-</v>
      </c>
      <c r="AF58" s="109" t="str">
        <f>'Table 1.3 complete'!M55</f>
        <v>-</v>
      </c>
      <c r="AG58" s="109" t="str">
        <f>'Table 1.3 complete'!N55</f>
        <v>-</v>
      </c>
      <c r="AH58" s="149">
        <f>SUM(T58:AG58)</f>
        <v>33.19</v>
      </c>
      <c r="AI58" s="106">
        <f>AH58-'Table 1.1 complete'!E55</f>
        <v>-1.0000000000005116E-2</v>
      </c>
      <c r="AJ58" s="113">
        <f>AH58-'Table 1.2 complete'!K55</f>
        <v>9.9999999999980105E-3</v>
      </c>
      <c r="AK58" s="106">
        <f>'Table 1.2 complete'!K55-'Table 1.1 complete'!E55</f>
        <v>-2.0000000000003126E-2</v>
      </c>
    </row>
    <row r="59" spans="1:37" x14ac:dyDescent="0.25">
      <c r="B59" s="374"/>
      <c r="C59" s="374"/>
      <c r="D59" s="374"/>
      <c r="E59" s="374"/>
      <c r="F59" s="374"/>
      <c r="G59" s="377"/>
      <c r="H59" s="96"/>
      <c r="I59" s="96"/>
      <c r="J59" s="96"/>
      <c r="K59" s="96"/>
      <c r="M59" s="96"/>
      <c r="O59" s="618">
        <f t="shared" si="11"/>
        <v>1.4683956083675958E-2</v>
      </c>
      <c r="P59" s="483" t="str">
        <f>'Table 1.2 complete'!A56</f>
        <v>Jordan</v>
      </c>
      <c r="Q59" s="198">
        <f>'Table 1.2 complete'!B56</f>
        <v>145</v>
      </c>
      <c r="R59" s="167" t="s">
        <v>422</v>
      </c>
      <c r="S59" s="127">
        <v>15</v>
      </c>
      <c r="T59" s="109" t="str">
        <f>'Table 1.2 complete'!E56</f>
        <v>-</v>
      </c>
      <c r="U59" s="109">
        <f>'Table 1.2 complete'!F56</f>
        <v>0.06</v>
      </c>
      <c r="V59" s="109" t="str">
        <f>'Table 1.2 complete'!G56</f>
        <v>-</v>
      </c>
      <c r="W59" s="109">
        <f>'Table 1.2 complete'!H56</f>
        <v>0</v>
      </c>
      <c r="X59" s="109" t="str">
        <f>'Table 1.3 complete'!E56</f>
        <v>-</v>
      </c>
      <c r="Y59" s="109" t="str">
        <f>'Table 1.3 complete'!F56</f>
        <v>-</v>
      </c>
      <c r="Z59" s="109" t="str">
        <f>'Table 1.3 complete'!G56</f>
        <v>-</v>
      </c>
      <c r="AA59" s="109" t="str">
        <f>'Table 1.3 complete'!H56</f>
        <v>-</v>
      </c>
      <c r="AB59" s="109">
        <f>'Table 1.3 complete'!I56</f>
        <v>2.99</v>
      </c>
      <c r="AC59" s="109">
        <f>'Table 1.3 complete'!J56</f>
        <v>9.94</v>
      </c>
      <c r="AD59" s="109" t="str">
        <f>'Table 1.3 complete'!K56</f>
        <v>-</v>
      </c>
      <c r="AE59" s="109" t="str">
        <f>'Table 1.3 complete'!L56</f>
        <v>-</v>
      </c>
      <c r="AF59" s="109" t="str">
        <f>'Table 1.3 complete'!M56</f>
        <v>-</v>
      </c>
      <c r="AG59" s="109">
        <f>'Table 1.3 complete'!N56</f>
        <v>0.01</v>
      </c>
      <c r="AH59" s="149">
        <f>SUM(T59:AG59)</f>
        <v>13</v>
      </c>
      <c r="AI59" s="106">
        <f>AH59-'Table 1.1 complete'!E56</f>
        <v>0</v>
      </c>
      <c r="AJ59" s="113">
        <f>AH59-'Table 1.2 complete'!K56</f>
        <v>0</v>
      </c>
      <c r="AK59" s="106">
        <f>'Table 1.2 complete'!K56-'Table 1.1 complete'!E56</f>
        <v>0</v>
      </c>
    </row>
    <row r="60" spans="1:37" x14ac:dyDescent="0.25">
      <c r="B60" s="374"/>
      <c r="C60" s="374"/>
      <c r="D60" s="374"/>
      <c r="E60" s="374"/>
      <c r="F60" s="374"/>
      <c r="G60" s="377"/>
      <c r="H60" s="96"/>
      <c r="I60" s="96"/>
      <c r="J60" s="96"/>
      <c r="K60" s="96"/>
      <c r="M60" s="96"/>
      <c r="O60" s="618">
        <f t="shared" si="11"/>
        <v>5.5064835313784845E-2</v>
      </c>
      <c r="P60" s="483" t="str">
        <f>'Table 1.2 complete'!A57</f>
        <v>Kuwait</v>
      </c>
      <c r="Q60" s="198">
        <f>'Table 1.2 complete'!B57</f>
        <v>146</v>
      </c>
      <c r="R60" s="167" t="s">
        <v>422</v>
      </c>
      <c r="S60" s="127">
        <v>15</v>
      </c>
      <c r="T60" s="109" t="str">
        <f>'Table 1.2 complete'!E57</f>
        <v>-</v>
      </c>
      <c r="U60" s="109" t="str">
        <f>'Table 1.2 complete'!F57</f>
        <v>-</v>
      </c>
      <c r="V60" s="109" t="str">
        <f>'Table 1.2 complete'!G57</f>
        <v>-</v>
      </c>
      <c r="W60" s="109" t="str">
        <f>'Table 1.2 complete'!H57</f>
        <v>-</v>
      </c>
      <c r="X60" s="109" t="str">
        <f>'Table 1.3 complete'!E57</f>
        <v>-</v>
      </c>
      <c r="Y60" s="109" t="str">
        <f>'Table 1.3 complete'!F57</f>
        <v>-</v>
      </c>
      <c r="Z60" s="109" t="str">
        <f>'Table 1.3 complete'!G57</f>
        <v>-</v>
      </c>
      <c r="AA60" s="109" t="str">
        <f>'Table 1.3 complete'!H57</f>
        <v>-</v>
      </c>
      <c r="AB60" s="109">
        <f>'Table 1.3 complete'!I57</f>
        <v>35.26</v>
      </c>
      <c r="AC60" s="109">
        <f>'Table 1.3 complete'!J57</f>
        <v>13.49</v>
      </c>
      <c r="AD60" s="109" t="str">
        <f>'Table 1.3 complete'!K57</f>
        <v>-</v>
      </c>
      <c r="AE60" s="109" t="str">
        <f>'Table 1.3 complete'!L57</f>
        <v>-</v>
      </c>
      <c r="AF60" s="109" t="str">
        <f>'Table 1.3 complete'!M57</f>
        <v>-</v>
      </c>
      <c r="AG60" s="109" t="str">
        <f>'Table 1.3 complete'!N57</f>
        <v>-</v>
      </c>
      <c r="AH60" s="149">
        <f>SUM(T60:AG60)</f>
        <v>48.75</v>
      </c>
      <c r="AI60" s="106">
        <f>AH60-'Table 1.1 complete'!E57</f>
        <v>-4.9999999999997158E-2</v>
      </c>
      <c r="AJ60" s="113">
        <f>AH60-'Table 1.2 complete'!K57</f>
        <v>0</v>
      </c>
      <c r="AK60" s="106">
        <f>'Table 1.2 complete'!K57-'Table 1.1 complete'!E57</f>
        <v>-4.9999999999997158E-2</v>
      </c>
    </row>
    <row r="61" spans="1:37" x14ac:dyDescent="0.25">
      <c r="B61" s="374"/>
      <c r="C61" s="374"/>
      <c r="D61" s="374"/>
      <c r="E61" s="374"/>
      <c r="F61" s="374"/>
      <c r="G61" s="377"/>
      <c r="H61" s="96"/>
      <c r="I61" s="96"/>
      <c r="J61" s="96"/>
      <c r="K61" s="96"/>
      <c r="M61" s="96"/>
      <c r="O61" s="618">
        <f t="shared" si="11"/>
        <v>1.0820946098585821E-2</v>
      </c>
      <c r="P61" s="483" t="str">
        <f>'Table 1.2 complete'!A58</f>
        <v>Lebanon</v>
      </c>
      <c r="Q61" s="198">
        <f>'Table 1.2 complete'!B58</f>
        <v>147</v>
      </c>
      <c r="R61" s="167" t="s">
        <v>422</v>
      </c>
      <c r="S61" s="127">
        <v>15</v>
      </c>
      <c r="T61" s="109" t="str">
        <f>'Table 1.2 complete'!E58</f>
        <v>-</v>
      </c>
      <c r="U61" s="109">
        <f>'Table 1.2 complete'!F58</f>
        <v>0.59</v>
      </c>
      <c r="V61" s="109" t="str">
        <f>'Table 1.2 complete'!G58</f>
        <v>-</v>
      </c>
      <c r="W61" s="109" t="str">
        <f>'Table 1.2 complete'!H58</f>
        <v>-</v>
      </c>
      <c r="X61" s="109" t="str">
        <f>'Table 1.3 complete'!E58</f>
        <v>-</v>
      </c>
      <c r="Y61" s="109" t="str">
        <f>'Table 1.3 complete'!F58</f>
        <v>-</v>
      </c>
      <c r="Z61" s="109" t="str">
        <f>'Table 1.3 complete'!G58</f>
        <v>-</v>
      </c>
      <c r="AA61" s="109" t="str">
        <f>'Table 1.3 complete'!H58</f>
        <v>-</v>
      </c>
      <c r="AB61" s="109">
        <f>'Table 1.3 complete'!I58</f>
        <v>8.99</v>
      </c>
      <c r="AC61" s="109" t="str">
        <f>'Table 1.3 complete'!J58</f>
        <v>-</v>
      </c>
      <c r="AD61" s="109" t="str">
        <f>'Table 1.3 complete'!K58</f>
        <v>-</v>
      </c>
      <c r="AE61" s="109" t="str">
        <f>'Table 1.3 complete'!L58</f>
        <v>-</v>
      </c>
      <c r="AF61" s="109" t="str">
        <f>'Table 1.3 complete'!M58</f>
        <v>-</v>
      </c>
      <c r="AG61" s="109" t="str">
        <f>'Table 1.3 complete'!N58</f>
        <v>-</v>
      </c>
      <c r="AH61" s="149">
        <f>SUM(T61:AG61)</f>
        <v>9.58</v>
      </c>
      <c r="AI61" s="106">
        <f>AH61-'Table 1.1 complete'!E58</f>
        <v>-1.9999999999999574E-2</v>
      </c>
      <c r="AJ61" s="113">
        <f>AH61-'Table 1.2 complete'!K58</f>
        <v>0</v>
      </c>
      <c r="AK61" s="106">
        <f>'Table 1.2 complete'!K58-'Table 1.1 complete'!E58</f>
        <v>-1.9999999999999574E-2</v>
      </c>
    </row>
    <row r="62" spans="1:37" x14ac:dyDescent="0.25">
      <c r="B62" s="374"/>
      <c r="C62" s="374"/>
      <c r="D62" s="374"/>
      <c r="E62" s="374"/>
      <c r="F62" s="374"/>
      <c r="G62" s="377"/>
      <c r="H62" s="96"/>
      <c r="I62" s="96"/>
      <c r="J62" s="96"/>
      <c r="K62" s="96"/>
      <c r="M62" s="96"/>
      <c r="O62" s="618">
        <f t="shared" si="11"/>
        <v>2.9017756291510412E-2</v>
      </c>
      <c r="P62" s="483" t="str">
        <f>'Table 1.2 complete'!A59</f>
        <v>Libya</v>
      </c>
      <c r="Q62" s="198">
        <f>'Table 1.2 complete'!B59</f>
        <v>52</v>
      </c>
      <c r="R62" s="167" t="s">
        <v>422</v>
      </c>
      <c r="S62" s="127">
        <v>15</v>
      </c>
      <c r="T62" s="109" t="str">
        <f>'Table 1.2 complete'!E59</f>
        <v>-</v>
      </c>
      <c r="U62" s="109" t="str">
        <f>'Table 1.2 complete'!F59</f>
        <v>-</v>
      </c>
      <c r="V62" s="109" t="str">
        <f>'Table 1.2 complete'!G59</f>
        <v>-</v>
      </c>
      <c r="W62" s="109" t="str">
        <f>'Table 1.2 complete'!H59</f>
        <v>-</v>
      </c>
      <c r="X62" s="109" t="str">
        <f>'Table 1.3 complete'!E59</f>
        <v>-</v>
      </c>
      <c r="Y62" s="109" t="str">
        <f>'Table 1.3 complete'!F59</f>
        <v>-</v>
      </c>
      <c r="Z62" s="109" t="str">
        <f>'Table 1.3 complete'!G59</f>
        <v>-</v>
      </c>
      <c r="AA62" s="109" t="str">
        <f>'Table 1.3 complete'!H59</f>
        <v>-</v>
      </c>
      <c r="AB62" s="109">
        <f>'Table 1.3 complete'!I59</f>
        <v>14.15</v>
      </c>
      <c r="AC62" s="109">
        <f>'Table 1.3 complete'!J59</f>
        <v>11.54</v>
      </c>
      <c r="AD62" s="109" t="str">
        <f>'Table 1.3 complete'!K59</f>
        <v>-</v>
      </c>
      <c r="AE62" s="109" t="str">
        <f>'Table 1.3 complete'!L59</f>
        <v>-</v>
      </c>
      <c r="AF62" s="109" t="str">
        <f>'Table 1.3 complete'!M59</f>
        <v>-</v>
      </c>
      <c r="AG62" s="109" t="str">
        <f>'Table 1.3 complete'!N59</f>
        <v>-</v>
      </c>
      <c r="AH62" s="149">
        <f>SUM(T62:AG62)</f>
        <v>25.689999999999998</v>
      </c>
      <c r="AI62" s="106">
        <f>AH62-'Table 1.1 complete'!E59</f>
        <v>-1.0000000000001563E-2</v>
      </c>
      <c r="AJ62" s="113">
        <f>AH62-'Table 1.2 complete'!K59</f>
        <v>0</v>
      </c>
      <c r="AK62" s="106">
        <f>'Table 1.2 complete'!K59-'Table 1.1 complete'!E59</f>
        <v>-9.9999999999980105E-3</v>
      </c>
    </row>
    <row r="63" spans="1:37" x14ac:dyDescent="0.25">
      <c r="B63" s="374"/>
      <c r="C63" s="374"/>
      <c r="D63" s="374"/>
      <c r="E63" s="374"/>
      <c r="F63" s="374"/>
      <c r="G63" s="377"/>
      <c r="H63" s="96"/>
      <c r="I63" s="96"/>
      <c r="J63" s="96"/>
      <c r="K63" s="96"/>
      <c r="M63" s="96"/>
      <c r="O63" s="618">
        <f t="shared" si="11"/>
        <v>2.5821172005602491E-2</v>
      </c>
      <c r="P63" s="483" t="str">
        <f>'Table 1.2 complete'!A60</f>
        <v>Morocco</v>
      </c>
      <c r="Q63" s="198">
        <f>'Table 1.2 complete'!B60</f>
        <v>53</v>
      </c>
      <c r="R63" s="167" t="s">
        <v>422</v>
      </c>
      <c r="S63" s="127">
        <v>15</v>
      </c>
      <c r="T63" s="109" t="str">
        <f>'Table 1.2 complete'!E60</f>
        <v>-</v>
      </c>
      <c r="U63" s="109">
        <f>'Table 1.2 complete'!F60</f>
        <v>1.33</v>
      </c>
      <c r="V63" s="109" t="str">
        <f>'Table 1.2 complete'!G60</f>
        <v>-</v>
      </c>
      <c r="W63" s="109">
        <f>'Table 1.2 complete'!H60</f>
        <v>0.28000000000000003</v>
      </c>
      <c r="X63" s="109">
        <f>'Table 1.3 complete'!E60</f>
        <v>13.04</v>
      </c>
      <c r="Y63" s="109" t="str">
        <f>'Table 1.3 complete'!F60</f>
        <v>-</v>
      </c>
      <c r="Z63" s="109" t="str">
        <f>'Table 1.3 complete'!G60</f>
        <v>-</v>
      </c>
      <c r="AA63" s="109" t="str">
        <f>'Table 1.3 complete'!H60</f>
        <v>-</v>
      </c>
      <c r="AB63" s="109">
        <f>'Table 1.3 complete'!I60</f>
        <v>5.0999999999999996</v>
      </c>
      <c r="AC63" s="109">
        <f>'Table 1.3 complete'!J60</f>
        <v>3.11</v>
      </c>
      <c r="AD63" s="109" t="str">
        <f>'Table 1.3 complete'!K60</f>
        <v>-</v>
      </c>
      <c r="AE63" s="109" t="str">
        <f>'Table 1.3 complete'!L60</f>
        <v>-</v>
      </c>
      <c r="AF63" s="109" t="str">
        <f>'Table 1.3 complete'!M60</f>
        <v>-</v>
      </c>
      <c r="AG63" s="109" t="str">
        <f>'Table 1.3 complete'!N60</f>
        <v>-</v>
      </c>
      <c r="AH63" s="149">
        <f>SUM(T63:AG63)</f>
        <v>22.86</v>
      </c>
      <c r="AI63" s="106">
        <f>AH63-'Table 1.1 complete'!E60</f>
        <v>-3.9999999999999147E-2</v>
      </c>
      <c r="AJ63" s="113">
        <f>AH63-'Table 1.2 complete'!K60</f>
        <v>0</v>
      </c>
      <c r="AK63" s="106">
        <f>'Table 1.2 complete'!K60-'Table 1.1 complete'!E60</f>
        <v>-3.9999999999999147E-2</v>
      </c>
    </row>
    <row r="64" spans="1:37" x14ac:dyDescent="0.25">
      <c r="B64" s="374"/>
      <c r="C64" s="374"/>
      <c r="D64" s="374"/>
      <c r="E64" s="374"/>
      <c r="F64" s="374"/>
      <c r="G64" s="377"/>
      <c r="H64" s="96"/>
      <c r="I64" s="96"/>
      <c r="J64" s="96"/>
      <c r="K64" s="96"/>
      <c r="M64" s="96"/>
      <c r="O64" s="618">
        <f t="shared" si="11"/>
        <v>1.6310486603713911E-2</v>
      </c>
      <c r="P64" s="483" t="str">
        <f>'Table 1.2 complete'!A61</f>
        <v>Oman</v>
      </c>
      <c r="Q64" s="198">
        <f>'Table 1.2 complete'!B61</f>
        <v>148</v>
      </c>
      <c r="R64" s="167" t="s">
        <v>422</v>
      </c>
      <c r="S64" s="127">
        <v>15</v>
      </c>
      <c r="T64" s="109" t="str">
        <f>'Table 1.2 complete'!E61</f>
        <v>-</v>
      </c>
      <c r="U64" s="109" t="str">
        <f>'Table 1.2 complete'!F61</f>
        <v>-</v>
      </c>
      <c r="V64" s="109" t="str">
        <f>'Table 1.2 complete'!G61</f>
        <v>-</v>
      </c>
      <c r="W64" s="109" t="str">
        <f>'Table 1.2 complete'!H61</f>
        <v>-</v>
      </c>
      <c r="X64" s="109" t="str">
        <f>'Table 1.3 complete'!E61</f>
        <v>-</v>
      </c>
      <c r="Y64" s="109" t="str">
        <f>'Table 1.3 complete'!F61</f>
        <v>-</v>
      </c>
      <c r="Z64" s="109" t="str">
        <f>'Table 1.3 complete'!G61</f>
        <v>-</v>
      </c>
      <c r="AA64" s="109" t="str">
        <f>'Table 1.3 complete'!H61</f>
        <v>-</v>
      </c>
      <c r="AB64" s="109">
        <f>'Table 1.3 complete'!I61</f>
        <v>2.6</v>
      </c>
      <c r="AC64" s="109">
        <f>'Table 1.3 complete'!J61</f>
        <v>11.84</v>
      </c>
      <c r="AD64" s="109" t="str">
        <f>'Table 1.3 complete'!K61</f>
        <v>-</v>
      </c>
      <c r="AE64" s="109" t="str">
        <f>'Table 1.3 complete'!L61</f>
        <v>-</v>
      </c>
      <c r="AF64" s="109" t="str">
        <f>'Table 1.3 complete'!M61</f>
        <v>-</v>
      </c>
      <c r="AG64" s="109" t="str">
        <f>'Table 1.3 complete'!N61</f>
        <v>-</v>
      </c>
      <c r="AH64" s="149">
        <f>SUM(T64:AG64)</f>
        <v>14.44</v>
      </c>
      <c r="AI64" s="106">
        <f>AH64-'Table 1.1 complete'!E61</f>
        <v>3.9999999999999147E-2</v>
      </c>
      <c r="AJ64" s="113">
        <f>AH64-'Table 1.2 complete'!K61</f>
        <v>0</v>
      </c>
      <c r="AK64" s="106">
        <f>'Table 1.2 complete'!K61-'Table 1.1 complete'!E61</f>
        <v>3.9999999999999147E-2</v>
      </c>
    </row>
    <row r="65" spans="1:37" x14ac:dyDescent="0.25">
      <c r="B65" s="374"/>
      <c r="C65" s="374"/>
      <c r="D65" s="374"/>
      <c r="E65" s="374"/>
      <c r="F65" s="374"/>
      <c r="G65" s="377"/>
      <c r="H65" s="96"/>
      <c r="I65" s="96"/>
      <c r="J65" s="96"/>
      <c r="K65" s="96"/>
      <c r="M65" s="96"/>
      <c r="O65" s="618">
        <f t="shared" si="11"/>
        <v>1.8162924140423798E-2</v>
      </c>
      <c r="P65" s="483" t="str">
        <f>'Table 1.2 complete'!A62</f>
        <v>Qatar</v>
      </c>
      <c r="Q65" s="198">
        <f>'Table 1.2 complete'!B62</f>
        <v>149</v>
      </c>
      <c r="R65" s="167" t="s">
        <v>422</v>
      </c>
      <c r="S65" s="127">
        <v>15</v>
      </c>
      <c r="T65" s="109" t="str">
        <f>'Table 1.2 complete'!E62</f>
        <v>-</v>
      </c>
      <c r="U65" s="109" t="str">
        <f>'Table 1.2 complete'!F62</f>
        <v>-</v>
      </c>
      <c r="V65" s="109" t="str">
        <f>'Table 1.2 complete'!G62</f>
        <v>-</v>
      </c>
      <c r="W65" s="109" t="str">
        <f>'Table 1.2 complete'!H62</f>
        <v>-</v>
      </c>
      <c r="X65" s="109" t="str">
        <f>'Table 1.3 complete'!E62</f>
        <v>-</v>
      </c>
      <c r="Y65" s="109" t="str">
        <f>'Table 1.3 complete'!F62</f>
        <v>-</v>
      </c>
      <c r="Z65" s="109" t="str">
        <f>'Table 1.3 complete'!G62</f>
        <v>-</v>
      </c>
      <c r="AA65" s="109" t="str">
        <f>'Table 1.3 complete'!H62</f>
        <v>-</v>
      </c>
      <c r="AB65" s="109" t="str">
        <f>'Table 1.3 complete'!I62</f>
        <v>-</v>
      </c>
      <c r="AC65" s="109">
        <f>'Table 1.3 complete'!J62</f>
        <v>16.079999999999998</v>
      </c>
      <c r="AD65" s="109" t="str">
        <f>'Table 1.3 complete'!K62</f>
        <v>-</v>
      </c>
      <c r="AE65" s="109" t="str">
        <f>'Table 1.3 complete'!L62</f>
        <v>-</v>
      </c>
      <c r="AF65" s="109" t="str">
        <f>'Table 1.3 complete'!M62</f>
        <v>-</v>
      </c>
      <c r="AG65" s="109" t="str">
        <f>'Table 1.3 complete'!N62</f>
        <v>-</v>
      </c>
      <c r="AH65" s="149">
        <f>SUM(T65:AG65)</f>
        <v>16.079999999999998</v>
      </c>
      <c r="AI65" s="106">
        <f>AH65-'Table 1.1 complete'!E62</f>
        <v>-2.0000000000003126E-2</v>
      </c>
      <c r="AJ65" s="113">
        <f>AH65-'Table 1.2 complete'!K62</f>
        <v>0</v>
      </c>
      <c r="AK65" s="106">
        <f>'Table 1.2 complete'!K62-'Table 1.1 complete'!E62</f>
        <v>-2.0000000000003126E-2</v>
      </c>
    </row>
    <row r="66" spans="1:37" x14ac:dyDescent="0.25">
      <c r="B66" s="374"/>
      <c r="C66" s="374"/>
      <c r="D66" s="374"/>
      <c r="E66" s="374"/>
      <c r="F66" s="374"/>
      <c r="G66" s="377"/>
      <c r="H66" s="96"/>
      <c r="I66" s="96"/>
      <c r="J66" s="96"/>
      <c r="K66" s="96"/>
      <c r="M66" s="96"/>
      <c r="O66" s="618">
        <f t="shared" si="11"/>
        <v>0.2135611982108164</v>
      </c>
      <c r="P66" s="483" t="str">
        <f>'Table 1.2 complete'!A63</f>
        <v>Saudi Arabia</v>
      </c>
      <c r="Q66" s="198">
        <f>'Table 1.2 complete'!B63</f>
        <v>150</v>
      </c>
      <c r="R66" s="167" t="s">
        <v>422</v>
      </c>
      <c r="S66" s="127">
        <v>15</v>
      </c>
      <c r="T66" s="109" t="str">
        <f>'Table 1.2 complete'!E63</f>
        <v>-</v>
      </c>
      <c r="U66" s="109" t="str">
        <f>'Table 1.2 complete'!F63</f>
        <v>-</v>
      </c>
      <c r="V66" s="109" t="str">
        <f>'Table 1.2 complete'!G63</f>
        <v>-</v>
      </c>
      <c r="W66" s="109" t="str">
        <f>'Table 1.2 complete'!H63</f>
        <v>-</v>
      </c>
      <c r="X66" s="109" t="str">
        <f>'Table 1.3 complete'!E63</f>
        <v>-</v>
      </c>
      <c r="Y66" s="109" t="str">
        <f>'Table 1.3 complete'!F63</f>
        <v>-</v>
      </c>
      <c r="Z66" s="109" t="str">
        <f>'Table 1.3 complete'!G63</f>
        <v>-</v>
      </c>
      <c r="AA66" s="109" t="str">
        <f>'Table 1.3 complete'!H63</f>
        <v>-</v>
      </c>
      <c r="AB66" s="109">
        <f>'Table 1.3 complete'!I63</f>
        <v>104.32</v>
      </c>
      <c r="AC66" s="109">
        <f>'Table 1.3 complete'!J63</f>
        <v>84.75</v>
      </c>
      <c r="AD66" s="109" t="str">
        <f>'Table 1.3 complete'!K63</f>
        <v>-</v>
      </c>
      <c r="AE66" s="109" t="str">
        <f>'Table 1.3 complete'!L63</f>
        <v>-</v>
      </c>
      <c r="AF66" s="109" t="str">
        <f>'Table 1.3 complete'!M63</f>
        <v>-</v>
      </c>
      <c r="AG66" s="109" t="str">
        <f>'Table 1.3 complete'!N63</f>
        <v>-</v>
      </c>
      <c r="AH66" s="149">
        <f>SUM(T66:AG66)</f>
        <v>189.07</v>
      </c>
      <c r="AI66" s="106">
        <f>AH66-'Table 1.1 complete'!E63</f>
        <v>-3.0000000000001137E-2</v>
      </c>
      <c r="AJ66" s="113">
        <f>AH66-'Table 1.2 complete'!K63</f>
        <v>-1.0000000000019327E-2</v>
      </c>
      <c r="AK66" s="106">
        <f>'Table 1.2 complete'!K63-'Table 1.1 complete'!E63</f>
        <v>-1.999999999998181E-2</v>
      </c>
    </row>
    <row r="67" spans="1:37" x14ac:dyDescent="0.25">
      <c r="B67" s="374"/>
      <c r="C67" s="374"/>
      <c r="D67" s="374"/>
      <c r="E67" s="374"/>
      <c r="F67" s="374"/>
      <c r="G67" s="377"/>
      <c r="H67" s="96"/>
      <c r="I67" s="96"/>
      <c r="J67" s="96"/>
      <c r="K67" s="96"/>
      <c r="M67" s="96"/>
      <c r="O67" s="618">
        <f t="shared" si="11"/>
        <v>4.3645235621018387E-2</v>
      </c>
      <c r="P67" s="483" t="str">
        <f>'Table 1.2 complete'!A64</f>
        <v>Syria</v>
      </c>
      <c r="Q67" s="198">
        <f>'Table 1.2 complete'!B64</f>
        <v>151</v>
      </c>
      <c r="R67" s="167" t="s">
        <v>422</v>
      </c>
      <c r="S67" s="127">
        <v>15</v>
      </c>
      <c r="T67" s="109" t="str">
        <f>'Table 1.2 complete'!E64</f>
        <v>-</v>
      </c>
      <c r="U67" s="109">
        <f>'Table 1.2 complete'!F64</f>
        <v>3.52</v>
      </c>
      <c r="V67" s="109" t="str">
        <f>'Table 1.2 complete'!G64</f>
        <v>-</v>
      </c>
      <c r="W67" s="109" t="str">
        <f>'Table 1.2 complete'!H64</f>
        <v>-</v>
      </c>
      <c r="X67" s="109" t="str">
        <f>'Table 1.3 complete'!E64</f>
        <v>-</v>
      </c>
      <c r="Y67" s="109" t="str">
        <f>'Table 1.3 complete'!F64</f>
        <v>-</v>
      </c>
      <c r="Z67" s="109" t="str">
        <f>'Table 1.3 complete'!G64</f>
        <v>-</v>
      </c>
      <c r="AA67" s="109" t="str">
        <f>'Table 1.3 complete'!H64</f>
        <v>-</v>
      </c>
      <c r="AB67" s="109">
        <f>'Table 1.3 complete'!I64</f>
        <v>23.05</v>
      </c>
      <c r="AC67" s="109">
        <f>'Table 1.3 complete'!J64</f>
        <v>12.07</v>
      </c>
      <c r="AD67" s="109" t="str">
        <f>'Table 1.3 complete'!K64</f>
        <v>-</v>
      </c>
      <c r="AE67" s="109" t="str">
        <f>'Table 1.3 complete'!L64</f>
        <v>-</v>
      </c>
      <c r="AF67" s="109" t="str">
        <f>'Table 1.3 complete'!M64</f>
        <v>-</v>
      </c>
      <c r="AG67" s="109" t="str">
        <f>'Table 1.3 complete'!N64</f>
        <v>-</v>
      </c>
      <c r="AH67" s="149">
        <f>SUM(T67:AG67)</f>
        <v>38.64</v>
      </c>
      <c r="AI67" s="106">
        <f>AH67-'Table 1.1 complete'!E64</f>
        <v>3.9999999999999147E-2</v>
      </c>
      <c r="AJ67" s="113">
        <f>AH67-'Table 1.2 complete'!K64</f>
        <v>0</v>
      </c>
      <c r="AK67" s="106">
        <f>'Table 1.2 complete'!K64-'Table 1.1 complete'!E64</f>
        <v>3.9999999999999147E-2</v>
      </c>
    </row>
    <row r="68" spans="1:37" x14ac:dyDescent="0.25">
      <c r="B68" s="374"/>
      <c r="C68" s="374"/>
      <c r="D68" s="374"/>
      <c r="E68" s="374"/>
      <c r="F68" s="374"/>
      <c r="G68" s="377"/>
      <c r="H68" s="96"/>
      <c r="I68" s="96"/>
      <c r="J68" s="96"/>
      <c r="K68" s="96"/>
      <c r="M68" s="96"/>
      <c r="O68" s="618">
        <f t="shared" si="11"/>
        <v>1.6558984322053043E-2</v>
      </c>
      <c r="P68" s="483" t="str">
        <f>'Table 1.2 complete'!A65</f>
        <v>Tunisia</v>
      </c>
      <c r="Q68" s="198">
        <f>'Table 1.2 complete'!B65</f>
        <v>62</v>
      </c>
      <c r="R68" s="167" t="s">
        <v>422</v>
      </c>
      <c r="S68" s="127">
        <v>15</v>
      </c>
      <c r="T68" s="109" t="str">
        <f>'Table 1.2 complete'!E65</f>
        <v>-</v>
      </c>
      <c r="U68" s="109">
        <f>'Table 1.2 complete'!F65</f>
        <v>0.05</v>
      </c>
      <c r="V68" s="109" t="str">
        <f>'Table 1.2 complete'!G65</f>
        <v>-</v>
      </c>
      <c r="W68" s="109">
        <f>'Table 1.2 complete'!H65</f>
        <v>0.04</v>
      </c>
      <c r="X68" s="109" t="str">
        <f>'Table 1.3 complete'!E65</f>
        <v>-</v>
      </c>
      <c r="Y68" s="109" t="str">
        <f>'Table 1.3 complete'!F65</f>
        <v>-</v>
      </c>
      <c r="Z68" s="109" t="str">
        <f>'Table 1.3 complete'!G65</f>
        <v>-</v>
      </c>
      <c r="AA68" s="109" t="str">
        <f>'Table 1.3 complete'!H65</f>
        <v>-</v>
      </c>
      <c r="AB68" s="109">
        <f>'Table 1.3 complete'!I65</f>
        <v>2.38</v>
      </c>
      <c r="AC68" s="109">
        <f>'Table 1.3 complete'!J65</f>
        <v>12.19</v>
      </c>
      <c r="AD68" s="109" t="str">
        <f>'Table 1.3 complete'!K65</f>
        <v>-</v>
      </c>
      <c r="AE68" s="109" t="str">
        <f>'Table 1.3 complete'!L65</f>
        <v>-</v>
      </c>
      <c r="AF68" s="109" t="str">
        <f>'Table 1.3 complete'!M65</f>
        <v>-</v>
      </c>
      <c r="AG68" s="109" t="str">
        <f>'Table 1.3 complete'!N65</f>
        <v>-</v>
      </c>
      <c r="AH68" s="149">
        <f>SUM(T68:AG68)</f>
        <v>14.66</v>
      </c>
      <c r="AI68" s="106">
        <f>AH68-'Table 1.1 complete'!E65</f>
        <v>-3.9999999999999147E-2</v>
      </c>
      <c r="AJ68" s="113">
        <f>AH68-'Table 1.2 complete'!K65</f>
        <v>0</v>
      </c>
      <c r="AK68" s="106">
        <f>'Table 1.2 complete'!K65-'Table 1.1 complete'!E65</f>
        <v>-3.9999999999999147E-2</v>
      </c>
    </row>
    <row r="69" spans="1:37" x14ac:dyDescent="0.25">
      <c r="B69" s="374"/>
      <c r="C69" s="374"/>
      <c r="D69" s="374"/>
      <c r="E69" s="374"/>
      <c r="F69" s="374"/>
      <c r="G69" s="377"/>
      <c r="H69" s="96"/>
      <c r="I69" s="96"/>
      <c r="J69" s="96"/>
      <c r="K69" s="96"/>
      <c r="M69" s="96"/>
      <c r="O69" s="618">
        <f t="shared" si="11"/>
        <v>8.5968915194505932E-2</v>
      </c>
      <c r="P69" s="483" t="str">
        <f>'Table 1.2 complete'!A66</f>
        <v>UAE</v>
      </c>
      <c r="Q69" s="198">
        <f>'Table 1.2 complete'!B66</f>
        <v>152</v>
      </c>
      <c r="R69" s="167" t="s">
        <v>422</v>
      </c>
      <c r="S69" s="127">
        <v>15</v>
      </c>
      <c r="T69" s="109" t="str">
        <f>'Table 1.2 complete'!E66</f>
        <v>-</v>
      </c>
      <c r="U69" s="109" t="str">
        <f>'Table 1.2 complete'!F66</f>
        <v>-</v>
      </c>
      <c r="V69" s="109" t="str">
        <f>'Table 1.2 complete'!G66</f>
        <v>-</v>
      </c>
      <c r="W69" s="109" t="str">
        <f>'Table 1.2 complete'!H66</f>
        <v>-</v>
      </c>
      <c r="X69" s="109" t="str">
        <f>'Table 1.3 complete'!E66</f>
        <v>-</v>
      </c>
      <c r="Y69" s="109" t="str">
        <f>'Table 1.3 complete'!F66</f>
        <v>-</v>
      </c>
      <c r="Z69" s="109" t="str">
        <f>'Table 1.3 complete'!G66</f>
        <v>-</v>
      </c>
      <c r="AA69" s="109" t="str">
        <f>'Table 1.3 complete'!H66</f>
        <v>-</v>
      </c>
      <c r="AB69" s="109">
        <f>'Table 1.3 complete'!I66</f>
        <v>1.42</v>
      </c>
      <c r="AC69" s="109">
        <f>'Table 1.3 complete'!J66</f>
        <v>74.69</v>
      </c>
      <c r="AD69" s="109" t="str">
        <f>'Table 1.3 complete'!K66</f>
        <v>-</v>
      </c>
      <c r="AE69" s="109" t="str">
        <f>'Table 1.3 complete'!L66</f>
        <v>-</v>
      </c>
      <c r="AF69" s="109" t="str">
        <f>'Table 1.3 complete'!M66</f>
        <v>-</v>
      </c>
      <c r="AG69" s="109" t="str">
        <f>'Table 1.3 complete'!N66</f>
        <v>-</v>
      </c>
      <c r="AH69" s="149">
        <f>SUM(T69:AG69)</f>
        <v>76.11</v>
      </c>
      <c r="AI69" s="106">
        <f>AH69-'Table 1.1 complete'!E66</f>
        <v>1.0000000000005116E-2</v>
      </c>
      <c r="AJ69" s="113">
        <f>AH69-'Table 1.2 complete'!K66</f>
        <v>0</v>
      </c>
      <c r="AK69" s="106">
        <f>'Table 1.2 complete'!K66-'Table 1.1 complete'!E66</f>
        <v>1.0000000000005116E-2</v>
      </c>
    </row>
    <row r="70" spans="1:37" ht="15.75" thickBot="1" x14ac:dyDescent="0.3">
      <c r="B70" s="678"/>
      <c r="C70" s="678"/>
      <c r="D70" s="678"/>
      <c r="E70" s="678"/>
      <c r="F70" s="678"/>
      <c r="G70" s="688"/>
      <c r="H70" s="689"/>
      <c r="I70" s="689"/>
      <c r="J70" s="689"/>
      <c r="K70" s="689"/>
      <c r="L70" s="690"/>
      <c r="M70" s="689"/>
      <c r="N70" s="690"/>
      <c r="O70" s="625">
        <f t="shared" si="11"/>
        <v>6.8110965526589256E-3</v>
      </c>
      <c r="P70" s="693" t="str">
        <f>'Table 1.2 complete'!A67</f>
        <v>Yemen</v>
      </c>
      <c r="Q70" s="694">
        <f>'Table 1.2 complete'!B67</f>
        <v>153</v>
      </c>
      <c r="R70" s="695" t="s">
        <v>422</v>
      </c>
      <c r="S70" s="696">
        <v>15</v>
      </c>
      <c r="T70" s="651" t="str">
        <f>'Table 1.2 complete'!E67</f>
        <v>-</v>
      </c>
      <c r="U70" s="651" t="str">
        <f>'Table 1.2 complete'!F67</f>
        <v>-</v>
      </c>
      <c r="V70" s="651" t="str">
        <f>'Table 1.2 complete'!G67</f>
        <v>-</v>
      </c>
      <c r="W70" s="651" t="str">
        <f>'Table 1.2 complete'!H67</f>
        <v>-</v>
      </c>
      <c r="X70" s="651" t="str">
        <f>'Table 1.3 complete'!E67</f>
        <v>-</v>
      </c>
      <c r="Y70" s="651" t="str">
        <f>'Table 1.3 complete'!F67</f>
        <v>-</v>
      </c>
      <c r="Z70" s="651" t="str">
        <f>'Table 1.3 complete'!G67</f>
        <v>-</v>
      </c>
      <c r="AA70" s="651" t="str">
        <f>'Table 1.3 complete'!H67</f>
        <v>-</v>
      </c>
      <c r="AB70" s="651">
        <f>'Table 1.3 complete'!I67</f>
        <v>6.03</v>
      </c>
      <c r="AC70" s="651" t="str">
        <f>'Table 1.3 complete'!J67</f>
        <v>-</v>
      </c>
      <c r="AD70" s="651" t="str">
        <f>'Table 1.3 complete'!K67</f>
        <v>-</v>
      </c>
      <c r="AE70" s="651" t="str">
        <f>'Table 1.3 complete'!L67</f>
        <v>-</v>
      </c>
      <c r="AF70" s="651" t="str">
        <f>'Table 1.3 complete'!M67</f>
        <v>-</v>
      </c>
      <c r="AG70" s="651" t="str">
        <f>'Table 1.3 complete'!N67</f>
        <v>-</v>
      </c>
      <c r="AH70" s="652">
        <f>SUM(T70:AG70)</f>
        <v>6.03</v>
      </c>
      <c r="AI70" s="653">
        <f>AH70-'Table 1.1 complete'!E67</f>
        <v>3.0000000000000249E-2</v>
      </c>
      <c r="AJ70" s="654">
        <f>AH70-'Table 1.2 complete'!K67</f>
        <v>0</v>
      </c>
      <c r="AK70" s="653">
        <f>'Table 1.2 complete'!K67-'Table 1.1 complete'!E67</f>
        <v>3.0000000000000249E-2</v>
      </c>
    </row>
    <row r="71" spans="1:37" x14ac:dyDescent="0.25">
      <c r="B71" s="684"/>
      <c r="C71" s="684"/>
      <c r="D71" s="684"/>
      <c r="E71" s="684"/>
      <c r="F71" s="684"/>
      <c r="G71" s="685"/>
      <c r="H71" s="686"/>
      <c r="I71" s="686"/>
      <c r="J71" s="686"/>
      <c r="K71" s="686"/>
      <c r="L71" s="687"/>
      <c r="M71" s="686"/>
      <c r="N71" s="687"/>
      <c r="O71" s="624">
        <f>AH71/SUM($AH$71:$AH$74)</f>
        <v>5.8299431799078774E-2</v>
      </c>
      <c r="P71" s="623" t="str">
        <f>'Table 1.2 complete'!A68</f>
        <v>Ecuador</v>
      </c>
      <c r="Q71" s="610">
        <f>'Table 1.2 complete'!B68</f>
        <v>75</v>
      </c>
      <c r="R71" s="609" t="s">
        <v>421</v>
      </c>
      <c r="S71" s="611">
        <v>16</v>
      </c>
      <c r="T71" s="636" t="str">
        <f>'Table 1.2 complete'!E68</f>
        <v>-</v>
      </c>
      <c r="U71" s="636">
        <f>'Table 1.2 complete'!F68</f>
        <v>9.0399999999999991</v>
      </c>
      <c r="V71" s="636" t="str">
        <f>'Table 1.2 complete'!G68</f>
        <v>-</v>
      </c>
      <c r="W71" s="636" t="str">
        <f>'Table 1.2 complete'!H68</f>
        <v>-</v>
      </c>
      <c r="X71" s="636" t="str">
        <f>'Table 1.3 complete'!E68</f>
        <v>-</v>
      </c>
      <c r="Y71" s="636" t="str">
        <f>'Table 1.3 complete'!F68</f>
        <v>-</v>
      </c>
      <c r="Z71" s="636" t="str">
        <f>'Table 1.3 complete'!G68</f>
        <v>-</v>
      </c>
      <c r="AA71" s="636" t="str">
        <f>'Table 1.3 complete'!H68</f>
        <v>-</v>
      </c>
      <c r="AB71" s="636">
        <f>'Table 1.3 complete'!I68</f>
        <v>7.12</v>
      </c>
      <c r="AC71" s="636">
        <f>'Table 1.3 complete'!J68</f>
        <v>1.18</v>
      </c>
      <c r="AD71" s="636" t="str">
        <f>'Table 1.3 complete'!K68</f>
        <v>-</v>
      </c>
      <c r="AE71" s="636" t="str">
        <f>'Table 1.3 complete'!L68</f>
        <v>-</v>
      </c>
      <c r="AF71" s="636" t="str">
        <f>'Table 1.3 complete'!M68</f>
        <v>-</v>
      </c>
      <c r="AG71" s="636" t="str">
        <f>'Table 1.3 complete'!N68</f>
        <v>-</v>
      </c>
      <c r="AH71" s="637">
        <f>SUM(T71:AG71)</f>
        <v>17.34</v>
      </c>
      <c r="AI71" s="638">
        <f>AH71-'Table 1.1 complete'!E68</f>
        <v>3.9999999999999147E-2</v>
      </c>
      <c r="AJ71" s="639">
        <f>AH71-'Table 1.2 complete'!K68</f>
        <v>0</v>
      </c>
      <c r="AK71" s="638">
        <f>'Table 1.2 complete'!K68-'Table 1.1 complete'!E68</f>
        <v>3.9999999999999147E-2</v>
      </c>
    </row>
    <row r="72" spans="1:37" x14ac:dyDescent="0.25">
      <c r="B72" s="374"/>
      <c r="C72" s="374"/>
      <c r="D72" s="374"/>
      <c r="E72" s="374"/>
      <c r="F72" s="374"/>
      <c r="G72" s="377"/>
      <c r="H72" s="96"/>
      <c r="I72" s="96"/>
      <c r="J72" s="96"/>
      <c r="K72" s="96"/>
      <c r="M72" s="96"/>
      <c r="O72" s="618">
        <f t="shared" ref="O72:O74" si="12">AH72/SUM($AH$71:$AH$74)</f>
        <v>7.7295498100393364E-2</v>
      </c>
      <c r="P72" s="623" t="str">
        <f>'Table 1.2 complete'!A70</f>
        <v>Nigeria</v>
      </c>
      <c r="Q72" s="610">
        <f>'Table 1.2 complete'!B70</f>
        <v>56</v>
      </c>
      <c r="R72" s="609" t="s">
        <v>421</v>
      </c>
      <c r="S72" s="611">
        <v>16</v>
      </c>
      <c r="T72" s="109" t="str">
        <f>'Table 1.2 complete'!E70</f>
        <v>-</v>
      </c>
      <c r="U72" s="109">
        <f>'Table 1.2 complete'!F70</f>
        <v>6.41</v>
      </c>
      <c r="V72" s="109" t="str">
        <f>'Table 1.2 complete'!G70</f>
        <v>-</v>
      </c>
      <c r="W72" s="109" t="str">
        <f>'Table 1.2 complete'!H70</f>
        <v>-</v>
      </c>
      <c r="X72" s="109" t="str">
        <f>'Table 1.3 complete'!E70</f>
        <v>-</v>
      </c>
      <c r="Y72" s="109" t="str">
        <f>'Table 1.3 complete'!F70</f>
        <v>-</v>
      </c>
      <c r="Z72" s="109" t="str">
        <f>'Table 1.3 complete'!G70</f>
        <v>-</v>
      </c>
      <c r="AA72" s="109" t="str">
        <f>'Table 1.3 complete'!H70</f>
        <v>-</v>
      </c>
      <c r="AB72" s="109">
        <f>'Table 1.3 complete'!I70</f>
        <v>1.1399999999999999</v>
      </c>
      <c r="AC72" s="109">
        <f>'Table 1.3 complete'!J70</f>
        <v>15.44</v>
      </c>
      <c r="AD72" s="109" t="str">
        <f>'Table 1.3 complete'!K70</f>
        <v>-</v>
      </c>
      <c r="AE72" s="109" t="str">
        <f>'Table 1.3 complete'!L70</f>
        <v>-</v>
      </c>
      <c r="AF72" s="109" t="str">
        <f>'Table 1.3 complete'!M70</f>
        <v>-</v>
      </c>
      <c r="AG72" s="109" t="str">
        <f>'Table 1.3 complete'!N70</f>
        <v>-</v>
      </c>
      <c r="AH72" s="149">
        <f>SUM(T72:AG72)</f>
        <v>22.99</v>
      </c>
      <c r="AI72" s="106">
        <f>AH72-'Table 1.1 complete'!E70</f>
        <v>-1.0000000000001563E-2</v>
      </c>
      <c r="AJ72" s="113">
        <f>AH72-'Table 1.2 complete'!K70</f>
        <v>9.9999999999980105E-3</v>
      </c>
      <c r="AK72" s="106">
        <f>'Table 1.2 complete'!K70-'Table 1.1 complete'!E70</f>
        <v>-1.9999999999999574E-2</v>
      </c>
    </row>
    <row r="73" spans="1:37" x14ac:dyDescent="0.25">
      <c r="B73" s="374"/>
      <c r="C73" s="374"/>
      <c r="D73" s="374"/>
      <c r="E73" s="374"/>
      <c r="F73" s="374"/>
      <c r="G73" s="377"/>
      <c r="H73" s="96"/>
      <c r="I73" s="96"/>
      <c r="J73" s="96"/>
      <c r="K73" s="96"/>
      <c r="M73" s="96"/>
      <c r="O73" s="618">
        <f t="shared" si="12"/>
        <v>0.38617489829539725</v>
      </c>
      <c r="P73" s="623" t="str">
        <f>'Table 1.2 complete'!A71</f>
        <v>Venezuela</v>
      </c>
      <c r="Q73" s="610">
        <f>'Table 1.2 complete'!B71</f>
        <v>88</v>
      </c>
      <c r="R73" s="609" t="s">
        <v>421</v>
      </c>
      <c r="S73" s="611">
        <v>16</v>
      </c>
      <c r="T73" s="109" t="str">
        <f>'Table 1.2 complete'!E71</f>
        <v>-</v>
      </c>
      <c r="U73" s="109">
        <f>'Table 1.2 complete'!F71</f>
        <v>83.06</v>
      </c>
      <c r="V73" s="109" t="str">
        <f>'Table 1.2 complete'!G71</f>
        <v>-</v>
      </c>
      <c r="W73" s="109" t="str">
        <f>'Table 1.2 complete'!H71</f>
        <v>-</v>
      </c>
      <c r="X73" s="109" t="str">
        <f>'Table 1.3 complete'!E71</f>
        <v>-</v>
      </c>
      <c r="Y73" s="109" t="str">
        <f>'Table 1.3 complete'!F71</f>
        <v>-</v>
      </c>
      <c r="Z73" s="109" t="str">
        <f>'Table 1.3 complete'!G71</f>
        <v>-</v>
      </c>
      <c r="AA73" s="109" t="str">
        <f>'Table 1.3 complete'!H71</f>
        <v>-</v>
      </c>
      <c r="AB73" s="109">
        <f>'Table 1.3 complete'!I71</f>
        <v>13.11</v>
      </c>
      <c r="AC73" s="109">
        <f>'Table 1.3 complete'!J71</f>
        <v>18.690000000000001</v>
      </c>
      <c r="AD73" s="109" t="str">
        <f>'Table 1.3 complete'!K71</f>
        <v>-</v>
      </c>
      <c r="AE73" s="109" t="str">
        <f>'Table 1.3 complete'!L71</f>
        <v>-</v>
      </c>
      <c r="AF73" s="109" t="str">
        <f>'Table 1.3 complete'!M71</f>
        <v>-</v>
      </c>
      <c r="AG73" s="109" t="str">
        <f>'Table 1.3 complete'!N71</f>
        <v>-</v>
      </c>
      <c r="AH73" s="149">
        <f>SUM(T73:AG73)</f>
        <v>114.86</v>
      </c>
      <c r="AI73" s="106">
        <f>AH73-'Table 1.1 complete'!E71</f>
        <v>-4.0000000000006253E-2</v>
      </c>
      <c r="AJ73" s="113">
        <f>AH73-'Table 1.2 complete'!K71</f>
        <v>1.0000000000005116E-2</v>
      </c>
      <c r="AK73" s="106">
        <f>'Table 1.2 complete'!K71-'Table 1.1 complete'!E71</f>
        <v>-5.0000000000011369E-2</v>
      </c>
    </row>
    <row r="74" spans="1:37" ht="15.75" thickBot="1" x14ac:dyDescent="0.3">
      <c r="B74" s="374"/>
      <c r="C74" s="374"/>
      <c r="D74" s="374"/>
      <c r="E74" s="374"/>
      <c r="F74" s="374"/>
      <c r="O74" s="346">
        <f t="shared" si="12"/>
        <v>0.47823017180513067</v>
      </c>
      <c r="P74" s="482" t="str">
        <f>'Table 1.2 complete'!A69</f>
        <v>Indonesia</v>
      </c>
      <c r="Q74" s="201">
        <f>'Table 1.2 complete'!B69</f>
        <v>95</v>
      </c>
      <c r="R74" s="609" t="s">
        <v>421</v>
      </c>
      <c r="S74" s="611">
        <v>17</v>
      </c>
      <c r="T74" s="109" t="str">
        <f>'Table 1.2 complete'!E69</f>
        <v>-</v>
      </c>
      <c r="U74" s="109">
        <f>'Table 1.2 complete'!F69</f>
        <v>11.29</v>
      </c>
      <c r="V74" s="109">
        <f>'Table 1.2 complete'!G69</f>
        <v>7.02</v>
      </c>
      <c r="W74" s="109" t="str">
        <f>'Table 1.2 complete'!H69</f>
        <v>-</v>
      </c>
      <c r="X74" s="109" t="str">
        <f>'Table 1.3 complete'!E69</f>
        <v>-</v>
      </c>
      <c r="Y74" s="109">
        <f>'Table 1.3 complete'!F69</f>
        <v>63.83</v>
      </c>
      <c r="Z74" s="109" t="str">
        <f>'Table 1.3 complete'!G72</f>
        <v>-</v>
      </c>
      <c r="AA74" s="109" t="str">
        <f>'Table 1.3 complete'!H69</f>
        <v>-</v>
      </c>
      <c r="AB74" s="109">
        <f>'Table 1.3 complete'!I69</f>
        <v>37.700000000000003</v>
      </c>
      <c r="AC74" s="109">
        <f>'Table 1.3 complete'!J69</f>
        <v>22.4</v>
      </c>
      <c r="AD74" s="109" t="str">
        <f>'Table 1.3 complete'!K69</f>
        <v>-</v>
      </c>
      <c r="AE74" s="109" t="str">
        <f>'Table 1.3 complete'!L69</f>
        <v>-</v>
      </c>
      <c r="AF74" s="109" t="str">
        <f>'Table 1.3 complete'!M69</f>
        <v>-</v>
      </c>
      <c r="AG74" s="109" t="str">
        <f>'Table 1.3 complete'!N69</f>
        <v>-</v>
      </c>
      <c r="AH74" s="149">
        <f>SUM(T74:AG74)</f>
        <v>142.24</v>
      </c>
      <c r="AI74" s="106">
        <f>AH74-'Table 1.1 complete'!E69</f>
        <v>4.0000000000020464E-2</v>
      </c>
      <c r="AJ74" s="113">
        <f>AH74-'Table 1.2 complete'!K69</f>
        <v>0</v>
      </c>
      <c r="AK74" s="106">
        <f>'Table 1.2 complete'!K72-'Table 1.1 complete'!E72</f>
        <v>-4.0000000000000036E-2</v>
      </c>
    </row>
    <row r="75" spans="1:37" s="377" customFormat="1" x14ac:dyDescent="0.25">
      <c r="A75" s="379"/>
      <c r="B75" s="374"/>
      <c r="C75" s="374"/>
      <c r="D75" s="374"/>
      <c r="E75" s="374"/>
      <c r="F75" s="374"/>
      <c r="G75" s="936" t="s">
        <v>366</v>
      </c>
      <c r="H75" s="407">
        <f>L75*O75</f>
        <v>1.3425591242383558E-8</v>
      </c>
      <c r="I75" s="408"/>
      <c r="J75" s="409"/>
      <c r="K75" s="409"/>
      <c r="L75" s="410">
        <v>1.0000000000000001E-5</v>
      </c>
      <c r="M75" s="86"/>
      <c r="N75" s="345"/>
      <c r="O75" s="624">
        <f>AH75/SUM($AH$75:$AH$148)</f>
        <v>1.3425591242383556E-3</v>
      </c>
      <c r="P75" s="697" t="str">
        <f>'Table 1.2 complete'!A72</f>
        <v>Albania</v>
      </c>
      <c r="Q75" s="698">
        <f>'Table 1.2 complete'!B72</f>
        <v>113</v>
      </c>
      <c r="R75" s="699" t="s">
        <v>423</v>
      </c>
      <c r="S75" s="700">
        <v>17</v>
      </c>
      <c r="T75" s="635" t="str">
        <f>'Table 1.2 complete'!E72</f>
        <v>-</v>
      </c>
      <c r="U75" s="636">
        <f>'Table 1.2 complete'!F72</f>
        <v>2.79</v>
      </c>
      <c r="V75" s="636" t="str">
        <f>'Table 1.2 complete'!G72</f>
        <v>-</v>
      </c>
      <c r="W75" s="636" t="str">
        <f>'Table 1.2 complete'!H72</f>
        <v>-</v>
      </c>
      <c r="X75" s="636" t="str">
        <f>'Table 1.3 complete'!E72</f>
        <v>-</v>
      </c>
      <c r="Y75" s="636" t="str">
        <f>'Table 1.3 complete'!F72</f>
        <v>-</v>
      </c>
      <c r="Z75" s="636" t="str">
        <f>'Table 1.3 complete'!G72</f>
        <v>-</v>
      </c>
      <c r="AA75" s="636" t="str">
        <f>'Table 1.3 complete'!H72</f>
        <v>-</v>
      </c>
      <c r="AB75" s="636">
        <f>'Table 1.3 complete'!I72</f>
        <v>7.0000000000000007E-2</v>
      </c>
      <c r="AC75" s="636" t="str">
        <f>'Table 1.3 complete'!J72</f>
        <v>-</v>
      </c>
      <c r="AD75" s="636" t="str">
        <f>'Table 1.3 complete'!K72</f>
        <v>-</v>
      </c>
      <c r="AE75" s="636" t="str">
        <f>'Table 1.3 complete'!L72</f>
        <v>-</v>
      </c>
      <c r="AF75" s="636" t="str">
        <f>'Table 1.3 complete'!M72</f>
        <v>-</v>
      </c>
      <c r="AG75" s="636" t="str">
        <f>'Table 1.3 complete'!N72</f>
        <v>-</v>
      </c>
      <c r="AH75" s="637">
        <f>SUM(T75:AG75)</f>
        <v>2.86</v>
      </c>
      <c r="AI75" s="638">
        <f>AH75-'Table 1.1 complete'!E72</f>
        <v>-4.0000000000000036E-2</v>
      </c>
      <c r="AJ75" s="639">
        <f>AH75-'Table 1.2 complete'!K72</f>
        <v>0</v>
      </c>
      <c r="AK75" s="638">
        <f>'Table 1.2 complete'!K72-'Table 1.1 complete'!E72</f>
        <v>-4.0000000000000036E-2</v>
      </c>
    </row>
    <row r="76" spans="1:37" x14ac:dyDescent="0.25">
      <c r="B76" s="374"/>
      <c r="C76" s="374"/>
      <c r="D76" s="374"/>
      <c r="E76" s="374"/>
      <c r="F76" s="374"/>
      <c r="G76" s="617"/>
      <c r="H76" s="922"/>
      <c r="I76" s="617"/>
      <c r="J76" s="922"/>
      <c r="K76" s="922"/>
      <c r="L76" s="410"/>
      <c r="M76" s="96"/>
      <c r="N76" s="345"/>
      <c r="O76" s="618">
        <f t="shared" ref="O76:O139" si="13">AH76/SUM($AH$75:$AH$148)</f>
        <v>1.7791255527494295E-3</v>
      </c>
      <c r="P76" s="484" t="str">
        <f>'Table 1.2 complete'!A73</f>
        <v xml:space="preserve">Angola        </v>
      </c>
      <c r="Q76" s="203">
        <f>'Table 1.2 complete'!B73</f>
        <v>39</v>
      </c>
      <c r="R76" s="172" t="s">
        <v>423</v>
      </c>
      <c r="S76" s="132">
        <v>17</v>
      </c>
      <c r="T76" s="109" t="str">
        <f>'Table 1.2 complete'!E73</f>
        <v>-</v>
      </c>
      <c r="U76" s="109">
        <f>'Table 1.2 complete'!F73</f>
        <v>3.2</v>
      </c>
      <c r="V76" s="109" t="str">
        <f>'Table 1.2 complete'!G73</f>
        <v>-</v>
      </c>
      <c r="W76" s="109" t="str">
        <f>'Table 1.2 complete'!H73</f>
        <v>-</v>
      </c>
      <c r="X76" s="109" t="str">
        <f>'Table 1.3 complete'!E73</f>
        <v>-</v>
      </c>
      <c r="Y76" s="109" t="str">
        <f>'Table 1.3 complete'!F73</f>
        <v>-</v>
      </c>
      <c r="Z76" s="109" t="str">
        <f>'Table 1.3 complete'!G73</f>
        <v>-</v>
      </c>
      <c r="AA76" s="109" t="str">
        <f>'Table 1.3 complete'!H73</f>
        <v>-</v>
      </c>
      <c r="AB76" s="109">
        <f>'Table 1.3 complete'!I73</f>
        <v>0.59</v>
      </c>
      <c r="AC76" s="109" t="str">
        <f>'Table 1.3 complete'!J73</f>
        <v>-</v>
      </c>
      <c r="AD76" s="109" t="str">
        <f>'Table 1.3 complete'!K73</f>
        <v>-</v>
      </c>
      <c r="AE76" s="109" t="str">
        <f>'Table 1.3 complete'!L73</f>
        <v>-</v>
      </c>
      <c r="AF76" s="109" t="str">
        <f>'Table 1.3 complete'!M73</f>
        <v>-</v>
      </c>
      <c r="AG76" s="109" t="str">
        <f>'Table 1.3 complete'!N73</f>
        <v>-</v>
      </c>
      <c r="AH76" s="149">
        <f>SUM(T76:AG76)</f>
        <v>3.79</v>
      </c>
      <c r="AI76" s="106">
        <f>AH76-'Table 1.1 complete'!E73</f>
        <v>-9.9999999999997868E-3</v>
      </c>
      <c r="AJ76" s="113">
        <f>AH76-'Table 1.2 complete'!K73</f>
        <v>0</v>
      </c>
      <c r="AK76" s="106">
        <f>'Table 1.2 complete'!K73-'Table 1.1 complete'!E73</f>
        <v>-9.9999999999997868E-3</v>
      </c>
    </row>
    <row r="77" spans="1:37" x14ac:dyDescent="0.25">
      <c r="B77" s="374"/>
      <c r="C77" s="374"/>
      <c r="D77" s="374"/>
      <c r="E77" s="374"/>
      <c r="F77" s="374"/>
      <c r="G77" s="615"/>
      <c r="H77" s="388"/>
      <c r="I77" s="403"/>
      <c r="J77" s="404"/>
      <c r="K77" s="404"/>
      <c r="L77" s="353"/>
      <c r="M77" s="96"/>
      <c r="N77" s="345"/>
      <c r="O77" s="618">
        <f t="shared" si="13"/>
        <v>5.4129542872700984E-2</v>
      </c>
      <c r="P77" s="484" t="str">
        <f>'Table 1.2 complete'!A74</f>
        <v>Argentina</v>
      </c>
      <c r="Q77" s="203">
        <f>'Table 1.2 complete'!B74</f>
        <v>67</v>
      </c>
      <c r="R77" s="172" t="s">
        <v>423</v>
      </c>
      <c r="S77" s="132">
        <v>17</v>
      </c>
      <c r="T77" s="109">
        <f>'Table 1.2 complete'!E74</f>
        <v>7.22</v>
      </c>
      <c r="U77" s="109">
        <f>'Table 1.2 complete'!F74</f>
        <v>30.73</v>
      </c>
      <c r="V77" s="109" t="str">
        <f>'Table 1.2 complete'!G74</f>
        <v>-</v>
      </c>
      <c r="W77" s="109">
        <f>'Table 1.2 complete'!H74</f>
        <v>0.06</v>
      </c>
      <c r="X77" s="109">
        <f>'Table 1.3 complete'!E74</f>
        <v>1.67</v>
      </c>
      <c r="Y77" s="109" t="str">
        <f>'Table 1.3 complete'!F74</f>
        <v>-</v>
      </c>
      <c r="Z77" s="109" t="str">
        <f>'Table 1.3 complete'!G74</f>
        <v>-</v>
      </c>
      <c r="AA77" s="109">
        <f>'Table 1.3 complete'!H74</f>
        <v>0.83</v>
      </c>
      <c r="AB77" s="109">
        <f>'Table 1.3 complete'!I74</f>
        <v>10.79</v>
      </c>
      <c r="AC77" s="109">
        <f>'Table 1.3 complete'!J74</f>
        <v>62.53</v>
      </c>
      <c r="AD77" s="109">
        <f>'Table 1.3 complete'!K74</f>
        <v>1.48</v>
      </c>
      <c r="AE77" s="109" t="str">
        <f>'Table 1.3 complete'!L74</f>
        <v>-</v>
      </c>
      <c r="AF77" s="109" t="str">
        <f>'Table 1.3 complete'!M74</f>
        <v>-</v>
      </c>
      <c r="AG77" s="109" t="str">
        <f>'Table 1.3 complete'!N74</f>
        <v>-</v>
      </c>
      <c r="AH77" s="149">
        <f>SUM(T77:AG77)</f>
        <v>115.31000000000002</v>
      </c>
      <c r="AI77" s="106">
        <f>AH77-'Table 1.1 complete'!E74</f>
        <v>1.0000000000019327E-2</v>
      </c>
      <c r="AJ77" s="113">
        <f>AH77-'Table 1.2 complete'!K74</f>
        <v>1.0000000000019327E-2</v>
      </c>
      <c r="AK77" s="106">
        <f>'Table 1.2 complete'!K74-'Table 1.1 complete'!E74</f>
        <v>0</v>
      </c>
    </row>
    <row r="78" spans="1:37" x14ac:dyDescent="0.25">
      <c r="B78" s="374"/>
      <c r="C78" s="374"/>
      <c r="D78" s="374"/>
      <c r="E78" s="374"/>
      <c r="F78" s="374"/>
      <c r="G78" s="615"/>
      <c r="H78" s="388"/>
      <c r="I78" s="403"/>
      <c r="J78" s="404"/>
      <c r="K78" s="404"/>
      <c r="L78" s="353"/>
      <c r="M78" s="96"/>
      <c r="N78" s="345"/>
      <c r="O78" s="618">
        <f t="shared" si="13"/>
        <v>2.7649207139034673E-3</v>
      </c>
      <c r="P78" s="484" t="str">
        <f>'Table 1.2 complete'!A75</f>
        <v>Armenia</v>
      </c>
      <c r="Q78" s="203">
        <f>'Table 1.2 complete'!B75</f>
        <v>125</v>
      </c>
      <c r="R78" s="172" t="s">
        <v>423</v>
      </c>
      <c r="S78" s="132">
        <v>17</v>
      </c>
      <c r="T78" s="109">
        <f>'Table 1.2 complete'!E75</f>
        <v>2.5499999999999998</v>
      </c>
      <c r="U78" s="109">
        <f>'Table 1.2 complete'!F75</f>
        <v>1.85</v>
      </c>
      <c r="V78" s="109" t="str">
        <f>'Table 1.2 complete'!G75</f>
        <v>-</v>
      </c>
      <c r="W78" s="109">
        <f>'Table 1.2 complete'!H75</f>
        <v>0</v>
      </c>
      <c r="X78" s="109" t="str">
        <f>'Table 1.3 complete'!E75</f>
        <v>-</v>
      </c>
      <c r="Y78" s="109" t="str">
        <f>'Table 1.3 complete'!F75</f>
        <v>-</v>
      </c>
      <c r="Z78" s="109" t="str">
        <f>'Table 1.3 complete'!G75</f>
        <v>-</v>
      </c>
      <c r="AA78" s="109" t="str">
        <f>'Table 1.3 complete'!H75</f>
        <v>-</v>
      </c>
      <c r="AB78" s="109" t="str">
        <f>'Table 1.3 complete'!I75</f>
        <v>-</v>
      </c>
      <c r="AC78" s="109">
        <f>'Table 1.3 complete'!J75</f>
        <v>1.49</v>
      </c>
      <c r="AD78" s="109" t="str">
        <f>'Table 1.3 complete'!K75</f>
        <v>-</v>
      </c>
      <c r="AE78" s="109" t="str">
        <f>'Table 1.3 complete'!L75</f>
        <v>-</v>
      </c>
      <c r="AF78" s="109" t="str">
        <f>'Table 1.3 complete'!M75</f>
        <v>-</v>
      </c>
      <c r="AG78" s="109" t="str">
        <f>'Table 1.3 complete'!N75</f>
        <v>-</v>
      </c>
      <c r="AH78" s="149">
        <f>SUM(T78:AG78)</f>
        <v>5.8900000000000006</v>
      </c>
      <c r="AI78" s="106">
        <f>AH78-'Table 1.1 complete'!E75</f>
        <v>-9.9999999999997868E-3</v>
      </c>
      <c r="AJ78" s="113">
        <f>AH78-'Table 1.2 complete'!K75</f>
        <v>-9.9999999999997868E-3</v>
      </c>
      <c r="AK78" s="106">
        <f>'Table 1.2 complete'!K75-'Table 1.1 complete'!E75</f>
        <v>0</v>
      </c>
    </row>
    <row r="79" spans="1:37" x14ac:dyDescent="0.25">
      <c r="B79" s="374"/>
      <c r="C79" s="374"/>
      <c r="D79" s="374"/>
      <c r="E79" s="374"/>
      <c r="F79" s="374"/>
      <c r="G79" s="617"/>
      <c r="H79" s="407"/>
      <c r="I79" s="408"/>
      <c r="J79" s="409"/>
      <c r="K79" s="409"/>
      <c r="L79" s="410"/>
      <c r="M79" s="96"/>
      <c r="N79" s="345"/>
      <c r="O79" s="618">
        <f t="shared" si="13"/>
        <v>1.1364809929304403E-2</v>
      </c>
      <c r="P79" s="484" t="str">
        <f>'Table 1.2 complete'!A76</f>
        <v>Azerbaijan</v>
      </c>
      <c r="Q79" s="203">
        <f>'Table 1.2 complete'!B76</f>
        <v>126</v>
      </c>
      <c r="R79" s="172" t="s">
        <v>423</v>
      </c>
      <c r="S79" s="132">
        <v>17</v>
      </c>
      <c r="T79" s="109" t="str">
        <f>'Table 1.2 complete'!E76</f>
        <v>-</v>
      </c>
      <c r="U79" s="109">
        <f>'Table 1.2 complete'!F76</f>
        <v>2.36</v>
      </c>
      <c r="V79" s="109" t="str">
        <f>'Table 1.2 complete'!G76</f>
        <v>-</v>
      </c>
      <c r="W79" s="109" t="str">
        <f>'Table 1.2 complete'!H76</f>
        <v>-</v>
      </c>
      <c r="X79" s="109" t="str">
        <f>'Table 1.3 complete'!E76</f>
        <v>-</v>
      </c>
      <c r="Y79" s="109" t="str">
        <f>'Table 1.3 complete'!F76</f>
        <v>-</v>
      </c>
      <c r="Z79" s="109" t="str">
        <f>'Table 1.3 complete'!G76</f>
        <v>-</v>
      </c>
      <c r="AA79" s="109" t="str">
        <f>'Table 1.3 complete'!H76</f>
        <v>-</v>
      </c>
      <c r="AB79" s="109">
        <f>'Table 1.3 complete'!I76</f>
        <v>3.8</v>
      </c>
      <c r="AC79" s="109">
        <f>'Table 1.3 complete'!J76</f>
        <v>18.05</v>
      </c>
      <c r="AD79" s="109" t="str">
        <f>'Table 1.3 complete'!K76</f>
        <v>-</v>
      </c>
      <c r="AE79" s="109" t="str">
        <f>'Table 1.3 complete'!L76</f>
        <v>-</v>
      </c>
      <c r="AF79" s="109" t="str">
        <f>'Table 1.3 complete'!M76</f>
        <v>-</v>
      </c>
      <c r="AG79" s="109" t="str">
        <f>'Table 1.3 complete'!N76</f>
        <v>-</v>
      </c>
      <c r="AH79" s="149">
        <f>SUM(T79:AG79)</f>
        <v>24.21</v>
      </c>
      <c r="AI79" s="106">
        <f>AH79-'Table 1.1 complete'!E76</f>
        <v>1.0000000000001563E-2</v>
      </c>
      <c r="AJ79" s="113">
        <f>AH79-'Table 1.2 complete'!K76</f>
        <v>0</v>
      </c>
      <c r="AK79" s="106">
        <f>'Table 1.2 complete'!K76-'Table 1.1 complete'!E76</f>
        <v>1.0000000000001563E-2</v>
      </c>
    </row>
    <row r="80" spans="1:37" x14ac:dyDescent="0.25">
      <c r="B80" s="374"/>
      <c r="C80" s="374"/>
      <c r="D80" s="374"/>
      <c r="E80" s="374"/>
      <c r="F80" s="374"/>
      <c r="G80" s="615"/>
      <c r="H80" s="388"/>
      <c r="I80" s="403"/>
      <c r="J80" s="404"/>
      <c r="K80" s="404"/>
      <c r="L80" s="353"/>
      <c r="M80" s="96"/>
      <c r="N80" s="345"/>
      <c r="O80" s="618">
        <f t="shared" si="13"/>
        <v>1.1439918132058996E-2</v>
      </c>
      <c r="P80" s="484" t="str">
        <f>'Table 1.2 complete'!A77</f>
        <v>Bangladesh</v>
      </c>
      <c r="Q80" s="203">
        <f>'Table 1.2 complete'!B77</f>
        <v>91</v>
      </c>
      <c r="R80" s="172" t="s">
        <v>423</v>
      </c>
      <c r="S80" s="132">
        <v>17</v>
      </c>
      <c r="T80" s="109" t="str">
        <f>'Table 1.2 complete'!E77</f>
        <v>-</v>
      </c>
      <c r="U80" s="109">
        <f>'Table 1.2 complete'!F77</f>
        <v>1.39</v>
      </c>
      <c r="V80" s="109" t="str">
        <f>'Table 1.2 complete'!G77</f>
        <v>-</v>
      </c>
      <c r="W80" s="109" t="str">
        <f>'Table 1.2 complete'!H77</f>
        <v>-</v>
      </c>
      <c r="X80" s="109" t="str">
        <f>'Table 1.3 complete'!E77</f>
        <v>-</v>
      </c>
      <c r="Y80" s="109" t="str">
        <f>'Table 1.3 complete'!F77</f>
        <v>-</v>
      </c>
      <c r="Z80" s="109" t="str">
        <f>'Table 1.3 complete'!G77</f>
        <v>-</v>
      </c>
      <c r="AA80" s="109" t="str">
        <f>'Table 1.3 complete'!H77</f>
        <v>-</v>
      </c>
      <c r="AB80" s="109">
        <f>'Table 1.3 complete'!I77</f>
        <v>1.64</v>
      </c>
      <c r="AC80" s="109">
        <f>'Table 1.3 complete'!J77</f>
        <v>21.34</v>
      </c>
      <c r="AD80" s="109" t="str">
        <f>'Table 1.3 complete'!K77</f>
        <v>-</v>
      </c>
      <c r="AE80" s="109" t="str">
        <f>'Table 1.3 complete'!L77</f>
        <v>-</v>
      </c>
      <c r="AF80" s="109" t="str">
        <f>'Table 1.3 complete'!M77</f>
        <v>-</v>
      </c>
      <c r="AG80" s="109" t="str">
        <f>'Table 1.3 complete'!N77</f>
        <v>-</v>
      </c>
      <c r="AH80" s="149">
        <f>SUM(T80:AG80)</f>
        <v>24.37</v>
      </c>
      <c r="AI80" s="106">
        <f>AH80-'Table 1.1 complete'!E77</f>
        <v>-2.9999999999997584E-2</v>
      </c>
      <c r="AJ80" s="113">
        <f>AH80-'Table 1.2 complete'!K77</f>
        <v>-9.9999999999980105E-3</v>
      </c>
      <c r="AK80" s="106">
        <f>'Table 1.2 complete'!K77-'Table 1.1 complete'!E77</f>
        <v>-1.9999999999999574E-2</v>
      </c>
    </row>
    <row r="81" spans="1:37" x14ac:dyDescent="0.25">
      <c r="A81" s="374"/>
      <c r="B81" s="374"/>
      <c r="C81" s="374"/>
      <c r="D81" s="374"/>
      <c r="E81" s="374"/>
      <c r="F81" s="936" t="s">
        <v>366</v>
      </c>
      <c r="G81" s="407">
        <f>K81*N81</f>
        <v>0</v>
      </c>
      <c r="H81" s="408"/>
      <c r="I81" s="409"/>
      <c r="J81" s="409"/>
      <c r="K81" s="410">
        <v>1.0000000000000001E-5</v>
      </c>
      <c r="L81" s="86"/>
      <c r="M81" s="345"/>
      <c r="N81" s="345"/>
      <c r="O81" s="618">
        <f t="shared" si="13"/>
        <v>1.4937143822819748E-2</v>
      </c>
      <c r="P81" s="484" t="str">
        <f>'Table 1.2 complete'!A78</f>
        <v>Belarus</v>
      </c>
      <c r="Q81" s="203">
        <f>'Table 1.2 complete'!B78</f>
        <v>127</v>
      </c>
      <c r="R81" s="172" t="s">
        <v>423</v>
      </c>
      <c r="S81" s="132">
        <v>17</v>
      </c>
      <c r="T81" s="109" t="str">
        <f>'Table 1.2 complete'!E78</f>
        <v>-</v>
      </c>
      <c r="U81" s="109">
        <f>'Table 1.2 complete'!F78</f>
        <v>0.04</v>
      </c>
      <c r="V81" s="109" t="str">
        <f>'Table 1.2 complete'!G78</f>
        <v>-</v>
      </c>
      <c r="W81" s="109">
        <f>'Table 1.2 complete'!H78</f>
        <v>0</v>
      </c>
      <c r="X81" s="109" t="str">
        <f>'Table 1.3 complete'!E78</f>
        <v>-</v>
      </c>
      <c r="Y81" s="109" t="str">
        <f>'Table 1.3 complete'!F78</f>
        <v>-</v>
      </c>
      <c r="Z81" s="109">
        <f>'Table 1.3 complete'!G78</f>
        <v>0.01</v>
      </c>
      <c r="AA81" s="109" t="str">
        <f>'Table 1.3 complete'!H78</f>
        <v>-</v>
      </c>
      <c r="AB81" s="109">
        <f>'Table 1.3 complete'!I78</f>
        <v>0.17</v>
      </c>
      <c r="AC81" s="109">
        <f>'Table 1.3 complete'!J78</f>
        <v>31.52</v>
      </c>
      <c r="AD81" s="109">
        <f>'Table 1.3 complete'!K78</f>
        <v>0.01</v>
      </c>
      <c r="AE81" s="109">
        <f>'Table 1.3 complete'!L78</f>
        <v>7.0000000000000007E-2</v>
      </c>
      <c r="AF81" s="109" t="str">
        <f>'Table 1.3 complete'!M78</f>
        <v>-</v>
      </c>
      <c r="AG81" s="109" t="str">
        <f>'Table 1.3 complete'!N78</f>
        <v>-</v>
      </c>
      <c r="AH81" s="149">
        <f>SUM(T81:AG81)</f>
        <v>31.82</v>
      </c>
      <c r="AI81" s="106">
        <f>AH81-'Table 1.1 complete'!E78</f>
        <v>1.9999999999999574E-2</v>
      </c>
      <c r="AJ81" s="113">
        <f>AH81-'Table 1.2 complete'!K78</f>
        <v>-9.9999999999980105E-3</v>
      </c>
      <c r="AK81" s="106">
        <f>'Table 1.2 complete'!K78-'Table 1.1 complete'!E78</f>
        <v>2.9999999999997584E-2</v>
      </c>
    </row>
    <row r="82" spans="1:37" x14ac:dyDescent="0.25">
      <c r="B82" s="374"/>
      <c r="C82" s="374"/>
      <c r="D82" s="374"/>
      <c r="E82" s="374"/>
      <c r="F82" s="374"/>
      <c r="G82" s="615"/>
      <c r="H82" s="388"/>
      <c r="I82" s="403"/>
      <c r="J82" s="404"/>
      <c r="K82" s="404"/>
      <c r="L82" s="353"/>
      <c r="M82" s="96"/>
      <c r="N82" s="472"/>
      <c r="O82" s="618">
        <f t="shared" si="13"/>
        <v>6.1025414738107084E-5</v>
      </c>
      <c r="P82" s="484" t="str">
        <f>'Table 1.2 complete'!A79</f>
        <v>Benin</v>
      </c>
      <c r="Q82" s="203">
        <f>'Table 1.2 complete'!B79</f>
        <v>40</v>
      </c>
      <c r="R82" s="172" t="s">
        <v>423</v>
      </c>
      <c r="S82" s="132">
        <v>17</v>
      </c>
      <c r="T82" s="109" t="str">
        <f>'Table 1.2 complete'!E79</f>
        <v>-</v>
      </c>
      <c r="U82" s="109">
        <f>'Table 1.2 complete'!F79</f>
        <v>0</v>
      </c>
      <c r="V82" s="109" t="str">
        <f>'Table 1.2 complete'!G79</f>
        <v>-</v>
      </c>
      <c r="W82" s="109" t="str">
        <f>'Table 1.2 complete'!H79</f>
        <v>-</v>
      </c>
      <c r="X82" s="109" t="str">
        <f>'Table 1.3 complete'!E79</f>
        <v>-</v>
      </c>
      <c r="Y82" s="109" t="str">
        <f>'Table 1.3 complete'!F79</f>
        <v>-</v>
      </c>
      <c r="Z82" s="109" t="str">
        <f>'Table 1.3 complete'!G79</f>
        <v>-</v>
      </c>
      <c r="AA82" s="109" t="str">
        <f>'Table 1.3 complete'!H79</f>
        <v>-</v>
      </c>
      <c r="AB82" s="109">
        <f>'Table 1.3 complete'!I79</f>
        <v>0.13</v>
      </c>
      <c r="AC82" s="109" t="str">
        <f>'Table 1.3 complete'!J79</f>
        <v>-</v>
      </c>
      <c r="AD82" s="109" t="str">
        <f>'Table 1.3 complete'!K79</f>
        <v>-</v>
      </c>
      <c r="AE82" s="109" t="str">
        <f>'Table 1.3 complete'!L79</f>
        <v>-</v>
      </c>
      <c r="AF82" s="109" t="str">
        <f>'Table 1.3 complete'!M79</f>
        <v>-</v>
      </c>
      <c r="AG82" s="109" t="str">
        <f>'Table 1.3 complete'!N79</f>
        <v>-</v>
      </c>
      <c r="AH82" s="149">
        <f>SUM(T82:AG82)</f>
        <v>0.13</v>
      </c>
      <c r="AI82" s="106">
        <f>AH82-'Table 1.1 complete'!E79</f>
        <v>0.03</v>
      </c>
      <c r="AJ82" s="113">
        <f>AH82-'Table 1.2 complete'!K79</f>
        <v>0</v>
      </c>
      <c r="AK82" s="106">
        <f>'Table 1.2 complete'!K79-'Table 1.1 complete'!E79</f>
        <v>0.03</v>
      </c>
    </row>
    <row r="83" spans="1:37" x14ac:dyDescent="0.25">
      <c r="B83" s="374"/>
      <c r="C83" s="374"/>
      <c r="D83" s="374"/>
      <c r="E83" s="374"/>
      <c r="F83" s="374"/>
      <c r="G83" s="377"/>
      <c r="H83" s="616"/>
      <c r="I83" s="616"/>
      <c r="J83" s="616"/>
      <c r="K83" s="144"/>
      <c r="M83" s="96"/>
      <c r="O83" s="618">
        <f t="shared" si="13"/>
        <v>2.6898125111488734E-3</v>
      </c>
      <c r="P83" s="484" t="str">
        <f>'Table 1.2 complete'!A80</f>
        <v>Bolivia</v>
      </c>
      <c r="Q83" s="203">
        <f>'Table 1.2 complete'!B80</f>
        <v>68</v>
      </c>
      <c r="R83" s="172" t="s">
        <v>423</v>
      </c>
      <c r="S83" s="132">
        <v>17</v>
      </c>
      <c r="T83" s="109" t="str">
        <f>'Table 1.2 complete'!E80</f>
        <v>-</v>
      </c>
      <c r="U83" s="109">
        <f>'Table 1.2 complete'!F80</f>
        <v>2.3199999999999998</v>
      </c>
      <c r="V83" s="109" t="str">
        <f>'Table 1.2 complete'!G80</f>
        <v>-</v>
      </c>
      <c r="W83" s="109" t="str">
        <f>'Table 1.2 complete'!H80</f>
        <v>-</v>
      </c>
      <c r="X83" s="109" t="str">
        <f>'Table 1.3 complete'!E80</f>
        <v>-</v>
      </c>
      <c r="Y83" s="109" t="str">
        <f>'Table 1.3 complete'!F80</f>
        <v>-</v>
      </c>
      <c r="Z83" s="109" t="str">
        <f>'Table 1.3 complete'!G80</f>
        <v>-</v>
      </c>
      <c r="AA83" s="109" t="str">
        <f>'Table 1.3 complete'!H80</f>
        <v>-</v>
      </c>
      <c r="AB83" s="109">
        <f>'Table 1.3 complete'!I80</f>
        <v>0.82</v>
      </c>
      <c r="AC83" s="109">
        <f>'Table 1.3 complete'!J80</f>
        <v>2.42</v>
      </c>
      <c r="AD83" s="109">
        <f>'Table 1.3 complete'!K80</f>
        <v>0.17</v>
      </c>
      <c r="AE83" s="109" t="str">
        <f>'Table 1.3 complete'!L80</f>
        <v>-</v>
      </c>
      <c r="AF83" s="109" t="str">
        <f>'Table 1.3 complete'!M80</f>
        <v>-</v>
      </c>
      <c r="AG83" s="109" t="str">
        <f>'Table 1.3 complete'!N80</f>
        <v>-</v>
      </c>
      <c r="AH83" s="149">
        <f>SUM(T83:AG83)</f>
        <v>5.7299999999999995</v>
      </c>
      <c r="AI83" s="106">
        <f>AH83-'Table 1.1 complete'!E80</f>
        <v>2.9999999999999361E-2</v>
      </c>
      <c r="AJ83" s="113">
        <f>AH83-'Table 1.2 complete'!K80</f>
        <v>0</v>
      </c>
      <c r="AK83" s="106">
        <f>'Table 1.2 complete'!K80-'Table 1.1 complete'!E80</f>
        <v>3.0000000000000249E-2</v>
      </c>
    </row>
    <row r="84" spans="1:37" x14ac:dyDescent="0.25">
      <c r="B84" s="374"/>
      <c r="C84" s="374"/>
      <c r="D84" s="374"/>
      <c r="E84" s="374"/>
      <c r="F84" s="374"/>
      <c r="G84" s="937" t="s">
        <v>362</v>
      </c>
      <c r="H84" s="388">
        <f t="shared" ref="H84" si="14">L84*O84</f>
        <v>0</v>
      </c>
      <c r="I84" s="403">
        <v>4.0010000000000003</v>
      </c>
      <c r="J84" s="404">
        <v>0</v>
      </c>
      <c r="K84" s="404"/>
      <c r="L84" s="353">
        <f t="shared" ref="L84" si="15">0.8*J84/I84</f>
        <v>0</v>
      </c>
      <c r="N84" s="345">
        <v>0</v>
      </c>
      <c r="O84" s="618">
        <f t="shared" si="13"/>
        <v>5.553312741167743E-3</v>
      </c>
      <c r="P84" s="484" t="str">
        <f>'Table 1.2 complete'!A81</f>
        <v>Bosnia and H.</v>
      </c>
      <c r="Q84" s="203">
        <f>'Table 1.2 complete'!B81</f>
        <v>114</v>
      </c>
      <c r="R84" s="172" t="s">
        <v>423</v>
      </c>
      <c r="S84" s="132">
        <v>17</v>
      </c>
      <c r="T84" s="109" t="str">
        <f>'Table 1.2 complete'!E81</f>
        <v>-</v>
      </c>
      <c r="U84" s="109">
        <f>'Table 1.2 complete'!F81</f>
        <v>4</v>
      </c>
      <c r="V84" s="109" t="str">
        <f>'Table 1.2 complete'!G81</f>
        <v>-</v>
      </c>
      <c r="W84" s="109" t="str">
        <f>'Table 1.2 complete'!H81</f>
        <v>-</v>
      </c>
      <c r="X84" s="109">
        <f>'Table 1.3 complete'!E81</f>
        <v>4.83</v>
      </c>
      <c r="Y84" s="109">
        <f>'Table 1.3 complete'!F81</f>
        <v>2.8</v>
      </c>
      <c r="Z84" s="109" t="str">
        <f>'Table 1.3 complete'!G81</f>
        <v>-</v>
      </c>
      <c r="AA84" s="109">
        <f>'Table 1.3 complete'!H81</f>
        <v>0.04</v>
      </c>
      <c r="AB84" s="109">
        <f>'Table 1.3 complete'!I81</f>
        <v>0.16</v>
      </c>
      <c r="AC84" s="109" t="str">
        <f>'Table 1.3 complete'!J81</f>
        <v>-</v>
      </c>
      <c r="AD84" s="109" t="str">
        <f>'Table 1.3 complete'!K81</f>
        <v>-</v>
      </c>
      <c r="AE84" s="109" t="str">
        <f>'Table 1.3 complete'!L81</f>
        <v>-</v>
      </c>
      <c r="AF84" s="109" t="str">
        <f>'Table 1.3 complete'!M81</f>
        <v>-</v>
      </c>
      <c r="AG84" s="109" t="str">
        <f>'Table 1.3 complete'!N81</f>
        <v>-</v>
      </c>
      <c r="AH84" s="149">
        <f>SUM(T84:AG84)</f>
        <v>11.829999999999998</v>
      </c>
      <c r="AI84" s="106">
        <f>AH84-'Table 1.1 complete'!E81</f>
        <v>2.9999999999997584E-2</v>
      </c>
      <c r="AJ84" s="113">
        <f>AH84-'Table 1.2 complete'!K81</f>
        <v>9.9999999999980105E-3</v>
      </c>
      <c r="AK84" s="106">
        <f>'Table 1.2 complete'!K81-'Table 1.1 complete'!E81</f>
        <v>1.9999999999999574E-2</v>
      </c>
    </row>
    <row r="85" spans="1:37" x14ac:dyDescent="0.25">
      <c r="B85" s="374"/>
      <c r="C85" s="374"/>
      <c r="D85" s="374"/>
      <c r="E85" s="374"/>
      <c r="F85" s="374"/>
      <c r="G85" s="377"/>
      <c r="H85" s="96"/>
      <c r="I85" s="96"/>
      <c r="J85" s="96"/>
      <c r="K85" s="96"/>
      <c r="M85" s="96"/>
      <c r="O85" s="618">
        <f t="shared" si="13"/>
        <v>5.2575741928215334E-4</v>
      </c>
      <c r="P85" s="484" t="str">
        <f>'Table 1.2 complete'!A82</f>
        <v>Botswana</v>
      </c>
      <c r="Q85" s="203">
        <f>'Table 1.2 complete'!B82</f>
        <v>41</v>
      </c>
      <c r="R85" s="172" t="s">
        <v>423</v>
      </c>
      <c r="S85" s="132">
        <v>17</v>
      </c>
      <c r="T85" s="109" t="str">
        <f>'Table 1.2 complete'!E82</f>
        <v>-</v>
      </c>
      <c r="U85" s="109" t="str">
        <f>'Table 1.2 complete'!F82</f>
        <v>-</v>
      </c>
      <c r="V85" s="109" t="str">
        <f>'Table 1.2 complete'!G82</f>
        <v>-</v>
      </c>
      <c r="W85" s="109" t="str">
        <f>'Table 1.2 complete'!H82</f>
        <v>-</v>
      </c>
      <c r="X85" s="109">
        <f>'Table 1.3 complete'!E82</f>
        <v>1.1100000000000001</v>
      </c>
      <c r="Y85" s="109" t="str">
        <f>'Table 1.3 complete'!F82</f>
        <v>-</v>
      </c>
      <c r="Z85" s="109" t="str">
        <f>'Table 1.3 complete'!G82</f>
        <v>-</v>
      </c>
      <c r="AA85" s="109" t="str">
        <f>'Table 1.3 complete'!H82</f>
        <v>-</v>
      </c>
      <c r="AB85" s="109">
        <f>'Table 1.3 complete'!I82</f>
        <v>0.01</v>
      </c>
      <c r="AC85" s="109" t="str">
        <f>'Table 1.3 complete'!J82</f>
        <v>-</v>
      </c>
      <c r="AD85" s="109" t="str">
        <f>'Table 1.3 complete'!K82</f>
        <v>-</v>
      </c>
      <c r="AE85" s="109" t="str">
        <f>'Table 1.3 complete'!L82</f>
        <v>-</v>
      </c>
      <c r="AF85" s="109" t="str">
        <f>'Table 1.3 complete'!M82</f>
        <v>-</v>
      </c>
      <c r="AG85" s="109" t="str">
        <f>'Table 1.3 complete'!N82</f>
        <v>-</v>
      </c>
      <c r="AH85" s="149">
        <f>SUM(T85:AG85)</f>
        <v>1.1200000000000001</v>
      </c>
      <c r="AI85" s="106">
        <f>AH85-'Table 1.1 complete'!E82</f>
        <v>2.0000000000000018E-2</v>
      </c>
      <c r="AJ85" s="113">
        <f>AH85-'Table 1.2 complete'!K82</f>
        <v>0</v>
      </c>
      <c r="AK85" s="106">
        <f>'Table 1.2 complete'!K82-'Table 1.1 complete'!E82</f>
        <v>2.0000000000000018E-2</v>
      </c>
    </row>
    <row r="86" spans="1:37" x14ac:dyDescent="0.25">
      <c r="B86" s="374"/>
      <c r="C86" s="374"/>
      <c r="D86" s="374"/>
      <c r="E86" s="374"/>
      <c r="F86" s="374"/>
      <c r="G86" s="377"/>
      <c r="H86" s="96"/>
      <c r="I86" s="96"/>
      <c r="J86" s="96"/>
      <c r="K86" s="96"/>
      <c r="M86" s="96"/>
      <c r="O86" s="618">
        <f t="shared" si="13"/>
        <v>1.5913550458629461E-3</v>
      </c>
      <c r="P86" s="484" t="str">
        <f>'Table 1.2 complete'!A83</f>
        <v>Brunei Darussalam</v>
      </c>
      <c r="Q86" s="203">
        <f>'Table 1.2 complete'!B83</f>
        <v>92</v>
      </c>
      <c r="R86" s="172" t="s">
        <v>423</v>
      </c>
      <c r="S86" s="132">
        <v>17</v>
      </c>
      <c r="T86" s="109" t="str">
        <f>'Table 1.2 complete'!E83</f>
        <v>-</v>
      </c>
      <c r="U86" s="109" t="str">
        <f>'Table 1.2 complete'!F83</f>
        <v>-</v>
      </c>
      <c r="V86" s="109" t="str">
        <f>'Table 1.2 complete'!G83</f>
        <v>-</v>
      </c>
      <c r="W86" s="109" t="str">
        <f>'Table 1.2 complete'!H83</f>
        <v>-</v>
      </c>
      <c r="X86" s="109" t="str">
        <f>'Table 1.3 complete'!E83</f>
        <v>-</v>
      </c>
      <c r="Y86" s="109" t="str">
        <f>'Table 1.3 complete'!F83</f>
        <v>-</v>
      </c>
      <c r="Z86" s="109" t="str">
        <f>'Table 1.3 complete'!G83</f>
        <v>-</v>
      </c>
      <c r="AA86" s="109" t="str">
        <f>'Table 1.3 complete'!H83</f>
        <v>-</v>
      </c>
      <c r="AB86" s="109">
        <f>'Table 1.3 complete'!I83</f>
        <v>0.03</v>
      </c>
      <c r="AC86" s="109">
        <f>'Table 1.3 complete'!J83</f>
        <v>3.36</v>
      </c>
      <c r="AD86" s="109" t="str">
        <f>'Table 1.3 complete'!K83</f>
        <v>-</v>
      </c>
      <c r="AE86" s="109" t="str">
        <f>'Table 1.3 complete'!L83</f>
        <v>-</v>
      </c>
      <c r="AF86" s="109" t="str">
        <f>'Table 1.3 complete'!M83</f>
        <v>-</v>
      </c>
      <c r="AG86" s="109" t="str">
        <f>'Table 1.3 complete'!N83</f>
        <v>-</v>
      </c>
      <c r="AH86" s="149">
        <f>SUM(T86:AG86)</f>
        <v>3.3899999999999997</v>
      </c>
      <c r="AI86" s="106">
        <f>AH86-'Table 1.1 complete'!E83</f>
        <v>-1.0000000000000231E-2</v>
      </c>
      <c r="AJ86" s="113">
        <f>AH86-'Table 1.2 complete'!K83</f>
        <v>-1.0000000000000231E-2</v>
      </c>
      <c r="AK86" s="106">
        <f>'Table 1.2 complete'!K83-'Table 1.1 complete'!E83</f>
        <v>0</v>
      </c>
    </row>
    <row r="87" spans="1:37" x14ac:dyDescent="0.25">
      <c r="B87" s="374"/>
      <c r="C87" s="374"/>
      <c r="D87" s="374"/>
      <c r="E87" s="374"/>
      <c r="F87" s="374"/>
      <c r="G87" s="377"/>
      <c r="H87" s="96"/>
      <c r="I87" s="96"/>
      <c r="J87" s="96"/>
      <c r="K87" s="96"/>
      <c r="M87" s="96"/>
      <c r="O87" s="618">
        <f t="shared" si="13"/>
        <v>6.337254607418813E-4</v>
      </c>
      <c r="P87" s="484" t="str">
        <f>'Table 1.2 complete'!A84</f>
        <v>Cambodia</v>
      </c>
      <c r="Q87" s="203">
        <f>'Table 1.2 complete'!B84</f>
        <v>93</v>
      </c>
      <c r="R87" s="172" t="s">
        <v>423</v>
      </c>
      <c r="S87" s="132">
        <v>17</v>
      </c>
      <c r="T87" s="109" t="str">
        <f>'Table 1.2 complete'!E84</f>
        <v>-</v>
      </c>
      <c r="U87" s="109">
        <f>'Table 1.2 complete'!F84</f>
        <v>0.05</v>
      </c>
      <c r="V87" s="109" t="str">
        <f>'Table 1.2 complete'!G84</f>
        <v>-</v>
      </c>
      <c r="W87" s="109" t="str">
        <f>'Table 1.2 complete'!H84</f>
        <v>-</v>
      </c>
      <c r="X87" s="109" t="str">
        <f>'Table 1.3 complete'!E84</f>
        <v>-</v>
      </c>
      <c r="Y87" s="109" t="str">
        <f>'Table 1.3 complete'!F84</f>
        <v>-</v>
      </c>
      <c r="Z87" s="109" t="str">
        <f>'Table 1.3 complete'!G84</f>
        <v>-</v>
      </c>
      <c r="AA87" s="109" t="str">
        <f>'Table 1.3 complete'!H84</f>
        <v>-</v>
      </c>
      <c r="AB87" s="109">
        <f>'Table 1.3 complete'!I84</f>
        <v>1.29</v>
      </c>
      <c r="AC87" s="109" t="str">
        <f>'Table 1.3 complete'!J84</f>
        <v>-</v>
      </c>
      <c r="AD87" s="109">
        <f>'Table 1.3 complete'!K84</f>
        <v>0.01</v>
      </c>
      <c r="AE87" s="109" t="str">
        <f>'Table 1.3 complete'!L84</f>
        <v>-</v>
      </c>
      <c r="AF87" s="109" t="str">
        <f>'Table 1.3 complete'!M84</f>
        <v>-</v>
      </c>
      <c r="AG87" s="109" t="str">
        <f>'Table 1.3 complete'!N84</f>
        <v>-</v>
      </c>
      <c r="AH87" s="149">
        <f>SUM(T87:AG87)</f>
        <v>1.35</v>
      </c>
      <c r="AI87" s="106">
        <f>AH87-'Table 1.1 complete'!E84</f>
        <v>5.0000000000000044E-2</v>
      </c>
      <c r="AJ87" s="113">
        <f>AH87-'Table 1.2 complete'!K84</f>
        <v>0</v>
      </c>
      <c r="AK87" s="106">
        <f>'Table 1.2 complete'!K84-'Table 1.1 complete'!E84</f>
        <v>5.0000000000000044E-2</v>
      </c>
    </row>
    <row r="88" spans="1:37" x14ac:dyDescent="0.25">
      <c r="B88" s="374"/>
      <c r="C88" s="374"/>
      <c r="D88" s="374"/>
      <c r="E88" s="374"/>
      <c r="F88" s="374"/>
      <c r="G88" s="377"/>
      <c r="H88" s="96"/>
      <c r="I88" s="96"/>
      <c r="J88" s="96"/>
      <c r="K88" s="96"/>
      <c r="M88" s="96"/>
      <c r="O88" s="618">
        <f t="shared" si="13"/>
        <v>2.70389529916536E-3</v>
      </c>
      <c r="P88" s="484" t="str">
        <f>'Table 1.2 complete'!A85</f>
        <v>Cameroon</v>
      </c>
      <c r="Q88" s="203">
        <f>'Table 1.2 complete'!B85</f>
        <v>42</v>
      </c>
      <c r="R88" s="172" t="s">
        <v>423</v>
      </c>
      <c r="S88" s="132">
        <v>17</v>
      </c>
      <c r="T88" s="109" t="str">
        <f>'Table 1.2 complete'!E85</f>
        <v>-</v>
      </c>
      <c r="U88" s="109">
        <f>'Table 1.2 complete'!F85</f>
        <v>3.85</v>
      </c>
      <c r="V88" s="109" t="str">
        <f>'Table 1.2 complete'!G85</f>
        <v>-</v>
      </c>
      <c r="W88" s="109" t="str">
        <f>'Table 1.2 complete'!H85</f>
        <v>-</v>
      </c>
      <c r="X88" s="109" t="str">
        <f>'Table 1.3 complete'!E85</f>
        <v>-</v>
      </c>
      <c r="Y88" s="109" t="str">
        <f>'Table 1.3 complete'!F85</f>
        <v>-</v>
      </c>
      <c r="Z88" s="109" t="str">
        <f>'Table 1.3 complete'!G85</f>
        <v>-</v>
      </c>
      <c r="AA88" s="109" t="str">
        <f>'Table 1.3 complete'!H85</f>
        <v>-</v>
      </c>
      <c r="AB88" s="109">
        <f>'Table 1.3 complete'!I85</f>
        <v>1.47</v>
      </c>
      <c r="AC88" s="109">
        <f>'Table 1.3 complete'!J85</f>
        <v>0.44</v>
      </c>
      <c r="AD88" s="109" t="str">
        <f>'Table 1.3 complete'!K85</f>
        <v>-</v>
      </c>
      <c r="AE88" s="109" t="str">
        <f>'Table 1.3 complete'!L85</f>
        <v>-</v>
      </c>
      <c r="AF88" s="109" t="str">
        <f>'Table 1.3 complete'!M85</f>
        <v>-</v>
      </c>
      <c r="AG88" s="109" t="str">
        <f>'Table 1.3 complete'!N85</f>
        <v>-</v>
      </c>
      <c r="AH88" s="149">
        <f>SUM(T88:AG88)</f>
        <v>5.7600000000000007</v>
      </c>
      <c r="AI88" s="106">
        <f>AH88-'Table 1.1 complete'!E85</f>
        <v>-3.9999999999999147E-2</v>
      </c>
      <c r="AJ88" s="113">
        <f>AH88-'Table 1.2 complete'!K85</f>
        <v>1.0000000000000675E-2</v>
      </c>
      <c r="AK88" s="106">
        <f>'Table 1.2 complete'!K85-'Table 1.1 complete'!E85</f>
        <v>-4.9999999999999822E-2</v>
      </c>
    </row>
    <row r="89" spans="1:37" x14ac:dyDescent="0.25">
      <c r="B89" s="374"/>
      <c r="C89" s="374"/>
      <c r="D89" s="374"/>
      <c r="E89" s="374"/>
      <c r="F89" s="374"/>
      <c r="G89" s="377"/>
      <c r="H89" s="96"/>
      <c r="I89" s="96"/>
      <c r="J89" s="96"/>
      <c r="K89" s="96"/>
      <c r="M89" s="96"/>
      <c r="O89" s="618">
        <f t="shared" si="13"/>
        <v>2.7466130894820348E-2</v>
      </c>
      <c r="P89" s="484" t="str">
        <f>'Table 1.2 complete'!A86</f>
        <v>Chile</v>
      </c>
      <c r="Q89" s="203">
        <f>'Table 1.2 complete'!B86</f>
        <v>70</v>
      </c>
      <c r="R89" s="172" t="s">
        <v>423</v>
      </c>
      <c r="S89" s="132">
        <v>17</v>
      </c>
      <c r="T89" s="109" t="str">
        <f>'Table 1.2 complete'!E86</f>
        <v>-</v>
      </c>
      <c r="U89" s="109">
        <f>'Table 1.2 complete'!F86</f>
        <v>23.13</v>
      </c>
      <c r="V89" s="109" t="str">
        <f>'Table 1.2 complete'!G86</f>
        <v>-</v>
      </c>
      <c r="W89" s="109">
        <f>'Table 1.2 complete'!H86</f>
        <v>0.01</v>
      </c>
      <c r="X89" s="109">
        <f>'Table 1.3 complete'!E86</f>
        <v>13.26</v>
      </c>
      <c r="Y89" s="109" t="str">
        <f>'Table 1.3 complete'!F86</f>
        <v>-</v>
      </c>
      <c r="Z89" s="109" t="str">
        <f>'Table 1.3 complete'!G86</f>
        <v>-</v>
      </c>
      <c r="AA89" s="109" t="str">
        <f>'Table 1.3 complete'!H86</f>
        <v>-</v>
      </c>
      <c r="AB89" s="109">
        <f>'Table 1.3 complete'!I86</f>
        <v>14.4</v>
      </c>
      <c r="AC89" s="109">
        <f>'Table 1.3 complete'!J86</f>
        <v>4.63</v>
      </c>
      <c r="AD89" s="109">
        <f>'Table 1.3 complete'!K86</f>
        <v>3.08</v>
      </c>
      <c r="AE89" s="109" t="str">
        <f>'Table 1.3 complete'!L86</f>
        <v>-</v>
      </c>
      <c r="AF89" s="109" t="str">
        <f>'Table 1.3 complete'!M86</f>
        <v>-</v>
      </c>
      <c r="AG89" s="109" t="str">
        <f>'Table 1.3 complete'!N86</f>
        <v>-</v>
      </c>
      <c r="AH89" s="149">
        <f>SUM(T89:AG89)</f>
        <v>58.51</v>
      </c>
      <c r="AI89" s="106">
        <f>AH89-'Table 1.1 complete'!E86</f>
        <v>9.9999999999980105E-3</v>
      </c>
      <c r="AJ89" s="113">
        <f>AH89-'Table 1.2 complete'!K86</f>
        <v>0</v>
      </c>
      <c r="AK89" s="106">
        <f>'Table 1.2 complete'!K86-'Table 1.1 complete'!E86</f>
        <v>9.9999999999980105E-3</v>
      </c>
    </row>
    <row r="90" spans="1:37" x14ac:dyDescent="0.25">
      <c r="B90" s="374"/>
      <c r="C90" s="374"/>
      <c r="D90" s="374"/>
      <c r="E90" s="374"/>
      <c r="F90" s="374"/>
      <c r="G90" s="377"/>
      <c r="H90" s="96"/>
      <c r="I90" s="96"/>
      <c r="J90" s="96"/>
      <c r="K90" s="96"/>
      <c r="M90" s="96"/>
      <c r="O90" s="618">
        <f t="shared" si="13"/>
        <v>0.11413160834827672</v>
      </c>
      <c r="P90" s="484" t="str">
        <f>'Table 1.2 complete'!A87</f>
        <v>Chinese Taipei</v>
      </c>
      <c r="Q90" s="203">
        <f>'Table 1.2 complete'!B87</f>
        <v>105</v>
      </c>
      <c r="R90" s="172" t="s">
        <v>423</v>
      </c>
      <c r="S90" s="132">
        <v>17</v>
      </c>
      <c r="T90" s="109">
        <f>'Table 1.2 complete'!E87</f>
        <v>40.54</v>
      </c>
      <c r="U90" s="109">
        <f>'Table 1.2 complete'!F87</f>
        <v>8.35</v>
      </c>
      <c r="V90" s="109" t="str">
        <f>'Table 1.2 complete'!G87</f>
        <v>-</v>
      </c>
      <c r="W90" s="109">
        <f>'Table 1.2 complete'!H87</f>
        <v>0.45</v>
      </c>
      <c r="X90" s="109">
        <f>'Table 1.3 complete'!E87</f>
        <v>118.63</v>
      </c>
      <c r="Y90" s="109">
        <f>'Table 1.3 complete'!F87</f>
        <v>10.88</v>
      </c>
      <c r="Z90" s="109" t="str">
        <f>'Table 1.3 complete'!G87</f>
        <v>-</v>
      </c>
      <c r="AA90" s="109">
        <f>'Table 1.3 complete'!H87</f>
        <v>2.38</v>
      </c>
      <c r="AB90" s="109">
        <f>'Table 1.3 complete'!I87</f>
        <v>15.57</v>
      </c>
      <c r="AC90" s="109">
        <f>'Table 1.3 complete'!J87</f>
        <v>42.64</v>
      </c>
      <c r="AD90" s="109">
        <f>'Table 1.3 complete'!K87</f>
        <v>0.67</v>
      </c>
      <c r="AE90" s="109" t="str">
        <f>'Table 1.3 complete'!L87</f>
        <v>-</v>
      </c>
      <c r="AF90" s="109">
        <f>'Table 1.3 complete'!M87</f>
        <v>3.02</v>
      </c>
      <c r="AG90" s="109" t="str">
        <f>'Table 1.3 complete'!N87</f>
        <v>-</v>
      </c>
      <c r="AH90" s="149">
        <f>SUM(T90:AG90)</f>
        <v>243.13</v>
      </c>
      <c r="AI90" s="106">
        <f>AH90-'Table 1.1 complete'!E87</f>
        <v>3.0000000000001137E-2</v>
      </c>
      <c r="AJ90" s="113">
        <f>AH90-'Table 1.2 complete'!K87</f>
        <v>9.9999999999909051E-3</v>
      </c>
      <c r="AK90" s="106">
        <f>'Table 1.2 complete'!K87-'Table 1.1 complete'!E87</f>
        <v>2.0000000000010232E-2</v>
      </c>
    </row>
    <row r="91" spans="1:37" x14ac:dyDescent="0.25">
      <c r="B91" s="374"/>
      <c r="C91" s="374"/>
      <c r="D91" s="374"/>
      <c r="E91" s="374"/>
      <c r="F91" s="374"/>
      <c r="G91" s="377"/>
      <c r="H91" s="96"/>
      <c r="I91" s="96"/>
      <c r="J91" s="96"/>
      <c r="K91" s="96"/>
      <c r="M91" s="96"/>
      <c r="O91" s="618">
        <f t="shared" si="13"/>
        <v>2.5973355365072805E-2</v>
      </c>
      <c r="P91" s="484" t="str">
        <f>'Table 1.2 complete'!A88</f>
        <v>Colombia</v>
      </c>
      <c r="Q91" s="203">
        <f>'Table 1.2 complete'!B88</f>
        <v>71</v>
      </c>
      <c r="R91" s="172" t="s">
        <v>423</v>
      </c>
      <c r="S91" s="132">
        <v>17</v>
      </c>
      <c r="T91" s="109" t="str">
        <f>'Table 1.2 complete'!E88</f>
        <v>-</v>
      </c>
      <c r="U91" s="109">
        <f>'Table 1.2 complete'!F88</f>
        <v>44.45</v>
      </c>
      <c r="V91" s="109" t="str">
        <f>'Table 1.2 complete'!G88</f>
        <v>-</v>
      </c>
      <c r="W91" s="109">
        <f>'Table 1.2 complete'!H88</f>
        <v>0.05</v>
      </c>
      <c r="X91" s="109">
        <f>'Table 1.3 complete'!E88</f>
        <v>3.39</v>
      </c>
      <c r="Y91" s="109" t="str">
        <f>'Table 1.3 complete'!F88</f>
        <v>-</v>
      </c>
      <c r="Z91" s="109" t="str">
        <f>'Table 1.3 complete'!G88</f>
        <v>-</v>
      </c>
      <c r="AA91" s="109">
        <f>'Table 1.3 complete'!H88</f>
        <v>0.11</v>
      </c>
      <c r="AB91" s="109">
        <f>'Table 1.3 complete'!I88</f>
        <v>0.15</v>
      </c>
      <c r="AC91" s="109">
        <f>'Table 1.3 complete'!J88</f>
        <v>6.59</v>
      </c>
      <c r="AD91" s="109">
        <f>'Table 1.3 complete'!K88</f>
        <v>0.59</v>
      </c>
      <c r="AE91" s="109" t="str">
        <f>'Table 1.3 complete'!L88</f>
        <v>-</v>
      </c>
      <c r="AF91" s="109" t="str">
        <f>'Table 1.3 complete'!M88</f>
        <v>-</v>
      </c>
      <c r="AG91" s="109" t="str">
        <f>'Table 1.3 complete'!N88</f>
        <v>-</v>
      </c>
      <c r="AH91" s="149">
        <f>SUM(T91:AG91)</f>
        <v>55.33</v>
      </c>
      <c r="AI91" s="106">
        <f>AH91-'Table 1.1 complete'!E88</f>
        <v>3.0000000000001137E-2</v>
      </c>
      <c r="AJ91" s="113">
        <f>AH91-'Table 1.2 complete'!K88</f>
        <v>1.9999999999996021E-2</v>
      </c>
      <c r="AK91" s="106">
        <f>'Table 1.2 complete'!K88-'Table 1.1 complete'!E88</f>
        <v>1.0000000000005116E-2</v>
      </c>
    </row>
    <row r="92" spans="1:37" x14ac:dyDescent="0.25">
      <c r="B92" s="374"/>
      <c r="C92" s="374"/>
      <c r="D92" s="374"/>
      <c r="E92" s="374"/>
      <c r="F92" s="374"/>
      <c r="G92" s="377"/>
      <c r="H92" s="96"/>
      <c r="I92" s="96"/>
      <c r="J92" s="96"/>
      <c r="K92" s="96"/>
      <c r="M92" s="96"/>
      <c r="O92" s="618">
        <f t="shared" si="13"/>
        <v>1.9246476955864542E-4</v>
      </c>
      <c r="P92" s="484" t="str">
        <f>'Table 1.2 complete'!A89</f>
        <v>Congo</v>
      </c>
      <c r="Q92" s="203">
        <f>'Table 1.2 complete'!B89</f>
        <v>43</v>
      </c>
      <c r="R92" s="172" t="s">
        <v>423</v>
      </c>
      <c r="S92" s="132">
        <v>17</v>
      </c>
      <c r="T92" s="109" t="str">
        <f>'Table 1.2 complete'!E89</f>
        <v>-</v>
      </c>
      <c r="U92" s="109">
        <f>'Table 1.2 complete'!F89</f>
        <v>0.34</v>
      </c>
      <c r="V92" s="109" t="str">
        <f>'Table 1.2 complete'!G89</f>
        <v>-</v>
      </c>
      <c r="W92" s="109" t="str">
        <f>'Table 1.2 complete'!H89</f>
        <v>-</v>
      </c>
      <c r="X92" s="109" t="str">
        <f>'Table 1.3 complete'!E89</f>
        <v>-</v>
      </c>
      <c r="Y92" s="109" t="str">
        <f>'Table 1.3 complete'!F89</f>
        <v>-</v>
      </c>
      <c r="Z92" s="109" t="str">
        <f>'Table 1.3 complete'!G89</f>
        <v>-</v>
      </c>
      <c r="AA92" s="109" t="str">
        <f>'Table 1.3 complete'!H89</f>
        <v>-</v>
      </c>
      <c r="AB92" s="109" t="str">
        <f>'Table 1.3 complete'!I89</f>
        <v>-</v>
      </c>
      <c r="AC92" s="109">
        <f>'Table 1.3 complete'!J89</f>
        <v>7.0000000000000007E-2</v>
      </c>
      <c r="AD92" s="109" t="str">
        <f>'Table 1.3 complete'!K89</f>
        <v>-</v>
      </c>
      <c r="AE92" s="109" t="str">
        <f>'Table 1.3 complete'!L89</f>
        <v>-</v>
      </c>
      <c r="AF92" s="109" t="str">
        <f>'Table 1.3 complete'!M89</f>
        <v>-</v>
      </c>
      <c r="AG92" s="109" t="str">
        <f>'Table 1.3 complete'!N89</f>
        <v>-</v>
      </c>
      <c r="AH92" s="149">
        <f>SUM(T92:AG92)</f>
        <v>0.41000000000000003</v>
      </c>
      <c r="AI92" s="106">
        <f>AH92-'Table 1.1 complete'!E89</f>
        <v>1.0000000000000009E-2</v>
      </c>
      <c r="AJ92" s="113">
        <f>AH92-'Table 1.2 complete'!K89</f>
        <v>0</v>
      </c>
      <c r="AK92" s="106">
        <f>'Table 1.2 complete'!K89-'Table 1.1 complete'!E89</f>
        <v>9.9999999999999534E-3</v>
      </c>
    </row>
    <row r="93" spans="1:37" x14ac:dyDescent="0.25">
      <c r="B93" s="374"/>
      <c r="C93" s="374"/>
      <c r="D93" s="374"/>
      <c r="E93" s="374"/>
      <c r="F93" s="374"/>
      <c r="G93" s="377"/>
      <c r="H93" s="96"/>
      <c r="I93" s="96"/>
      <c r="J93" s="96"/>
      <c r="K93" s="96"/>
      <c r="M93" s="96"/>
      <c r="O93" s="618">
        <f t="shared" si="13"/>
        <v>4.2483077183066856E-3</v>
      </c>
      <c r="P93" s="484" t="str">
        <f>'Table 1.2 complete'!A90</f>
        <v>Costa Rica</v>
      </c>
      <c r="Q93" s="203">
        <f>'Table 1.2 complete'!B90</f>
        <v>72</v>
      </c>
      <c r="R93" s="172" t="s">
        <v>423</v>
      </c>
      <c r="S93" s="132">
        <v>17</v>
      </c>
      <c r="T93" s="109" t="str">
        <f>'Table 1.2 complete'!E90</f>
        <v>-</v>
      </c>
      <c r="U93" s="109">
        <f>'Table 1.2 complete'!F90</f>
        <v>6.77</v>
      </c>
      <c r="V93" s="109">
        <f>'Table 1.2 complete'!G90</f>
        <v>1.24</v>
      </c>
      <c r="W93" s="109">
        <f>'Table 1.2 complete'!H90</f>
        <v>0.24</v>
      </c>
      <c r="X93" s="109" t="str">
        <f>'Table 1.3 complete'!E90</f>
        <v>-</v>
      </c>
      <c r="Y93" s="109" t="str">
        <f>'Table 1.3 complete'!F90</f>
        <v>-</v>
      </c>
      <c r="Z93" s="109" t="str">
        <f>'Table 1.3 complete'!G90</f>
        <v>-</v>
      </c>
      <c r="AA93" s="109" t="str">
        <f>'Table 1.3 complete'!H90</f>
        <v>-</v>
      </c>
      <c r="AB93" s="109">
        <f>'Table 1.3 complete'!I90</f>
        <v>0.72</v>
      </c>
      <c r="AC93" s="109" t="str">
        <f>'Table 1.3 complete'!J90</f>
        <v>-</v>
      </c>
      <c r="AD93" s="109">
        <f>'Table 1.3 complete'!K90</f>
        <v>7.0000000000000007E-2</v>
      </c>
      <c r="AE93" s="109" t="str">
        <f>'Table 1.3 complete'!L90</f>
        <v>-</v>
      </c>
      <c r="AF93" s="109" t="str">
        <f>'Table 1.3 complete'!M90</f>
        <v>-</v>
      </c>
      <c r="AG93" s="109">
        <f>'Table 1.3 complete'!N90</f>
        <v>0.01</v>
      </c>
      <c r="AH93" s="149">
        <f>SUM(T93:AG93)</f>
        <v>9.0500000000000007</v>
      </c>
      <c r="AI93" s="106">
        <f>AH93-'Table 1.1 complete'!E90</f>
        <v>-4.9999999999998934E-2</v>
      </c>
      <c r="AJ93" s="113">
        <f>AH93-'Table 1.2 complete'!K90</f>
        <v>0</v>
      </c>
      <c r="AK93" s="106">
        <f>'Table 1.2 complete'!K90-'Table 1.1 complete'!E90</f>
        <v>-4.9999999999998934E-2</v>
      </c>
    </row>
    <row r="94" spans="1:37" x14ac:dyDescent="0.25">
      <c r="B94" s="374"/>
      <c r="C94" s="374"/>
      <c r="D94" s="374"/>
      <c r="E94" s="374"/>
      <c r="F94" s="374"/>
      <c r="G94" s="377"/>
      <c r="H94" s="96"/>
      <c r="I94" s="96"/>
      <c r="J94" s="96"/>
      <c r="K94" s="96"/>
      <c r="M94" s="96"/>
      <c r="O94" s="618">
        <f t="shared" si="13"/>
        <v>2.6475641470994149E-3</v>
      </c>
      <c r="P94" s="484" t="str">
        <f>'Table 1.2 complete'!A91</f>
        <v>Côte d'Ivoire</v>
      </c>
      <c r="Q94" s="203">
        <f>'Table 1.2 complete'!B91</f>
        <v>45</v>
      </c>
      <c r="R94" s="172" t="s">
        <v>423</v>
      </c>
      <c r="S94" s="132">
        <v>17</v>
      </c>
      <c r="T94" s="109" t="str">
        <f>'Table 1.2 complete'!E91</f>
        <v>-</v>
      </c>
      <c r="U94" s="109">
        <f>'Table 1.2 complete'!F91</f>
        <v>1.8</v>
      </c>
      <c r="V94" s="109" t="str">
        <f>'Table 1.2 complete'!G91</f>
        <v>-</v>
      </c>
      <c r="W94" s="109" t="str">
        <f>'Table 1.2 complete'!H91</f>
        <v>-</v>
      </c>
      <c r="X94" s="109" t="str">
        <f>'Table 1.3 complete'!E91</f>
        <v>-</v>
      </c>
      <c r="Y94" s="109" t="str">
        <f>'Table 1.3 complete'!F91</f>
        <v>-</v>
      </c>
      <c r="Z94" s="109" t="str">
        <f>'Table 1.3 complete'!G91</f>
        <v>-</v>
      </c>
      <c r="AA94" s="109" t="str">
        <f>'Table 1.3 complete'!H91</f>
        <v>-</v>
      </c>
      <c r="AB94" s="109">
        <f>'Table 1.3 complete'!I91</f>
        <v>0.02</v>
      </c>
      <c r="AC94" s="109">
        <f>'Table 1.3 complete'!J91</f>
        <v>3.7</v>
      </c>
      <c r="AD94" s="109">
        <f>'Table 1.3 complete'!K91</f>
        <v>0.12</v>
      </c>
      <c r="AE94" s="109" t="str">
        <f>'Table 1.3 complete'!L91</f>
        <v>-</v>
      </c>
      <c r="AF94" s="109" t="str">
        <f>'Table 1.3 complete'!M91</f>
        <v>-</v>
      </c>
      <c r="AG94" s="109" t="str">
        <f>'Table 1.3 complete'!N91</f>
        <v>-</v>
      </c>
      <c r="AH94" s="149">
        <f>SUM(T94:AG94)</f>
        <v>5.6400000000000006</v>
      </c>
      <c r="AI94" s="106">
        <f>AH94-'Table 1.1 complete'!E91</f>
        <v>4.0000000000000924E-2</v>
      </c>
      <c r="AJ94" s="113">
        <f>AH94-'Table 1.2 complete'!K91</f>
        <v>1.0000000000000675E-2</v>
      </c>
      <c r="AK94" s="106">
        <f>'Table 1.2 complete'!K91-'Table 1.1 complete'!E91</f>
        <v>3.0000000000000249E-2</v>
      </c>
    </row>
    <row r="95" spans="1:37" x14ac:dyDescent="0.25">
      <c r="B95" s="374"/>
      <c r="C95" s="374"/>
      <c r="D95" s="374"/>
      <c r="E95" s="374"/>
      <c r="F95" s="374"/>
      <c r="G95" s="377"/>
      <c r="H95" s="96"/>
      <c r="I95" s="96"/>
      <c r="J95" s="96"/>
      <c r="K95" s="96"/>
      <c r="M95" s="96"/>
      <c r="O95" s="618">
        <f t="shared" si="13"/>
        <v>8.2712908283495909E-3</v>
      </c>
      <c r="P95" s="484" t="str">
        <f>'Table 1.2 complete'!A92</f>
        <v>Cuba</v>
      </c>
      <c r="Q95" s="203">
        <f>'Table 1.2 complete'!B92</f>
        <v>73</v>
      </c>
      <c r="R95" s="172" t="s">
        <v>423</v>
      </c>
      <c r="S95" s="132">
        <v>17</v>
      </c>
      <c r="T95" s="109" t="str">
        <f>'Table 1.2 complete'!E92</f>
        <v>-</v>
      </c>
      <c r="U95" s="109">
        <f>'Table 1.2 complete'!F92</f>
        <v>0.12</v>
      </c>
      <c r="V95" s="109" t="str">
        <f>'Table 1.2 complete'!G92</f>
        <v>-</v>
      </c>
      <c r="W95" s="109" t="str">
        <f>'Table 1.2 complete'!H92</f>
        <v>-</v>
      </c>
      <c r="X95" s="109" t="str">
        <f>'Table 1.3 complete'!E92</f>
        <v>-</v>
      </c>
      <c r="Y95" s="109" t="str">
        <f>'Table 1.3 complete'!F92</f>
        <v>-</v>
      </c>
      <c r="Z95" s="109" t="str">
        <f>'Table 1.3 complete'!G92</f>
        <v>-</v>
      </c>
      <c r="AA95" s="109" t="str">
        <f>'Table 1.3 complete'!H92</f>
        <v>-</v>
      </c>
      <c r="AB95" s="109">
        <f>'Table 1.3 complete'!I92</f>
        <v>17.170000000000002</v>
      </c>
      <c r="AC95" s="109" t="str">
        <f>'Table 1.3 complete'!J92</f>
        <v>-</v>
      </c>
      <c r="AD95" s="109">
        <f>'Table 1.3 complete'!K92</f>
        <v>0.33</v>
      </c>
      <c r="AE95" s="109" t="str">
        <f>'Table 1.3 complete'!L92</f>
        <v>-</v>
      </c>
      <c r="AF95" s="109" t="str">
        <f>'Table 1.3 complete'!M92</f>
        <v>-</v>
      </c>
      <c r="AG95" s="109" t="str">
        <f>'Table 1.3 complete'!N92</f>
        <v>-</v>
      </c>
      <c r="AH95" s="149">
        <f>SUM(T95:AG95)</f>
        <v>17.62</v>
      </c>
      <c r="AI95" s="106">
        <f>AH95-'Table 1.1 complete'!E92</f>
        <v>1.9999999999999574E-2</v>
      </c>
      <c r="AJ95" s="113">
        <f>AH95-'Table 1.2 complete'!K92</f>
        <v>0</v>
      </c>
      <c r="AK95" s="106">
        <f>'Table 1.2 complete'!K92-'Table 1.1 complete'!E92</f>
        <v>1.9999999999999574E-2</v>
      </c>
    </row>
    <row r="96" spans="1:37" x14ac:dyDescent="0.25">
      <c r="B96" s="374"/>
      <c r="C96" s="374"/>
      <c r="D96" s="374"/>
      <c r="E96" s="374"/>
      <c r="F96" s="374"/>
      <c r="G96" s="377"/>
      <c r="H96" s="96"/>
      <c r="I96" s="96"/>
      <c r="J96" s="96"/>
      <c r="K96" s="96"/>
      <c r="M96" s="96"/>
      <c r="O96" s="618">
        <f t="shared" si="13"/>
        <v>6.970980068160694E-3</v>
      </c>
      <c r="P96" s="484" t="str">
        <f>'Table 1.2 complete'!A93</f>
        <v>Dominican Rep.</v>
      </c>
      <c r="Q96" s="203">
        <f>'Table 1.2 complete'!B93</f>
        <v>74</v>
      </c>
      <c r="R96" s="172" t="s">
        <v>423</v>
      </c>
      <c r="S96" s="132">
        <v>17</v>
      </c>
      <c r="T96" s="109" t="str">
        <f>'Table 1.2 complete'!E93</f>
        <v>-</v>
      </c>
      <c r="U96" s="109">
        <f>'Table 1.2 complete'!F93</f>
        <v>1.4</v>
      </c>
      <c r="V96" s="109" t="str">
        <f>'Table 1.2 complete'!G93</f>
        <v>-</v>
      </c>
      <c r="W96" s="109" t="str">
        <f>'Table 1.2 complete'!H93</f>
        <v>-</v>
      </c>
      <c r="X96" s="109">
        <f>'Table 1.3 complete'!E93</f>
        <v>1.97</v>
      </c>
      <c r="Y96" s="109" t="str">
        <f>'Table 1.3 complete'!F93</f>
        <v>-</v>
      </c>
      <c r="Z96" s="109" t="str">
        <f>'Table 1.3 complete'!G93</f>
        <v>-</v>
      </c>
      <c r="AA96" s="109" t="str">
        <f>'Table 1.3 complete'!H93</f>
        <v>-</v>
      </c>
      <c r="AB96" s="109">
        <f>'Table 1.3 complete'!I93</f>
        <v>9.73</v>
      </c>
      <c r="AC96" s="109">
        <f>'Table 1.3 complete'!J93</f>
        <v>1.71</v>
      </c>
      <c r="AD96" s="109">
        <f>'Table 1.3 complete'!K93</f>
        <v>0.04</v>
      </c>
      <c r="AE96" s="109" t="str">
        <f>'Table 1.3 complete'!L93</f>
        <v>-</v>
      </c>
      <c r="AF96" s="109" t="str">
        <f>'Table 1.3 complete'!M93</f>
        <v>-</v>
      </c>
      <c r="AG96" s="109" t="str">
        <f>'Table 1.3 complete'!N93</f>
        <v>-</v>
      </c>
      <c r="AH96" s="149">
        <f>SUM(T96:AG96)</f>
        <v>14.850000000000001</v>
      </c>
      <c r="AI96" s="106">
        <f>AH96-'Table 1.1 complete'!E93</f>
        <v>5.0000000000000711E-2</v>
      </c>
      <c r="AJ96" s="113">
        <f>AH96-'Table 1.2 complete'!K93</f>
        <v>1.0000000000001563E-2</v>
      </c>
      <c r="AK96" s="106">
        <f>'Table 1.2 complete'!K93-'Table 1.1 complete'!E93</f>
        <v>3.9999999999999147E-2</v>
      </c>
    </row>
    <row r="97" spans="2:37" x14ac:dyDescent="0.25">
      <c r="B97" s="374"/>
      <c r="C97" s="374"/>
      <c r="D97" s="374"/>
      <c r="E97" s="374"/>
      <c r="F97" s="374"/>
      <c r="G97" s="377"/>
      <c r="H97" s="96"/>
      <c r="I97" s="96"/>
      <c r="J97" s="96"/>
      <c r="K97" s="96"/>
      <c r="M97" s="96"/>
      <c r="O97" s="618">
        <f t="shared" si="13"/>
        <v>1.0106747533164965E-2</v>
      </c>
      <c r="P97" s="484" t="str">
        <f>'Table 1.2 complete'!A94</f>
        <v>DPR of Korea</v>
      </c>
      <c r="Q97" s="203">
        <f>'Table 1.2 complete'!B94</f>
        <v>96</v>
      </c>
      <c r="R97" s="172" t="s">
        <v>423</v>
      </c>
      <c r="S97" s="132">
        <v>17</v>
      </c>
      <c r="T97" s="109" t="str">
        <f>'Table 1.2 complete'!E94</f>
        <v>-</v>
      </c>
      <c r="U97" s="109">
        <f>'Table 1.2 complete'!F94</f>
        <v>13.28</v>
      </c>
      <c r="V97" s="109" t="str">
        <f>'Table 1.2 complete'!G94</f>
        <v>-</v>
      </c>
      <c r="W97" s="109" t="str">
        <f>'Table 1.2 complete'!H94</f>
        <v>-</v>
      </c>
      <c r="X97" s="109">
        <f>'Table 1.3 complete'!E94</f>
        <v>6.68</v>
      </c>
      <c r="Y97" s="109">
        <f>'Table 1.3 complete'!F94</f>
        <v>0.81</v>
      </c>
      <c r="Z97" s="109" t="str">
        <f>'Table 1.3 complete'!G94</f>
        <v>-</v>
      </c>
      <c r="AA97" s="109" t="str">
        <f>'Table 1.3 complete'!H94</f>
        <v>-</v>
      </c>
      <c r="AB97" s="109">
        <f>'Table 1.3 complete'!I94</f>
        <v>0.76</v>
      </c>
      <c r="AC97" s="109" t="str">
        <f>'Table 1.3 complete'!J94</f>
        <v>-</v>
      </c>
      <c r="AD97" s="109" t="str">
        <f>'Table 1.3 complete'!K94</f>
        <v>-</v>
      </c>
      <c r="AE97" s="109" t="str">
        <f>'Table 1.3 complete'!L94</f>
        <v>-</v>
      </c>
      <c r="AF97" s="109" t="str">
        <f>'Table 1.3 complete'!M94</f>
        <v>-</v>
      </c>
      <c r="AG97" s="109" t="str">
        <f>'Table 1.3 complete'!N94</f>
        <v>-</v>
      </c>
      <c r="AH97" s="149">
        <f>SUM(T97:AG97)</f>
        <v>21.53</v>
      </c>
      <c r="AI97" s="106">
        <f>AH97-'Table 1.1 complete'!E94</f>
        <v>3.0000000000001137E-2</v>
      </c>
      <c r="AJ97" s="113">
        <f>AH97-'Table 1.2 complete'!K94</f>
        <v>1.0000000000001563E-2</v>
      </c>
      <c r="AK97" s="106">
        <f>'Table 1.2 complete'!K94-'Table 1.1 complete'!E94</f>
        <v>1.9999999999999574E-2</v>
      </c>
    </row>
    <row r="98" spans="2:37" x14ac:dyDescent="0.25">
      <c r="B98" s="374"/>
      <c r="C98" s="374"/>
      <c r="D98" s="374"/>
      <c r="E98" s="374"/>
      <c r="F98" s="374"/>
      <c r="G98" s="377"/>
      <c r="H98" s="96"/>
      <c r="I98" s="96"/>
      <c r="J98" s="96"/>
      <c r="K98" s="96"/>
      <c r="M98" s="96"/>
      <c r="O98" s="618">
        <f t="shared" si="13"/>
        <v>3.9009322805666903E-3</v>
      </c>
      <c r="P98" s="484" t="str">
        <f>'Table 1.2 complete'!A95</f>
        <v>DR of Congo</v>
      </c>
      <c r="Q98" s="203">
        <f>'Table 1.2 complete'!B95</f>
        <v>44</v>
      </c>
      <c r="R98" s="172" t="s">
        <v>423</v>
      </c>
      <c r="S98" s="132">
        <v>17</v>
      </c>
      <c r="T98" s="109" t="str">
        <f>'Table 1.2 complete'!E95</f>
        <v>-</v>
      </c>
      <c r="U98" s="109">
        <f>'Table 1.2 complete'!F95</f>
        <v>8.2799999999999994</v>
      </c>
      <c r="V98" s="109" t="str">
        <f>'Table 1.2 complete'!G95</f>
        <v>-</v>
      </c>
      <c r="W98" s="109" t="str">
        <f>'Table 1.2 complete'!H95</f>
        <v>-</v>
      </c>
      <c r="X98" s="109" t="str">
        <f>'Table 1.3 complete'!E95</f>
        <v>-</v>
      </c>
      <c r="Y98" s="109" t="str">
        <f>'Table 1.3 complete'!F95</f>
        <v>-</v>
      </c>
      <c r="Z98" s="109" t="str">
        <f>'Table 1.3 complete'!G95</f>
        <v>-</v>
      </c>
      <c r="AA98" s="109" t="str">
        <f>'Table 1.3 complete'!H95</f>
        <v>-</v>
      </c>
      <c r="AB98" s="109">
        <f>'Table 1.3 complete'!I95</f>
        <v>0.03</v>
      </c>
      <c r="AC98" s="109" t="str">
        <f>'Table 1.3 complete'!J95</f>
        <v>-</v>
      </c>
      <c r="AD98" s="109" t="str">
        <f>'Table 1.3 complete'!K95</f>
        <v>-</v>
      </c>
      <c r="AE98" s="109" t="str">
        <f>'Table 1.3 complete'!L95</f>
        <v>-</v>
      </c>
      <c r="AF98" s="109" t="str">
        <f>'Table 1.3 complete'!M95</f>
        <v>-</v>
      </c>
      <c r="AG98" s="109" t="str">
        <f>'Table 1.3 complete'!N95</f>
        <v>-</v>
      </c>
      <c r="AH98" s="149">
        <f>SUM(T98:AG98)</f>
        <v>8.3099999999999987</v>
      </c>
      <c r="AI98" s="106">
        <f>AH98-'Table 1.1 complete'!E95</f>
        <v>9.9999999999980105E-3</v>
      </c>
      <c r="AJ98" s="113">
        <f>AH98-'Table 1.2 complete'!K95</f>
        <v>9.9999999999980105E-3</v>
      </c>
      <c r="AK98" s="106">
        <f>'Table 1.2 complete'!K95-'Table 1.1 complete'!E95</f>
        <v>0</v>
      </c>
    </row>
    <row r="99" spans="2:37" x14ac:dyDescent="0.25">
      <c r="B99" s="374"/>
      <c r="C99" s="374"/>
      <c r="D99" s="374"/>
      <c r="E99" s="374"/>
      <c r="F99" s="374"/>
      <c r="G99" s="377"/>
      <c r="H99" s="96"/>
      <c r="I99" s="96"/>
      <c r="J99" s="96"/>
      <c r="K99" s="96"/>
      <c r="M99" s="96"/>
      <c r="O99" s="618">
        <f t="shared" si="13"/>
        <v>2.7226723498540079E-3</v>
      </c>
      <c r="P99" s="484" t="str">
        <f>'Table 1.2 complete'!A96</f>
        <v>El Salvador</v>
      </c>
      <c r="Q99" s="203">
        <f>'Table 1.2 complete'!B96</f>
        <v>76</v>
      </c>
      <c r="R99" s="172" t="s">
        <v>423</v>
      </c>
      <c r="S99" s="132">
        <v>17</v>
      </c>
      <c r="T99" s="109" t="str">
        <f>'Table 1.2 complete'!E96</f>
        <v>-</v>
      </c>
      <c r="U99" s="109">
        <f>'Table 1.2 complete'!F96</f>
        <v>1.74</v>
      </c>
      <c r="V99" s="109">
        <f>'Table 1.2 complete'!G96</f>
        <v>1.38</v>
      </c>
      <c r="W99" s="109" t="str">
        <f>'Table 1.2 complete'!H96</f>
        <v>-</v>
      </c>
      <c r="X99" s="109" t="str">
        <f>'Table 1.3 complete'!E96</f>
        <v>-</v>
      </c>
      <c r="Y99" s="109" t="str">
        <f>'Table 1.3 complete'!F96</f>
        <v>-</v>
      </c>
      <c r="Z99" s="109" t="str">
        <f>'Table 1.3 complete'!G96</f>
        <v>-</v>
      </c>
      <c r="AA99" s="109" t="str">
        <f>'Table 1.3 complete'!H96</f>
        <v>-</v>
      </c>
      <c r="AB99" s="109">
        <f>'Table 1.3 complete'!I96</f>
        <v>2.65</v>
      </c>
      <c r="AC99" s="109" t="str">
        <f>'Table 1.3 complete'!J96</f>
        <v>-</v>
      </c>
      <c r="AD99" s="109">
        <f>'Table 1.3 complete'!K96</f>
        <v>0.03</v>
      </c>
      <c r="AE99" s="109" t="str">
        <f>'Table 1.3 complete'!L96</f>
        <v>-</v>
      </c>
      <c r="AF99" s="109" t="str">
        <f>'Table 1.3 complete'!M96</f>
        <v>-</v>
      </c>
      <c r="AG99" s="109" t="str">
        <f>'Table 1.3 complete'!N96</f>
        <v>-</v>
      </c>
      <c r="AH99" s="149">
        <f>SUM(T99:AG99)</f>
        <v>5.8</v>
      </c>
      <c r="AI99" s="106">
        <f>AH99-'Table 1.1 complete'!E96</f>
        <v>0</v>
      </c>
      <c r="AJ99" s="113">
        <f>AH99-'Table 1.2 complete'!K96</f>
        <v>-9.9999999999997868E-3</v>
      </c>
      <c r="AK99" s="106">
        <f>'Table 1.2 complete'!K96-'Table 1.1 complete'!E96</f>
        <v>9.9999999999997868E-3</v>
      </c>
    </row>
    <row r="100" spans="2:37" x14ac:dyDescent="0.25">
      <c r="B100" s="374"/>
      <c r="C100" s="374"/>
      <c r="D100" s="374"/>
      <c r="E100" s="374"/>
      <c r="F100" s="374"/>
      <c r="G100" s="377"/>
      <c r="H100" s="96"/>
      <c r="I100" s="96"/>
      <c r="J100" s="96"/>
      <c r="K100" s="96"/>
      <c r="M100" s="96"/>
      <c r="O100" s="618">
        <f t="shared" si="13"/>
        <v>1.361336174927004E-4</v>
      </c>
      <c r="P100" s="484" t="str">
        <f>'Table 1.2 complete'!A97</f>
        <v>Eritrea</v>
      </c>
      <c r="Q100" s="203">
        <f>'Table 1.2 complete'!B97</f>
        <v>47</v>
      </c>
      <c r="R100" s="172" t="s">
        <v>423</v>
      </c>
      <c r="S100" s="132">
        <v>17</v>
      </c>
      <c r="T100" s="109" t="str">
        <f>'Table 1.2 complete'!E97</f>
        <v>-</v>
      </c>
      <c r="U100" s="109" t="str">
        <f>'Table 1.2 complete'!F97</f>
        <v>-</v>
      </c>
      <c r="V100" s="109" t="str">
        <f>'Table 1.2 complete'!G97</f>
        <v>-</v>
      </c>
      <c r="W100" s="109">
        <f>'Table 1.2 complete'!H97</f>
        <v>0</v>
      </c>
      <c r="X100" s="109" t="str">
        <f>'Table 1.3 complete'!E97</f>
        <v>-</v>
      </c>
      <c r="Y100" s="109" t="str">
        <f>'Table 1.3 complete'!F97</f>
        <v>-</v>
      </c>
      <c r="Z100" s="109" t="str">
        <f>'Table 1.3 complete'!G97</f>
        <v>-</v>
      </c>
      <c r="AA100" s="109" t="str">
        <f>'Table 1.3 complete'!H97</f>
        <v>-</v>
      </c>
      <c r="AB100" s="109">
        <f>'Table 1.3 complete'!I97</f>
        <v>0.28999999999999998</v>
      </c>
      <c r="AC100" s="109" t="str">
        <f>'Table 1.3 complete'!J97</f>
        <v>-</v>
      </c>
      <c r="AD100" s="109" t="str">
        <f>'Table 1.3 complete'!K97</f>
        <v>-</v>
      </c>
      <c r="AE100" s="109" t="str">
        <f>'Table 1.3 complete'!L97</f>
        <v>-</v>
      </c>
      <c r="AF100" s="109" t="str">
        <f>'Table 1.3 complete'!M97</f>
        <v>-</v>
      </c>
      <c r="AG100" s="109" t="str">
        <f>'Table 1.3 complete'!N97</f>
        <v>-</v>
      </c>
      <c r="AH100" s="149">
        <f>SUM(T100:AG100)</f>
        <v>0.28999999999999998</v>
      </c>
      <c r="AI100" s="106">
        <f>AH100-'Table 1.1 complete'!E97</f>
        <v>-1.0000000000000009E-2</v>
      </c>
      <c r="AJ100" s="113">
        <f>AH100-'Table 1.2 complete'!K97</f>
        <v>0</v>
      </c>
      <c r="AK100" s="106">
        <f>'Table 1.2 complete'!K97-'Table 1.1 complete'!E97</f>
        <v>-1.0000000000000009E-2</v>
      </c>
    </row>
    <row r="101" spans="2:37" x14ac:dyDescent="0.25">
      <c r="B101" s="374"/>
      <c r="C101" s="374"/>
      <c r="D101" s="374"/>
      <c r="E101" s="374"/>
      <c r="F101" s="374"/>
      <c r="G101" s="377"/>
      <c r="H101" s="96"/>
      <c r="I101" s="96"/>
      <c r="J101" s="96"/>
      <c r="K101" s="96"/>
      <c r="M101" s="96"/>
      <c r="O101" s="618">
        <f t="shared" si="13"/>
        <v>1.6429919352567292E-3</v>
      </c>
      <c r="P101" s="484" t="str">
        <f>'Table 1.2 complete'!A98</f>
        <v>Ethiopia</v>
      </c>
      <c r="Q101" s="203">
        <f>'Table 1.2 complete'!B98</f>
        <v>48</v>
      </c>
      <c r="R101" s="172" t="s">
        <v>423</v>
      </c>
      <c r="S101" s="132">
        <v>17</v>
      </c>
      <c r="T101" s="109" t="str">
        <f>'Table 1.2 complete'!E98</f>
        <v>-</v>
      </c>
      <c r="U101" s="109">
        <f>'Table 1.2 complete'!F98</f>
        <v>3.37</v>
      </c>
      <c r="V101" s="109" t="str">
        <f>'Table 1.2 complete'!G98</f>
        <v>-</v>
      </c>
      <c r="W101" s="109" t="str">
        <f>'Table 1.2 complete'!H98</f>
        <v>-</v>
      </c>
      <c r="X101" s="109" t="str">
        <f>'Table 1.3 complete'!E98</f>
        <v>-</v>
      </c>
      <c r="Y101" s="109" t="str">
        <f>'Table 1.3 complete'!F98</f>
        <v>-</v>
      </c>
      <c r="Z101" s="109" t="str">
        <f>'Table 1.3 complete'!G98</f>
        <v>-</v>
      </c>
      <c r="AA101" s="109" t="str">
        <f>'Table 1.3 complete'!H98</f>
        <v>-</v>
      </c>
      <c r="AB101" s="109">
        <f>'Table 1.3 complete'!I98</f>
        <v>0.13</v>
      </c>
      <c r="AC101" s="109" t="str">
        <f>'Table 1.3 complete'!J98</f>
        <v>-</v>
      </c>
      <c r="AD101" s="109" t="str">
        <f>'Table 1.3 complete'!K98</f>
        <v>-</v>
      </c>
      <c r="AE101" s="109" t="str">
        <f>'Table 1.3 complete'!L98</f>
        <v>-</v>
      </c>
      <c r="AF101" s="109" t="str">
        <f>'Table 1.3 complete'!M98</f>
        <v>-</v>
      </c>
      <c r="AG101" s="109" t="str">
        <f>'Table 1.3 complete'!N98</f>
        <v>-</v>
      </c>
      <c r="AH101" s="149">
        <f>SUM(T101:AG101)</f>
        <v>3.5</v>
      </c>
      <c r="AI101" s="106">
        <f>AH101-'Table 1.1 complete'!E98</f>
        <v>0</v>
      </c>
      <c r="AJ101" s="113">
        <f>AH101-'Table 1.2 complete'!K98</f>
        <v>0</v>
      </c>
      <c r="AK101" s="106">
        <f>'Table 1.2 complete'!K98-'Table 1.1 complete'!E98</f>
        <v>0</v>
      </c>
    </row>
    <row r="102" spans="2:37" x14ac:dyDescent="0.25">
      <c r="B102" s="374"/>
      <c r="C102" s="374"/>
      <c r="D102" s="374"/>
      <c r="E102" s="374"/>
      <c r="F102" s="374"/>
      <c r="G102" s="937" t="s">
        <v>362</v>
      </c>
      <c r="H102" s="388">
        <f t="shared" ref="H102" si="16">L102*O102</f>
        <v>0</v>
      </c>
      <c r="I102" s="403">
        <v>1.054</v>
      </c>
      <c r="J102" s="404">
        <v>0</v>
      </c>
      <c r="K102" s="404"/>
      <c r="L102" s="353">
        <f t="shared" ref="L102" si="17">0.8*J102/I102</f>
        <v>0</v>
      </c>
      <c r="N102" s="345">
        <v>0</v>
      </c>
      <c r="O102" s="618">
        <f t="shared" si="13"/>
        <v>3.159238778365082E-3</v>
      </c>
      <c r="P102" s="484" t="str">
        <f>'Table 1.2 complete'!A99</f>
        <v>F.Y.R. Macedonia</v>
      </c>
      <c r="Q102" s="203">
        <f>'Table 1.2 complete'!B99</f>
        <v>118</v>
      </c>
      <c r="R102" s="172" t="s">
        <v>423</v>
      </c>
      <c r="S102" s="132">
        <v>17</v>
      </c>
      <c r="T102" s="109" t="str">
        <f>'Table 1.2 complete'!E99</f>
        <v>-</v>
      </c>
      <c r="U102" s="109">
        <f>'Table 1.2 complete'!F99</f>
        <v>1.01</v>
      </c>
      <c r="V102" s="109" t="str">
        <f>'Table 1.2 complete'!G99</f>
        <v>-</v>
      </c>
      <c r="W102" s="109" t="str">
        <f>'Table 1.2 complete'!H99</f>
        <v>-</v>
      </c>
      <c r="X102" s="109" t="str">
        <f>'Table 1.3 complete'!E99</f>
        <v>-</v>
      </c>
      <c r="Y102" s="109">
        <f>'Table 1.3 complete'!F99</f>
        <v>5.24</v>
      </c>
      <c r="Z102" s="109" t="str">
        <f>'Table 1.3 complete'!G99</f>
        <v>-</v>
      </c>
      <c r="AA102" s="109" t="str">
        <f>'Table 1.3 complete'!H99</f>
        <v>-</v>
      </c>
      <c r="AB102" s="109">
        <f>'Table 1.3 complete'!I99</f>
        <v>0.48</v>
      </c>
      <c r="AC102" s="109" t="str">
        <f>'Table 1.3 complete'!J99</f>
        <v>-</v>
      </c>
      <c r="AD102" s="109" t="str">
        <f>'Table 1.3 complete'!K99</f>
        <v>-</v>
      </c>
      <c r="AE102" s="109" t="str">
        <f>'Table 1.3 complete'!L99</f>
        <v>-</v>
      </c>
      <c r="AF102" s="109" t="str">
        <f>'Table 1.3 complete'!M99</f>
        <v>-</v>
      </c>
      <c r="AG102" s="109" t="str">
        <f>'Table 1.3 complete'!N99</f>
        <v>-</v>
      </c>
      <c r="AH102" s="149">
        <f>SUM(T102:AG102)</f>
        <v>6.73</v>
      </c>
      <c r="AI102" s="106">
        <f>AH102-'Table 1.1 complete'!E99</f>
        <v>3.0000000000000249E-2</v>
      </c>
      <c r="AJ102" s="113">
        <f>AH102-'Table 1.2 complete'!K99</f>
        <v>0</v>
      </c>
      <c r="AK102" s="106">
        <f>'Table 1.2 complete'!K99-'Table 1.1 complete'!E99</f>
        <v>3.0000000000000249E-2</v>
      </c>
    </row>
    <row r="103" spans="2:37" x14ac:dyDescent="0.25">
      <c r="B103" s="374"/>
      <c r="C103" s="374"/>
      <c r="D103" s="374"/>
      <c r="E103" s="374"/>
      <c r="F103" s="374"/>
      <c r="G103" s="377"/>
      <c r="H103" s="96"/>
      <c r="I103" s="96"/>
      <c r="J103" s="96"/>
      <c r="K103" s="96"/>
      <c r="M103" s="96"/>
      <c r="O103" s="618">
        <f t="shared" si="13"/>
        <v>8.6843859434998537E-4</v>
      </c>
      <c r="P103" s="484" t="str">
        <f>'Table 1.2 complete'!A100</f>
        <v>Gabon</v>
      </c>
      <c r="Q103" s="203">
        <f>'Table 1.2 complete'!B100</f>
        <v>49</v>
      </c>
      <c r="R103" s="172" t="s">
        <v>423</v>
      </c>
      <c r="S103" s="132">
        <v>17</v>
      </c>
      <c r="T103" s="109" t="str">
        <f>'Table 1.2 complete'!E100</f>
        <v>-</v>
      </c>
      <c r="U103" s="109">
        <f>'Table 1.2 complete'!F100</f>
        <v>0.8</v>
      </c>
      <c r="V103" s="109" t="str">
        <f>'Table 1.2 complete'!G100</f>
        <v>-</v>
      </c>
      <c r="W103" s="109" t="str">
        <f>'Table 1.2 complete'!H100</f>
        <v>-</v>
      </c>
      <c r="X103" s="109" t="str">
        <f>'Table 1.3 complete'!E100</f>
        <v>-</v>
      </c>
      <c r="Y103" s="109" t="str">
        <f>'Table 1.3 complete'!F100</f>
        <v>-</v>
      </c>
      <c r="Z103" s="109" t="str">
        <f>'Table 1.3 complete'!G100</f>
        <v>-</v>
      </c>
      <c r="AA103" s="109" t="str">
        <f>'Table 1.3 complete'!H100</f>
        <v>-</v>
      </c>
      <c r="AB103" s="109">
        <f>'Table 1.3 complete'!I100</f>
        <v>0.74</v>
      </c>
      <c r="AC103" s="109">
        <f>'Table 1.3 complete'!J100</f>
        <v>0.3</v>
      </c>
      <c r="AD103" s="109">
        <f>'Table 1.3 complete'!K100</f>
        <v>0.01</v>
      </c>
      <c r="AE103" s="109" t="str">
        <f>'Table 1.3 complete'!L100</f>
        <v>-</v>
      </c>
      <c r="AF103" s="109" t="str">
        <f>'Table 1.3 complete'!M100</f>
        <v>-</v>
      </c>
      <c r="AG103" s="109" t="str">
        <f>'Table 1.3 complete'!N100</f>
        <v>-</v>
      </c>
      <c r="AH103" s="149">
        <f>SUM(T103:AG103)</f>
        <v>1.85</v>
      </c>
      <c r="AI103" s="106">
        <f>AH103-'Table 1.1 complete'!E100</f>
        <v>5.0000000000000044E-2</v>
      </c>
      <c r="AJ103" s="113">
        <f>AH103-'Table 1.2 complete'!K100</f>
        <v>1.0000000000000009E-2</v>
      </c>
      <c r="AK103" s="106">
        <f>'Table 1.2 complete'!K100-'Table 1.1 complete'!E100</f>
        <v>4.0000000000000036E-2</v>
      </c>
    </row>
    <row r="104" spans="2:37" x14ac:dyDescent="0.25">
      <c r="B104" s="374"/>
      <c r="C104" s="374"/>
      <c r="D104" s="374"/>
      <c r="E104" s="374"/>
      <c r="F104" s="374"/>
      <c r="G104" s="377"/>
      <c r="H104" s="96"/>
      <c r="I104" s="96"/>
      <c r="J104" s="96"/>
      <c r="K104" s="96"/>
      <c r="M104" s="96"/>
      <c r="O104" s="618">
        <f t="shared" si="13"/>
        <v>3.9103208059110151E-3</v>
      </c>
      <c r="P104" s="484" t="str">
        <f>'Table 1.2 complete'!A101</f>
        <v>Georgia</v>
      </c>
      <c r="Q104" s="203">
        <f>'Table 1.2 complete'!B101</f>
        <v>129</v>
      </c>
      <c r="R104" s="172" t="s">
        <v>423</v>
      </c>
      <c r="S104" s="132">
        <v>17</v>
      </c>
      <c r="T104" s="109" t="str">
        <f>'Table 1.2 complete'!E101</f>
        <v>-</v>
      </c>
      <c r="U104" s="109">
        <f>'Table 1.2 complete'!F101</f>
        <v>6.82</v>
      </c>
      <c r="V104" s="109" t="str">
        <f>'Table 1.2 complete'!G101</f>
        <v>-</v>
      </c>
      <c r="W104" s="109" t="str">
        <f>'Table 1.2 complete'!H101</f>
        <v>-</v>
      </c>
      <c r="X104" s="109" t="str">
        <f>'Table 1.3 complete'!E101</f>
        <v>-</v>
      </c>
      <c r="Y104" s="109" t="str">
        <f>'Table 1.3 complete'!F101</f>
        <v>-</v>
      </c>
      <c r="Z104" s="109" t="str">
        <f>'Table 1.3 complete'!G101</f>
        <v>-</v>
      </c>
      <c r="AA104" s="109" t="str">
        <f>'Table 1.3 complete'!H101</f>
        <v>-</v>
      </c>
      <c r="AB104" s="109">
        <f>'Table 1.3 complete'!I101</f>
        <v>0.02</v>
      </c>
      <c r="AC104" s="109">
        <f>'Table 1.3 complete'!J101</f>
        <v>1.49</v>
      </c>
      <c r="AD104" s="109" t="str">
        <f>'Table 1.3 complete'!K101</f>
        <v>-</v>
      </c>
      <c r="AE104" s="109" t="str">
        <f>'Table 1.3 complete'!L101</f>
        <v>-</v>
      </c>
      <c r="AF104" s="109" t="str">
        <f>'Table 1.3 complete'!M101</f>
        <v>-</v>
      </c>
      <c r="AG104" s="109" t="str">
        <f>'Table 1.3 complete'!N101</f>
        <v>-</v>
      </c>
      <c r="AH104" s="149">
        <f>SUM(T104:AG104)</f>
        <v>8.33</v>
      </c>
      <c r="AI104" s="106">
        <f>AH104-'Table 1.1 complete'!E101</f>
        <v>2.9999999999999361E-2</v>
      </c>
      <c r="AJ104" s="113">
        <f>AH104-'Table 1.2 complete'!K101</f>
        <v>0</v>
      </c>
      <c r="AK104" s="106">
        <f>'Table 1.2 complete'!K101-'Table 1.1 complete'!E101</f>
        <v>2.9999999999999361E-2</v>
      </c>
    </row>
    <row r="105" spans="2:37" x14ac:dyDescent="0.25">
      <c r="B105" s="374"/>
      <c r="C105" s="374"/>
      <c r="D105" s="374"/>
      <c r="E105" s="374"/>
      <c r="F105" s="374"/>
      <c r="G105" s="377"/>
      <c r="H105" s="96"/>
      <c r="I105" s="96"/>
      <c r="J105" s="96"/>
      <c r="K105" s="96"/>
      <c r="M105" s="96"/>
      <c r="O105" s="618">
        <f t="shared" si="13"/>
        <v>3.2765953451691344E-3</v>
      </c>
      <c r="P105" s="484" t="str">
        <f>'Table 1.2 complete'!A102</f>
        <v>Ghana</v>
      </c>
      <c r="Q105" s="203">
        <f>'Table 1.2 complete'!B102</f>
        <v>50</v>
      </c>
      <c r="R105" s="172" t="s">
        <v>423</v>
      </c>
      <c r="S105" s="132">
        <v>17</v>
      </c>
      <c r="T105" s="109" t="str">
        <f>'Table 1.2 complete'!E102</f>
        <v>-</v>
      </c>
      <c r="U105" s="109">
        <f>'Table 1.2 complete'!F102</f>
        <v>3.73</v>
      </c>
      <c r="V105" s="109" t="str">
        <f>'Table 1.2 complete'!G102</f>
        <v>-</v>
      </c>
      <c r="W105" s="109" t="str">
        <f>'Table 1.2 complete'!H102</f>
        <v>-</v>
      </c>
      <c r="X105" s="109" t="str">
        <f>'Table 1.3 complete'!E102</f>
        <v>-</v>
      </c>
      <c r="Y105" s="109" t="str">
        <f>'Table 1.3 complete'!F102</f>
        <v>-</v>
      </c>
      <c r="Z105" s="109" t="str">
        <f>'Table 1.3 complete'!G102</f>
        <v>-</v>
      </c>
      <c r="AA105" s="109" t="str">
        <f>'Table 1.3 complete'!H102</f>
        <v>-</v>
      </c>
      <c r="AB105" s="109">
        <f>'Table 1.3 complete'!I102</f>
        <v>3.25</v>
      </c>
      <c r="AC105" s="109" t="str">
        <f>'Table 1.3 complete'!J102</f>
        <v>-</v>
      </c>
      <c r="AD105" s="109" t="str">
        <f>'Table 1.3 complete'!K102</f>
        <v>-</v>
      </c>
      <c r="AE105" s="109" t="str">
        <f>'Table 1.3 complete'!L102</f>
        <v>-</v>
      </c>
      <c r="AF105" s="109" t="str">
        <f>'Table 1.3 complete'!M102</f>
        <v>-</v>
      </c>
      <c r="AG105" s="109" t="str">
        <f>'Table 1.3 complete'!N102</f>
        <v>-</v>
      </c>
      <c r="AH105" s="149">
        <f>SUM(T105:AG105)</f>
        <v>6.98</v>
      </c>
      <c r="AI105" s="106">
        <f>AH105-'Table 1.1 complete'!E102</f>
        <v>-1.9999999999999574E-2</v>
      </c>
      <c r="AJ105" s="113">
        <f>AH105-'Table 1.2 complete'!K102</f>
        <v>0</v>
      </c>
      <c r="AK105" s="106">
        <f>'Table 1.2 complete'!K102-'Table 1.1 complete'!E102</f>
        <v>-1.9999999999999574E-2</v>
      </c>
    </row>
    <row r="106" spans="2:37" x14ac:dyDescent="0.25">
      <c r="B106" s="374"/>
      <c r="C106" s="374"/>
      <c r="D106" s="374"/>
      <c r="E106" s="374"/>
      <c r="F106" s="374"/>
      <c r="G106" s="377"/>
      <c r="H106" s="96"/>
      <c r="I106" s="96"/>
      <c r="J106" s="96"/>
      <c r="K106" s="96"/>
      <c r="M106" s="96"/>
      <c r="O106" s="618">
        <f t="shared" si="13"/>
        <v>4.1074798381418223E-3</v>
      </c>
      <c r="P106" s="484" t="str">
        <f>'Table 1.2 complete'!A103</f>
        <v>Guatemala</v>
      </c>
      <c r="Q106" s="203">
        <f>'Table 1.2 complete'!B103</f>
        <v>77</v>
      </c>
      <c r="R106" s="172" t="s">
        <v>423</v>
      </c>
      <c r="S106" s="132">
        <v>17</v>
      </c>
      <c r="T106" s="109" t="str">
        <f>'Table 1.2 complete'!E103</f>
        <v>-</v>
      </c>
      <c r="U106" s="109">
        <f>'Table 1.2 complete'!F103</f>
        <v>3.63</v>
      </c>
      <c r="V106" s="109" t="str">
        <f>'Table 1.2 complete'!G103</f>
        <v>-</v>
      </c>
      <c r="W106" s="109" t="str">
        <f>'Table 1.2 complete'!H103</f>
        <v>-</v>
      </c>
      <c r="X106" s="109">
        <f>'Table 1.3 complete'!E103</f>
        <v>1.1200000000000001</v>
      </c>
      <c r="Y106" s="109" t="str">
        <f>'Table 1.3 complete'!F103</f>
        <v>-</v>
      </c>
      <c r="Z106" s="109" t="str">
        <f>'Table 1.3 complete'!G103</f>
        <v>-</v>
      </c>
      <c r="AA106" s="109" t="str">
        <f>'Table 1.3 complete'!H103</f>
        <v>-</v>
      </c>
      <c r="AB106" s="109">
        <f>'Table 1.3 complete'!I103</f>
        <v>2.63</v>
      </c>
      <c r="AC106" s="109" t="str">
        <f>'Table 1.3 complete'!J103</f>
        <v>-</v>
      </c>
      <c r="AD106" s="109">
        <f>'Table 1.3 complete'!K103</f>
        <v>1.37</v>
      </c>
      <c r="AE106" s="109" t="str">
        <f>'Table 1.3 complete'!L103</f>
        <v>-</v>
      </c>
      <c r="AF106" s="109" t="str">
        <f>'Table 1.3 complete'!M103</f>
        <v>-</v>
      </c>
      <c r="AG106" s="109" t="str">
        <f>'Table 1.3 complete'!N103</f>
        <v>-</v>
      </c>
      <c r="AH106" s="149">
        <f>SUM(T106:AG106)</f>
        <v>8.75</v>
      </c>
      <c r="AI106" s="106">
        <f>AH106-'Table 1.1 complete'!E103</f>
        <v>-5.0000000000000711E-2</v>
      </c>
      <c r="AJ106" s="113">
        <f>AH106-'Table 1.2 complete'!K103</f>
        <v>-9.9999999999997868E-3</v>
      </c>
      <c r="AK106" s="106">
        <f>'Table 1.2 complete'!K103-'Table 1.1 complete'!E103</f>
        <v>-4.0000000000000924E-2</v>
      </c>
    </row>
    <row r="107" spans="2:37" x14ac:dyDescent="0.25">
      <c r="B107" s="374"/>
      <c r="C107" s="374"/>
      <c r="D107" s="374"/>
      <c r="E107" s="374"/>
      <c r="F107" s="374"/>
      <c r="G107" s="377"/>
      <c r="H107" s="96"/>
      <c r="I107" s="96"/>
      <c r="J107" s="96"/>
      <c r="K107" s="96"/>
      <c r="M107" s="96"/>
      <c r="O107" s="618">
        <f t="shared" si="13"/>
        <v>2.2063034559161788E-4</v>
      </c>
      <c r="P107" s="484" t="str">
        <f>'Table 1.2 complete'!A104</f>
        <v xml:space="preserve">Haiti             </v>
      </c>
      <c r="Q107" s="203">
        <f>'Table 1.2 complete'!B104</f>
        <v>78</v>
      </c>
      <c r="R107" s="172" t="s">
        <v>423</v>
      </c>
      <c r="S107" s="132">
        <v>17</v>
      </c>
      <c r="T107" s="109" t="str">
        <f>'Table 1.2 complete'!E104</f>
        <v>-</v>
      </c>
      <c r="U107" s="109">
        <f>'Table 1.2 complete'!F104</f>
        <v>0.15</v>
      </c>
      <c r="V107" s="109" t="str">
        <f>'Table 1.2 complete'!G104</f>
        <v>-</v>
      </c>
      <c r="W107" s="109" t="str">
        <f>'Table 1.2 complete'!H104</f>
        <v>-</v>
      </c>
      <c r="X107" s="109" t="str">
        <f>'Table 1.3 complete'!E104</f>
        <v>-</v>
      </c>
      <c r="Y107" s="109" t="str">
        <f>'Table 1.3 complete'!F104</f>
        <v>-</v>
      </c>
      <c r="Z107" s="109" t="str">
        <f>'Table 1.3 complete'!G104</f>
        <v>-</v>
      </c>
      <c r="AA107" s="109" t="str">
        <f>'Table 1.3 complete'!H104</f>
        <v>-</v>
      </c>
      <c r="AB107" s="109">
        <f>'Table 1.3 complete'!I104</f>
        <v>0.32</v>
      </c>
      <c r="AC107" s="109" t="str">
        <f>'Table 1.3 complete'!J104</f>
        <v>-</v>
      </c>
      <c r="AD107" s="109" t="str">
        <f>'Table 1.3 complete'!K104</f>
        <v>-</v>
      </c>
      <c r="AE107" s="109" t="str">
        <f>'Table 1.3 complete'!L104</f>
        <v>-</v>
      </c>
      <c r="AF107" s="109" t="str">
        <f>'Table 1.3 complete'!M104</f>
        <v>-</v>
      </c>
      <c r="AG107" s="109" t="str">
        <f>'Table 1.3 complete'!N104</f>
        <v>-</v>
      </c>
      <c r="AH107" s="149">
        <f>SUM(T107:AG107)</f>
        <v>0.47</v>
      </c>
      <c r="AI107" s="106">
        <f>AH107-'Table 1.1 complete'!E104</f>
        <v>-3.0000000000000027E-2</v>
      </c>
      <c r="AJ107" s="113">
        <f>AH107-'Table 1.2 complete'!K104</f>
        <v>0</v>
      </c>
      <c r="AK107" s="106">
        <f>'Table 1.2 complete'!K104-'Table 1.1 complete'!E104</f>
        <v>-3.0000000000000027E-2</v>
      </c>
    </row>
    <row r="108" spans="2:37" x14ac:dyDescent="0.25">
      <c r="B108" s="374"/>
      <c r="C108" s="374"/>
      <c r="D108" s="374"/>
      <c r="E108" s="374"/>
      <c r="F108" s="374"/>
      <c r="G108" s="377"/>
      <c r="H108" s="96"/>
      <c r="I108" s="96"/>
      <c r="J108" s="96"/>
      <c r="K108" s="96"/>
      <c r="M108" s="96"/>
      <c r="O108" s="618">
        <f t="shared" si="13"/>
        <v>2.9620797461342744E-3</v>
      </c>
      <c r="P108" s="484" t="str">
        <f>'Table 1.2 complete'!A105</f>
        <v xml:space="preserve">Honduras          </v>
      </c>
      <c r="Q108" s="203">
        <f>'Table 1.2 complete'!B105</f>
        <v>79</v>
      </c>
      <c r="R108" s="172" t="s">
        <v>423</v>
      </c>
      <c r="S108" s="132">
        <v>17</v>
      </c>
      <c r="T108" s="109" t="str">
        <f>'Table 1.2 complete'!E105</f>
        <v>-</v>
      </c>
      <c r="U108" s="109">
        <f>'Table 1.2 complete'!F105</f>
        <v>2.21</v>
      </c>
      <c r="V108" s="109" t="str">
        <f>'Table 1.2 complete'!G105</f>
        <v>-</v>
      </c>
      <c r="W108" s="109" t="str">
        <f>'Table 1.2 complete'!H105</f>
        <v>-</v>
      </c>
      <c r="X108" s="109" t="str">
        <f>'Table 1.3 complete'!E105</f>
        <v>-</v>
      </c>
      <c r="Y108" s="109" t="str">
        <f>'Table 1.3 complete'!F105</f>
        <v>-</v>
      </c>
      <c r="Z108" s="109" t="str">
        <f>'Table 1.3 complete'!G105</f>
        <v>-</v>
      </c>
      <c r="AA108" s="109" t="str">
        <f>'Table 1.3 complete'!H105</f>
        <v>-</v>
      </c>
      <c r="AB108" s="109">
        <f>'Table 1.3 complete'!I105</f>
        <v>3.93</v>
      </c>
      <c r="AC108" s="109" t="str">
        <f>'Table 1.3 complete'!J105</f>
        <v>-</v>
      </c>
      <c r="AD108" s="109">
        <f>'Table 1.3 complete'!K105</f>
        <v>0.17</v>
      </c>
      <c r="AE108" s="109" t="str">
        <f>'Table 1.3 complete'!L105</f>
        <v>-</v>
      </c>
      <c r="AF108" s="109" t="str">
        <f>'Table 1.3 complete'!M105</f>
        <v>-</v>
      </c>
      <c r="AG108" s="109" t="str">
        <f>'Table 1.3 complete'!N105</f>
        <v>-</v>
      </c>
      <c r="AH108" s="149">
        <f>SUM(T108:AG108)</f>
        <v>6.3100000000000005</v>
      </c>
      <c r="AI108" s="106">
        <f>AH108-'Table 1.1 complete'!E105</f>
        <v>1.0000000000000675E-2</v>
      </c>
      <c r="AJ108" s="113">
        <f>AH108-'Table 1.2 complete'!K105</f>
        <v>-9.9999999999997868E-3</v>
      </c>
      <c r="AK108" s="106">
        <f>'Table 1.2 complete'!K105-'Table 1.1 complete'!E105</f>
        <v>2.0000000000000462E-2</v>
      </c>
    </row>
    <row r="109" spans="2:37" x14ac:dyDescent="0.25">
      <c r="B109" s="374"/>
      <c r="C109" s="374"/>
      <c r="D109" s="374"/>
      <c r="E109" s="374"/>
      <c r="F109" s="374"/>
      <c r="G109" s="377"/>
      <c r="H109" s="96"/>
      <c r="I109" s="96"/>
      <c r="J109" s="96"/>
      <c r="K109" s="96"/>
      <c r="M109" s="96"/>
      <c r="O109" s="618">
        <f t="shared" si="13"/>
        <v>2.5738642231464701E-2</v>
      </c>
      <c r="P109" s="484" t="str">
        <f>'Table 1.2 complete'!A106</f>
        <v>Israel</v>
      </c>
      <c r="Q109" s="203">
        <f>'Table 1.2 complete'!B106</f>
        <v>144</v>
      </c>
      <c r="R109" s="172" t="s">
        <v>423</v>
      </c>
      <c r="S109" s="132">
        <v>17</v>
      </c>
      <c r="T109" s="109" t="str">
        <f>'Table 1.2 complete'!E106</f>
        <v>-</v>
      </c>
      <c r="U109" s="109">
        <f>'Table 1.2 complete'!F106</f>
        <v>0.03</v>
      </c>
      <c r="V109" s="109" t="str">
        <f>'Table 1.2 complete'!G106</f>
        <v>-</v>
      </c>
      <c r="W109" s="109">
        <f>'Table 1.2 complete'!H106</f>
        <v>0.01</v>
      </c>
      <c r="X109" s="109">
        <f>'Table 1.3 complete'!E106</f>
        <v>37.25</v>
      </c>
      <c r="Y109" s="109">
        <f>'Table 1.3 complete'!F106</f>
        <v>0.16</v>
      </c>
      <c r="Z109" s="109" t="str">
        <f>'Table 1.3 complete'!G106</f>
        <v>-</v>
      </c>
      <c r="AA109" s="109" t="str">
        <f>'Table 1.3 complete'!H106</f>
        <v>-</v>
      </c>
      <c r="AB109" s="109">
        <f>'Table 1.3 complete'!I106</f>
        <v>6.81</v>
      </c>
      <c r="AC109" s="109">
        <f>'Table 1.3 complete'!J106</f>
        <v>10.57</v>
      </c>
      <c r="AD109" s="109" t="str">
        <f>'Table 1.3 complete'!K106</f>
        <v>-</v>
      </c>
      <c r="AE109" s="109" t="str">
        <f>'Table 1.3 complete'!L106</f>
        <v>-</v>
      </c>
      <c r="AF109" s="109" t="str">
        <f>'Table 1.3 complete'!M106</f>
        <v>-</v>
      </c>
      <c r="AG109" s="109" t="str">
        <f>'Table 1.3 complete'!N106</f>
        <v>-</v>
      </c>
      <c r="AH109" s="149">
        <f>SUM(T109:AG109)</f>
        <v>54.83</v>
      </c>
      <c r="AI109" s="106">
        <f>AH109-'Table 1.1 complete'!E106</f>
        <v>3.0000000000001137E-2</v>
      </c>
      <c r="AJ109" s="113">
        <f>AH109-'Table 1.2 complete'!K106</f>
        <v>9.9999999999980105E-3</v>
      </c>
      <c r="AK109" s="106">
        <f>'Table 1.2 complete'!K106-'Table 1.1 complete'!E106</f>
        <v>2.0000000000003126E-2</v>
      </c>
    </row>
    <row r="110" spans="2:37" x14ac:dyDescent="0.25">
      <c r="B110" s="374"/>
      <c r="C110" s="374"/>
      <c r="D110" s="374"/>
      <c r="E110" s="374"/>
      <c r="F110" s="374"/>
      <c r="G110" s="377"/>
      <c r="H110" s="96"/>
      <c r="I110" s="96"/>
      <c r="J110" s="96"/>
      <c r="K110" s="96"/>
      <c r="M110" s="96"/>
      <c r="O110" s="618">
        <f t="shared" si="13"/>
        <v>3.6521363589421007E-3</v>
      </c>
      <c r="P110" s="484" t="str">
        <f>'Table 1.2 complete'!A107</f>
        <v>Jamaica</v>
      </c>
      <c r="Q110" s="203">
        <f>'Table 1.2 complete'!B107</f>
        <v>80</v>
      </c>
      <c r="R110" s="172" t="s">
        <v>423</v>
      </c>
      <c r="S110" s="132">
        <v>17</v>
      </c>
      <c r="T110" s="109" t="str">
        <f>'Table 1.2 complete'!E107</f>
        <v>-</v>
      </c>
      <c r="U110" s="109">
        <f>'Table 1.2 complete'!F107</f>
        <v>0.16</v>
      </c>
      <c r="V110" s="109" t="str">
        <f>'Table 1.2 complete'!G107</f>
        <v>-</v>
      </c>
      <c r="W110" s="109">
        <f>'Table 1.2 complete'!H107</f>
        <v>0.05</v>
      </c>
      <c r="X110" s="109" t="str">
        <f>'Table 1.3 complete'!E107</f>
        <v>-</v>
      </c>
      <c r="Y110" s="109" t="str">
        <f>'Table 1.3 complete'!F107</f>
        <v>-</v>
      </c>
      <c r="Z110" s="109" t="str">
        <f>'Table 1.3 complete'!G107</f>
        <v>-</v>
      </c>
      <c r="AA110" s="109" t="str">
        <f>'Table 1.3 complete'!H107</f>
        <v>-</v>
      </c>
      <c r="AB110" s="109">
        <f>'Table 1.3 complete'!I107</f>
        <v>7.46</v>
      </c>
      <c r="AC110" s="109" t="str">
        <f>'Table 1.3 complete'!J107</f>
        <v>-</v>
      </c>
      <c r="AD110" s="109">
        <f>'Table 1.3 complete'!K107</f>
        <v>0.11</v>
      </c>
      <c r="AE110" s="109" t="str">
        <f>'Table 1.3 complete'!L107</f>
        <v>-</v>
      </c>
      <c r="AF110" s="109" t="str">
        <f>'Table 1.3 complete'!M107</f>
        <v>-</v>
      </c>
      <c r="AG110" s="109" t="str">
        <f>'Table 1.3 complete'!N107</f>
        <v>-</v>
      </c>
      <c r="AH110" s="149">
        <f>SUM(T110:AG110)</f>
        <v>7.78</v>
      </c>
      <c r="AI110" s="106">
        <f>AH110-'Table 1.1 complete'!E107</f>
        <v>-1.9999999999999574E-2</v>
      </c>
      <c r="AJ110" s="113">
        <f>AH110-'Table 1.2 complete'!K107</f>
        <v>0</v>
      </c>
      <c r="AK110" s="106">
        <f>'Table 1.2 complete'!K107-'Table 1.1 complete'!E107</f>
        <v>-1.9999999999999574E-2</v>
      </c>
    </row>
    <row r="111" spans="2:37" x14ac:dyDescent="0.25">
      <c r="B111" s="374"/>
      <c r="C111" s="374"/>
      <c r="D111" s="374"/>
      <c r="E111" s="374"/>
      <c r="F111" s="374"/>
      <c r="G111" s="377"/>
      <c r="H111" s="96"/>
      <c r="I111" s="96"/>
      <c r="J111" s="96"/>
      <c r="K111" s="96"/>
      <c r="M111" s="96"/>
      <c r="O111" s="618">
        <f t="shared" si="13"/>
        <v>3.5958052068761556E-2</v>
      </c>
      <c r="P111" s="484" t="str">
        <f>'Table 1.2 complete'!A108</f>
        <v>Kazakhstan</v>
      </c>
      <c r="Q111" s="203">
        <f>'Table 1.2 complete'!B108</f>
        <v>130</v>
      </c>
      <c r="R111" s="172" t="s">
        <v>423</v>
      </c>
      <c r="S111" s="132">
        <v>17</v>
      </c>
      <c r="T111" s="109" t="str">
        <f>'Table 1.2 complete'!E108</f>
        <v>-</v>
      </c>
      <c r="U111" s="109">
        <f>'Table 1.2 complete'!F108</f>
        <v>8.17</v>
      </c>
      <c r="V111" s="109" t="str">
        <f>'Table 1.2 complete'!G108</f>
        <v>-</v>
      </c>
      <c r="W111" s="109" t="str">
        <f>'Table 1.2 complete'!H108</f>
        <v>-</v>
      </c>
      <c r="X111" s="109">
        <f>'Table 1.3 complete'!E108</f>
        <v>53.88</v>
      </c>
      <c r="Y111" s="109" t="str">
        <f>'Table 1.3 complete'!F108</f>
        <v>-</v>
      </c>
      <c r="Z111" s="109" t="str">
        <f>'Table 1.3 complete'!G108</f>
        <v>-</v>
      </c>
      <c r="AA111" s="109" t="str">
        <f>'Table 1.3 complete'!H108</f>
        <v>-</v>
      </c>
      <c r="AB111" s="109">
        <f>'Table 1.3 complete'!I108</f>
        <v>6.37</v>
      </c>
      <c r="AC111" s="109">
        <f>'Table 1.3 complete'!J108</f>
        <v>8.18</v>
      </c>
      <c r="AD111" s="109" t="str">
        <f>'Table 1.3 complete'!K108</f>
        <v>-</v>
      </c>
      <c r="AE111" s="109" t="str">
        <f>'Table 1.3 complete'!L108</f>
        <v>-</v>
      </c>
      <c r="AF111" s="109" t="str">
        <f>'Table 1.3 complete'!M108</f>
        <v>-</v>
      </c>
      <c r="AG111" s="109" t="str">
        <f>'Table 1.3 complete'!N108</f>
        <v>-</v>
      </c>
      <c r="AH111" s="149">
        <f>SUM(T111:AG111)</f>
        <v>76.599999999999994</v>
      </c>
      <c r="AI111" s="106">
        <f>AH111-'Table 1.1 complete'!E108</f>
        <v>0</v>
      </c>
      <c r="AJ111" s="113">
        <f>AH111-'Table 1.2 complete'!K108</f>
        <v>0</v>
      </c>
      <c r="AK111" s="106">
        <f>'Table 1.2 complete'!K108-'Table 1.1 complete'!E108</f>
        <v>0</v>
      </c>
    </row>
    <row r="112" spans="2:37" x14ac:dyDescent="0.25">
      <c r="B112" s="374"/>
      <c r="C112" s="374"/>
      <c r="D112" s="374"/>
      <c r="E112" s="374"/>
      <c r="F112" s="374"/>
      <c r="G112" s="377"/>
      <c r="H112" s="96"/>
      <c r="I112" s="96"/>
      <c r="J112" s="96"/>
      <c r="K112" s="96"/>
      <c r="M112" s="96"/>
      <c r="O112" s="618">
        <f t="shared" si="13"/>
        <v>3.1780158290537304E-3</v>
      </c>
      <c r="P112" s="484" t="str">
        <f>'Table 1.2 complete'!A109</f>
        <v>Kenya</v>
      </c>
      <c r="Q112" s="203">
        <f>'Table 1.2 complete'!B109</f>
        <v>51</v>
      </c>
      <c r="R112" s="172" t="s">
        <v>423</v>
      </c>
      <c r="S112" s="132">
        <v>17</v>
      </c>
      <c r="T112" s="109" t="str">
        <f>'Table 1.2 complete'!E109</f>
        <v>-</v>
      </c>
      <c r="U112" s="109">
        <f>'Table 1.2 complete'!F109</f>
        <v>3.48</v>
      </c>
      <c r="V112" s="109">
        <f>'Table 1.2 complete'!G109</f>
        <v>1.02</v>
      </c>
      <c r="W112" s="109" t="str">
        <f>'Table 1.2 complete'!H109</f>
        <v>-</v>
      </c>
      <c r="X112" s="109" t="str">
        <f>'Table 1.3 complete'!E109</f>
        <v>-</v>
      </c>
      <c r="Y112" s="109" t="str">
        <f>'Table 1.3 complete'!F109</f>
        <v>-</v>
      </c>
      <c r="Z112" s="109" t="str">
        <f>'Table 1.3 complete'!G109</f>
        <v>-</v>
      </c>
      <c r="AA112" s="109" t="str">
        <f>'Table 1.3 complete'!H109</f>
        <v>-</v>
      </c>
      <c r="AB112" s="109">
        <f>'Table 1.3 complete'!I109</f>
        <v>1.95</v>
      </c>
      <c r="AC112" s="109" t="str">
        <f>'Table 1.3 complete'!J109</f>
        <v>-</v>
      </c>
      <c r="AD112" s="109">
        <f>'Table 1.3 complete'!K109</f>
        <v>0.32</v>
      </c>
      <c r="AE112" s="109" t="str">
        <f>'Table 1.3 complete'!L109</f>
        <v>-</v>
      </c>
      <c r="AF112" s="109" t="str">
        <f>'Table 1.3 complete'!M109</f>
        <v>-</v>
      </c>
      <c r="AG112" s="109" t="str">
        <f>'Table 1.3 complete'!N109</f>
        <v>-</v>
      </c>
      <c r="AH112" s="149">
        <f>SUM(T112:AG112)</f>
        <v>6.7700000000000005</v>
      </c>
      <c r="AI112" s="106">
        <f>AH112-'Table 1.1 complete'!E109</f>
        <v>-2.9999999999999361E-2</v>
      </c>
      <c r="AJ112" s="113">
        <f>AH112-'Table 1.2 complete'!K109</f>
        <v>0</v>
      </c>
      <c r="AK112" s="106">
        <f>'Table 1.2 complete'!K109-'Table 1.1 complete'!E109</f>
        <v>-3.0000000000000249E-2</v>
      </c>
    </row>
    <row r="113" spans="2:37" x14ac:dyDescent="0.25">
      <c r="B113" s="374"/>
      <c r="C113" s="374"/>
      <c r="D113" s="374"/>
      <c r="E113" s="374"/>
      <c r="F113" s="374"/>
      <c r="G113" s="377"/>
      <c r="H113" s="96"/>
      <c r="I113" s="96"/>
      <c r="J113" s="96"/>
      <c r="K113" s="96"/>
      <c r="M113" s="96"/>
      <c r="O113" s="618">
        <f t="shared" si="13"/>
        <v>7.6234825795912222E-3</v>
      </c>
      <c r="P113" s="484" t="str">
        <f>'Table 1.2 complete'!A110</f>
        <v>Kyrgyzstan</v>
      </c>
      <c r="Q113" s="203">
        <f>'Table 1.2 complete'!B110</f>
        <v>131</v>
      </c>
      <c r="R113" s="172" t="s">
        <v>423</v>
      </c>
      <c r="S113" s="132">
        <v>17</v>
      </c>
      <c r="T113" s="109" t="str">
        <f>'Table 1.2 complete'!E110</f>
        <v>-</v>
      </c>
      <c r="U113" s="109">
        <f>'Table 1.2 complete'!F110</f>
        <v>13.95</v>
      </c>
      <c r="V113" s="109" t="str">
        <f>'Table 1.2 complete'!G110</f>
        <v>-</v>
      </c>
      <c r="W113" s="109" t="str">
        <f>'Table 1.2 complete'!H110</f>
        <v>-</v>
      </c>
      <c r="X113" s="109">
        <f>'Table 1.3 complete'!E110</f>
        <v>0.54</v>
      </c>
      <c r="Y113" s="109" t="str">
        <f>'Table 1.3 complete'!F110</f>
        <v>-</v>
      </c>
      <c r="Z113" s="109" t="str">
        <f>'Table 1.3 complete'!G110</f>
        <v>-</v>
      </c>
      <c r="AA113" s="109" t="str">
        <f>'Table 1.3 complete'!H110</f>
        <v>-</v>
      </c>
      <c r="AB113" s="109" t="str">
        <f>'Table 1.3 complete'!I110</f>
        <v>-</v>
      </c>
      <c r="AC113" s="109">
        <f>'Table 1.3 complete'!J110</f>
        <v>1.75</v>
      </c>
      <c r="AD113" s="109" t="str">
        <f>'Table 1.3 complete'!K110</f>
        <v>-</v>
      </c>
      <c r="AE113" s="109" t="str">
        <f>'Table 1.3 complete'!L110</f>
        <v>-</v>
      </c>
      <c r="AF113" s="109" t="str">
        <f>'Table 1.3 complete'!M110</f>
        <v>-</v>
      </c>
      <c r="AG113" s="109" t="str">
        <f>'Table 1.3 complete'!N110</f>
        <v>-</v>
      </c>
      <c r="AH113" s="149">
        <f>SUM(T113:AG113)</f>
        <v>16.239999999999998</v>
      </c>
      <c r="AI113" s="106">
        <f>AH113-'Table 1.1 complete'!E110</f>
        <v>3.9999999999999147E-2</v>
      </c>
      <c r="AJ113" s="113">
        <f>AH113-'Table 1.2 complete'!K110</f>
        <v>0</v>
      </c>
      <c r="AK113" s="106">
        <f>'Table 1.2 complete'!K110-'Table 1.1 complete'!E110</f>
        <v>3.9999999999999147E-2</v>
      </c>
    </row>
    <row r="114" spans="2:37" x14ac:dyDescent="0.25">
      <c r="B114" s="374"/>
      <c r="C114" s="374"/>
      <c r="D114" s="374"/>
      <c r="E114" s="374"/>
      <c r="F114" s="374"/>
      <c r="G114" s="377"/>
      <c r="H114" s="96"/>
      <c r="I114" s="96"/>
      <c r="J114" s="96"/>
      <c r="K114" s="96"/>
      <c r="M114" s="96"/>
      <c r="O114" s="618">
        <f t="shared" si="13"/>
        <v>4.756226939434622E-2</v>
      </c>
      <c r="P114" s="484" t="str">
        <f>'Table 1.2 complete'!A111</f>
        <v>Malaysia</v>
      </c>
      <c r="Q114" s="203">
        <f>'Table 1.2 complete'!B111</f>
        <v>97</v>
      </c>
      <c r="R114" s="172" t="s">
        <v>423</v>
      </c>
      <c r="S114" s="132">
        <v>17</v>
      </c>
      <c r="T114" s="109" t="str">
        <f>'Table 1.2 complete'!E111</f>
        <v>-</v>
      </c>
      <c r="U114" s="109">
        <f>'Table 1.2 complete'!F111</f>
        <v>6.49</v>
      </c>
      <c r="V114" s="109" t="str">
        <f>'Table 1.2 complete'!G111</f>
        <v>-</v>
      </c>
      <c r="W114" s="109">
        <f>'Table 1.2 complete'!H111</f>
        <v>0</v>
      </c>
      <c r="X114" s="109">
        <f>'Table 1.3 complete'!E111</f>
        <v>29.9</v>
      </c>
      <c r="Y114" s="109" t="str">
        <f>'Table 1.3 complete'!F111</f>
        <v>-</v>
      </c>
      <c r="Z114" s="109" t="str">
        <f>'Table 1.3 complete'!G111</f>
        <v>-</v>
      </c>
      <c r="AA114" s="109" t="str">
        <f>'Table 1.3 complete'!H111</f>
        <v>-</v>
      </c>
      <c r="AB114" s="109">
        <f>'Table 1.3 complete'!I111</f>
        <v>2.0699999999999998</v>
      </c>
      <c r="AC114" s="109">
        <f>'Table 1.3 complete'!J111</f>
        <v>62.86</v>
      </c>
      <c r="AD114" s="109" t="str">
        <f>'Table 1.3 complete'!K111</f>
        <v>-</v>
      </c>
      <c r="AE114" s="109" t="str">
        <f>'Table 1.3 complete'!L111</f>
        <v>-</v>
      </c>
      <c r="AF114" s="109" t="str">
        <f>'Table 1.3 complete'!M111</f>
        <v>-</v>
      </c>
      <c r="AG114" s="109" t="str">
        <f>'Table 1.3 complete'!N111</f>
        <v>-</v>
      </c>
      <c r="AH114" s="149">
        <f>SUM(T114:AG114)</f>
        <v>101.32</v>
      </c>
      <c r="AI114" s="106">
        <f>AH114-'Table 1.1 complete'!E111</f>
        <v>1.9999999999996021E-2</v>
      </c>
      <c r="AJ114" s="113">
        <f>AH114-'Table 1.2 complete'!K111</f>
        <v>-1.0000000000005116E-2</v>
      </c>
      <c r="AK114" s="106">
        <f>'Table 1.2 complete'!K111-'Table 1.1 complete'!E111</f>
        <v>3.0000000000001137E-2</v>
      </c>
    </row>
    <row r="115" spans="2:37" x14ac:dyDescent="0.25">
      <c r="B115" s="374"/>
      <c r="C115" s="374"/>
      <c r="D115" s="374"/>
      <c r="E115" s="374"/>
      <c r="F115" s="374"/>
      <c r="G115" s="377"/>
      <c r="H115" s="96"/>
      <c r="I115" s="96"/>
      <c r="J115" s="96"/>
      <c r="K115" s="96"/>
      <c r="M115" s="96"/>
      <c r="O115" s="618">
        <f t="shared" si="13"/>
        <v>1.7979026034380778E-3</v>
      </c>
      <c r="P115" s="484" t="str">
        <f>'Table 1.2 complete'!A112</f>
        <v>Mongolia</v>
      </c>
      <c r="Q115" s="203">
        <f>'Table 1.2 complete'!B112</f>
        <v>98</v>
      </c>
      <c r="R115" s="172" t="s">
        <v>423</v>
      </c>
      <c r="S115" s="132">
        <v>17</v>
      </c>
      <c r="T115" s="109" t="str">
        <f>'Table 1.2 complete'!E112</f>
        <v>-</v>
      </c>
      <c r="U115" s="109" t="str">
        <f>'Table 1.2 complete'!F112</f>
        <v>-</v>
      </c>
      <c r="V115" s="109" t="str">
        <f>'Table 1.2 complete'!G112</f>
        <v>-</v>
      </c>
      <c r="W115" s="109" t="str">
        <f>'Table 1.2 complete'!H112</f>
        <v>-</v>
      </c>
      <c r="X115" s="109" t="str">
        <f>'Table 1.3 complete'!E112</f>
        <v>-</v>
      </c>
      <c r="Y115" s="109">
        <f>'Table 1.3 complete'!F112</f>
        <v>3.68</v>
      </c>
      <c r="Z115" s="109" t="str">
        <f>'Table 1.3 complete'!G112</f>
        <v>-</v>
      </c>
      <c r="AA115" s="109" t="str">
        <f>'Table 1.3 complete'!H112</f>
        <v>-</v>
      </c>
      <c r="AB115" s="109">
        <f>'Table 1.3 complete'!I112</f>
        <v>0.15</v>
      </c>
      <c r="AC115" s="109" t="str">
        <f>'Table 1.3 complete'!J112</f>
        <v>-</v>
      </c>
      <c r="AD115" s="109" t="str">
        <f>'Table 1.3 complete'!K112</f>
        <v>-</v>
      </c>
      <c r="AE115" s="109" t="str">
        <f>'Table 1.3 complete'!L112</f>
        <v>-</v>
      </c>
      <c r="AF115" s="109" t="str">
        <f>'Table 1.3 complete'!M112</f>
        <v>-</v>
      </c>
      <c r="AG115" s="109" t="str">
        <f>'Table 1.3 complete'!N112</f>
        <v>-</v>
      </c>
      <c r="AH115" s="149">
        <f>SUM(T115:AG115)</f>
        <v>3.83</v>
      </c>
      <c r="AI115" s="106">
        <f>AH115-'Table 1.1 complete'!E112</f>
        <v>3.0000000000000249E-2</v>
      </c>
      <c r="AJ115" s="113">
        <f>AH115-'Table 1.2 complete'!K112</f>
        <v>0</v>
      </c>
      <c r="AK115" s="106">
        <f>'Table 1.2 complete'!K112-'Table 1.1 complete'!E112</f>
        <v>3.0000000000000249E-2</v>
      </c>
    </row>
    <row r="116" spans="2:37" x14ac:dyDescent="0.25">
      <c r="B116" s="374"/>
      <c r="C116" s="374"/>
      <c r="D116" s="374"/>
      <c r="E116" s="374"/>
      <c r="F116" s="374"/>
      <c r="G116" s="377"/>
      <c r="H116" s="96"/>
      <c r="I116" s="96"/>
      <c r="J116" s="96"/>
      <c r="K116" s="96"/>
      <c r="M116" s="96"/>
      <c r="O116" s="618">
        <f t="shared" si="13"/>
        <v>7.5436801141644675E-3</v>
      </c>
      <c r="P116" s="484" t="str">
        <f>'Table 1.2 complete'!A113</f>
        <v>Mozambique</v>
      </c>
      <c r="Q116" s="203">
        <f>'Table 1.2 complete'!B113</f>
        <v>54</v>
      </c>
      <c r="R116" s="172" t="s">
        <v>423</v>
      </c>
      <c r="S116" s="132">
        <v>17</v>
      </c>
      <c r="T116" s="109" t="str">
        <f>'Table 1.2 complete'!E113</f>
        <v>-</v>
      </c>
      <c r="U116" s="109">
        <f>'Table 1.2 complete'!F113</f>
        <v>16.059999999999999</v>
      </c>
      <c r="V116" s="109" t="str">
        <f>'Table 1.2 complete'!G113</f>
        <v>-</v>
      </c>
      <c r="W116" s="109" t="str">
        <f>'Table 1.2 complete'!H113</f>
        <v>-</v>
      </c>
      <c r="X116" s="109" t="str">
        <f>'Table 1.3 complete'!E113</f>
        <v>-</v>
      </c>
      <c r="Y116" s="109" t="str">
        <f>'Table 1.3 complete'!F113</f>
        <v>-</v>
      </c>
      <c r="Z116" s="109" t="str">
        <f>'Table 1.3 complete'!G113</f>
        <v>-</v>
      </c>
      <c r="AA116" s="109" t="str">
        <f>'Table 1.3 complete'!H113</f>
        <v>-</v>
      </c>
      <c r="AB116" s="109">
        <f>'Table 1.3 complete'!I113</f>
        <v>0</v>
      </c>
      <c r="AC116" s="109">
        <f>'Table 1.3 complete'!J113</f>
        <v>0.01</v>
      </c>
      <c r="AD116" s="109" t="str">
        <f>'Table 1.3 complete'!K113</f>
        <v>-</v>
      </c>
      <c r="AE116" s="109" t="str">
        <f>'Table 1.3 complete'!L113</f>
        <v>-</v>
      </c>
      <c r="AF116" s="109" t="str">
        <f>'Table 1.3 complete'!M113</f>
        <v>-</v>
      </c>
      <c r="AG116" s="109" t="str">
        <f>'Table 1.3 complete'!N113</f>
        <v>-</v>
      </c>
      <c r="AH116" s="149">
        <f>SUM(T116:AG116)</f>
        <v>16.07</v>
      </c>
      <c r="AI116" s="106">
        <f>AH116-'Table 1.1 complete'!E113</f>
        <v>-3.0000000000001137E-2</v>
      </c>
      <c r="AJ116" s="113">
        <f>AH116-'Table 1.2 complete'!K113</f>
        <v>-9.9999999999980105E-3</v>
      </c>
      <c r="AK116" s="106">
        <f>'Table 1.2 complete'!K113-'Table 1.1 complete'!E113</f>
        <v>-2.0000000000003126E-2</v>
      </c>
    </row>
    <row r="117" spans="2:37" x14ac:dyDescent="0.25">
      <c r="B117" s="374"/>
      <c r="C117" s="374"/>
      <c r="D117" s="374"/>
      <c r="E117" s="374"/>
      <c r="F117" s="374"/>
      <c r="G117" s="377"/>
      <c r="H117" s="96"/>
      <c r="I117" s="96"/>
      <c r="J117" s="96"/>
      <c r="K117" s="96"/>
      <c r="M117" s="96"/>
      <c r="O117" s="618">
        <f t="shared" si="13"/>
        <v>3.051270736905354E-3</v>
      </c>
      <c r="P117" s="484" t="str">
        <f>'Table 1.2 complete'!A114</f>
        <v>Myanmar</v>
      </c>
      <c r="Q117" s="203">
        <f>'Table 1.2 complete'!B114</f>
        <v>99</v>
      </c>
      <c r="R117" s="172" t="s">
        <v>423</v>
      </c>
      <c r="S117" s="132">
        <v>17</v>
      </c>
      <c r="T117" s="109" t="str">
        <f>'Table 1.2 complete'!E114</f>
        <v>-</v>
      </c>
      <c r="U117" s="109">
        <f>'Table 1.2 complete'!F114</f>
        <v>3.51</v>
      </c>
      <c r="V117" s="109" t="str">
        <f>'Table 1.2 complete'!G114</f>
        <v>-</v>
      </c>
      <c r="W117" s="109" t="str">
        <f>'Table 1.2 complete'!H114</f>
        <v>-</v>
      </c>
      <c r="X117" s="109" t="str">
        <f>'Table 1.3 complete'!E114</f>
        <v>-</v>
      </c>
      <c r="Y117" s="109" t="str">
        <f>'Table 1.3 complete'!F114</f>
        <v>-</v>
      </c>
      <c r="Z117" s="109" t="str">
        <f>'Table 1.3 complete'!G114</f>
        <v>-</v>
      </c>
      <c r="AA117" s="109" t="str">
        <f>'Table 1.3 complete'!H114</f>
        <v>-</v>
      </c>
      <c r="AB117" s="109">
        <f>'Table 1.3 complete'!I114</f>
        <v>0.28999999999999998</v>
      </c>
      <c r="AC117" s="109">
        <f>'Table 1.3 complete'!J114</f>
        <v>2.7</v>
      </c>
      <c r="AD117" s="109" t="str">
        <f>'Table 1.3 complete'!K114</f>
        <v>-</v>
      </c>
      <c r="AE117" s="109" t="str">
        <f>'Table 1.3 complete'!L114</f>
        <v>-</v>
      </c>
      <c r="AF117" s="109" t="str">
        <f>'Table 1.3 complete'!M114</f>
        <v>-</v>
      </c>
      <c r="AG117" s="109" t="str">
        <f>'Table 1.3 complete'!N114</f>
        <v>-</v>
      </c>
      <c r="AH117" s="149">
        <f>SUM(T117:AG117)</f>
        <v>6.5</v>
      </c>
      <c r="AI117" s="106">
        <f>AH117-'Table 1.1 complete'!E114</f>
        <v>0</v>
      </c>
      <c r="AJ117" s="113">
        <f>AH117-'Table 1.2 complete'!K114</f>
        <v>0</v>
      </c>
      <c r="AK117" s="106">
        <f>'Table 1.2 complete'!K114-'Table 1.1 complete'!E114</f>
        <v>0</v>
      </c>
    </row>
    <row r="118" spans="2:37" x14ac:dyDescent="0.25">
      <c r="B118" s="374"/>
      <c r="C118" s="374"/>
      <c r="D118" s="374"/>
      <c r="E118" s="374"/>
      <c r="F118" s="374"/>
      <c r="G118" s="377"/>
      <c r="H118" s="96"/>
      <c r="I118" s="96"/>
      <c r="J118" s="96"/>
      <c r="K118" s="96"/>
      <c r="M118" s="96"/>
      <c r="O118" s="618">
        <f t="shared" si="13"/>
        <v>6.0555988470890876E-4</v>
      </c>
      <c r="P118" s="484" t="str">
        <f>'Table 1.2 complete'!A115</f>
        <v>N. Antilles</v>
      </c>
      <c r="Q118" s="203">
        <f>'Table 1.2 complete'!B115</f>
        <v>81</v>
      </c>
      <c r="R118" s="172" t="s">
        <v>423</v>
      </c>
      <c r="S118" s="132">
        <v>17</v>
      </c>
      <c r="T118" s="109" t="str">
        <f>'Table 1.2 complete'!E115</f>
        <v>-</v>
      </c>
      <c r="U118" s="109" t="str">
        <f>'Table 1.2 complete'!F115</f>
        <v>-</v>
      </c>
      <c r="V118" s="109" t="str">
        <f>'Table 1.2 complete'!G115</f>
        <v>-</v>
      </c>
      <c r="W118" s="109" t="str">
        <f>'Table 1.2 complete'!H115</f>
        <v>-</v>
      </c>
      <c r="X118" s="109" t="str">
        <f>'Table 1.3 complete'!E115</f>
        <v>-</v>
      </c>
      <c r="Y118" s="109" t="str">
        <f>'Table 1.3 complete'!F115</f>
        <v>-</v>
      </c>
      <c r="Z118" s="109" t="str">
        <f>'Table 1.3 complete'!G115</f>
        <v>-</v>
      </c>
      <c r="AA118" s="109" t="str">
        <f>'Table 1.3 complete'!H115</f>
        <v>-</v>
      </c>
      <c r="AB118" s="109">
        <f>'Table 1.3 complete'!I115</f>
        <v>1.29</v>
      </c>
      <c r="AC118" s="109" t="str">
        <f>'Table 1.3 complete'!J115</f>
        <v>-</v>
      </c>
      <c r="AD118" s="109" t="str">
        <f>'Table 1.3 complete'!K115</f>
        <v>-</v>
      </c>
      <c r="AE118" s="109" t="str">
        <f>'Table 1.3 complete'!L115</f>
        <v>-</v>
      </c>
      <c r="AF118" s="109" t="str">
        <f>'Table 1.3 complete'!M115</f>
        <v>-</v>
      </c>
      <c r="AG118" s="109" t="str">
        <f>'Table 1.3 complete'!N115</f>
        <v>-</v>
      </c>
      <c r="AH118" s="149">
        <f>SUM(T118:AG118)</f>
        <v>1.29</v>
      </c>
      <c r="AI118" s="106">
        <f>AH118-'Table 1.1 complete'!E115</f>
        <v>-1.0000000000000009E-2</v>
      </c>
      <c r="AJ118" s="113">
        <f>AH118-'Table 1.2 complete'!K115</f>
        <v>0</v>
      </c>
      <c r="AK118" s="106">
        <f>'Table 1.2 complete'!K115-'Table 1.1 complete'!E115</f>
        <v>-1.0000000000000009E-2</v>
      </c>
    </row>
    <row r="119" spans="2:37" x14ac:dyDescent="0.25">
      <c r="B119" s="374"/>
      <c r="C119" s="374"/>
      <c r="D119" s="374"/>
      <c r="E119" s="374"/>
      <c r="F119" s="374"/>
      <c r="G119" s="377"/>
      <c r="H119" s="96"/>
      <c r="I119" s="96"/>
      <c r="J119" s="96"/>
      <c r="K119" s="96"/>
      <c r="M119" s="96"/>
      <c r="O119" s="618">
        <f t="shared" si="13"/>
        <v>7.9333039159539215E-4</v>
      </c>
      <c r="P119" s="484" t="str">
        <f>'Table 1.2 complete'!A116</f>
        <v>Namibia</v>
      </c>
      <c r="Q119" s="203">
        <f>'Table 1.2 complete'!B116</f>
        <v>55</v>
      </c>
      <c r="R119" s="172" t="s">
        <v>423</v>
      </c>
      <c r="S119" s="132">
        <v>17</v>
      </c>
      <c r="T119" s="109" t="str">
        <f>'Table 1.2 complete'!E116</f>
        <v>-</v>
      </c>
      <c r="U119" s="109">
        <f>'Table 1.2 complete'!F116</f>
        <v>1.56</v>
      </c>
      <c r="V119" s="109" t="str">
        <f>'Table 1.2 complete'!G116</f>
        <v>-</v>
      </c>
      <c r="W119" s="109" t="str">
        <f>'Table 1.2 complete'!H116</f>
        <v>-</v>
      </c>
      <c r="X119" s="109">
        <f>'Table 1.3 complete'!E116</f>
        <v>0.12</v>
      </c>
      <c r="Y119" s="109" t="str">
        <f>'Table 1.3 complete'!F116</f>
        <v>-</v>
      </c>
      <c r="Z119" s="109" t="str">
        <f>'Table 1.3 complete'!G116</f>
        <v>-</v>
      </c>
      <c r="AA119" s="109" t="str">
        <f>'Table 1.3 complete'!H116</f>
        <v>-</v>
      </c>
      <c r="AB119" s="109">
        <f>'Table 1.3 complete'!I116</f>
        <v>0.01</v>
      </c>
      <c r="AC119" s="109" t="str">
        <f>'Table 1.3 complete'!J116</f>
        <v>-</v>
      </c>
      <c r="AD119" s="109" t="str">
        <f>'Table 1.3 complete'!K116</f>
        <v>-</v>
      </c>
      <c r="AE119" s="109" t="str">
        <f>'Table 1.3 complete'!L116</f>
        <v>-</v>
      </c>
      <c r="AF119" s="109" t="str">
        <f>'Table 1.3 complete'!M116</f>
        <v>-</v>
      </c>
      <c r="AG119" s="109" t="str">
        <f>'Table 1.3 complete'!N116</f>
        <v>-</v>
      </c>
      <c r="AH119" s="149">
        <f>SUM(T119:AG119)</f>
        <v>1.6900000000000002</v>
      </c>
      <c r="AI119" s="106">
        <f>AH119-'Table 1.1 complete'!E116</f>
        <v>-9.9999999999997868E-3</v>
      </c>
      <c r="AJ119" s="113">
        <f>AH119-'Table 1.2 complete'!K116</f>
        <v>0</v>
      </c>
      <c r="AK119" s="106">
        <f>'Table 1.2 complete'!K116-'Table 1.1 complete'!E116</f>
        <v>-1.0000000000000009E-2</v>
      </c>
    </row>
    <row r="120" spans="2:37" x14ac:dyDescent="0.25">
      <c r="B120" s="374"/>
      <c r="C120" s="374"/>
      <c r="D120" s="374"/>
      <c r="E120" s="374"/>
      <c r="F120" s="374"/>
      <c r="G120" s="377"/>
      <c r="H120" s="96"/>
      <c r="I120" s="96"/>
      <c r="J120" s="96"/>
      <c r="K120" s="96"/>
      <c r="M120" s="96"/>
      <c r="O120" s="618">
        <f t="shared" si="13"/>
        <v>1.3190878108775451E-3</v>
      </c>
      <c r="P120" s="484" t="str">
        <f>'Table 1.2 complete'!A117</f>
        <v>Nepal</v>
      </c>
      <c r="Q120" s="203">
        <f>'Table 1.2 complete'!B117</f>
        <v>100</v>
      </c>
      <c r="R120" s="172" t="s">
        <v>423</v>
      </c>
      <c r="S120" s="132">
        <v>17</v>
      </c>
      <c r="T120" s="109" t="str">
        <f>'Table 1.2 complete'!E117</f>
        <v>-</v>
      </c>
      <c r="U120" s="109">
        <f>'Table 1.2 complete'!F117</f>
        <v>2.8</v>
      </c>
      <c r="V120" s="109" t="str">
        <f>'Table 1.2 complete'!G117</f>
        <v>-</v>
      </c>
      <c r="W120" s="109" t="str">
        <f>'Table 1.2 complete'!H117</f>
        <v>-</v>
      </c>
      <c r="X120" s="109" t="str">
        <f>'Table 1.3 complete'!E117</f>
        <v>-</v>
      </c>
      <c r="Y120" s="109" t="str">
        <f>'Table 1.3 complete'!F117</f>
        <v>-</v>
      </c>
      <c r="Z120" s="109" t="str">
        <f>'Table 1.3 complete'!G117</f>
        <v>-</v>
      </c>
      <c r="AA120" s="109" t="str">
        <f>'Table 1.3 complete'!H117</f>
        <v>-</v>
      </c>
      <c r="AB120" s="109">
        <f>'Table 1.3 complete'!I117</f>
        <v>0.01</v>
      </c>
      <c r="AC120" s="109" t="str">
        <f>'Table 1.3 complete'!J117</f>
        <v>-</v>
      </c>
      <c r="AD120" s="109" t="str">
        <f>'Table 1.3 complete'!K117</f>
        <v>-</v>
      </c>
      <c r="AE120" s="109" t="str">
        <f>'Table 1.3 complete'!L117</f>
        <v>-</v>
      </c>
      <c r="AF120" s="109" t="str">
        <f>'Table 1.3 complete'!M117</f>
        <v>-</v>
      </c>
      <c r="AG120" s="109" t="str">
        <f>'Table 1.3 complete'!N117</f>
        <v>-</v>
      </c>
      <c r="AH120" s="149">
        <f>SUM(T120:AG120)</f>
        <v>2.8099999999999996</v>
      </c>
      <c r="AI120" s="106">
        <f>AH120-'Table 1.1 complete'!E117</f>
        <v>9.9999999999997868E-3</v>
      </c>
      <c r="AJ120" s="113">
        <f>AH120-'Table 1.2 complete'!K117</f>
        <v>0</v>
      </c>
      <c r="AK120" s="106">
        <f>'Table 1.2 complete'!K117-'Table 1.1 complete'!E117</f>
        <v>1.0000000000000231E-2</v>
      </c>
    </row>
    <row r="121" spans="2:37" x14ac:dyDescent="0.25">
      <c r="B121" s="374"/>
      <c r="C121" s="374"/>
      <c r="D121" s="374"/>
      <c r="E121" s="374"/>
      <c r="F121" s="374"/>
      <c r="G121" s="377"/>
      <c r="H121" s="96"/>
      <c r="I121" s="96"/>
      <c r="J121" s="96"/>
      <c r="K121" s="96"/>
      <c r="M121" s="96"/>
      <c r="O121" s="618">
        <f t="shared" si="13"/>
        <v>1.5068583177640287E-3</v>
      </c>
      <c r="P121" s="484" t="str">
        <f>'Table 1.2 complete'!A118</f>
        <v>Nicaragua</v>
      </c>
      <c r="Q121" s="203">
        <f>'Table 1.2 complete'!B118</f>
        <v>82</v>
      </c>
      <c r="R121" s="172" t="s">
        <v>423</v>
      </c>
      <c r="S121" s="132">
        <v>17</v>
      </c>
      <c r="T121" s="109" t="str">
        <f>'Table 1.2 complete'!E118</f>
        <v>-</v>
      </c>
      <c r="U121" s="109">
        <f>'Table 1.2 complete'!F118</f>
        <v>0.31</v>
      </c>
      <c r="V121" s="109">
        <f>'Table 1.2 complete'!G118</f>
        <v>0.24</v>
      </c>
      <c r="W121" s="109" t="str">
        <f>'Table 1.2 complete'!H118</f>
        <v>-</v>
      </c>
      <c r="X121" s="109" t="str">
        <f>'Table 1.3 complete'!E118</f>
        <v>-</v>
      </c>
      <c r="Y121" s="109" t="str">
        <f>'Table 1.3 complete'!F118</f>
        <v>-</v>
      </c>
      <c r="Z121" s="109" t="str">
        <f>'Table 1.3 complete'!G118</f>
        <v>-</v>
      </c>
      <c r="AA121" s="109" t="str">
        <f>'Table 1.3 complete'!H118</f>
        <v>-</v>
      </c>
      <c r="AB121" s="109">
        <f>'Table 1.3 complete'!I118</f>
        <v>2.2799999999999998</v>
      </c>
      <c r="AC121" s="109" t="str">
        <f>'Table 1.3 complete'!J118</f>
        <v>-</v>
      </c>
      <c r="AD121" s="109">
        <f>'Table 1.3 complete'!K118</f>
        <v>0.38</v>
      </c>
      <c r="AE121" s="109" t="str">
        <f>'Table 1.3 complete'!L118</f>
        <v>-</v>
      </c>
      <c r="AF121" s="109" t="str">
        <f>'Table 1.3 complete'!M118</f>
        <v>-</v>
      </c>
      <c r="AG121" s="109" t="str">
        <f>'Table 1.3 complete'!N118</f>
        <v>-</v>
      </c>
      <c r="AH121" s="149">
        <f>SUM(T121:AG121)</f>
        <v>3.21</v>
      </c>
      <c r="AI121" s="106">
        <f>AH121-'Table 1.1 complete'!E118</f>
        <v>9.9999999999997868E-3</v>
      </c>
      <c r="AJ121" s="113">
        <f>AH121-'Table 1.2 complete'!K118</f>
        <v>0</v>
      </c>
      <c r="AK121" s="106">
        <f>'Table 1.2 complete'!K118-'Table 1.1 complete'!E118</f>
        <v>9.9999999999997868E-3</v>
      </c>
    </row>
    <row r="122" spans="2:37" x14ac:dyDescent="0.25">
      <c r="B122" s="374"/>
      <c r="C122" s="374"/>
      <c r="D122" s="374"/>
      <c r="E122" s="374"/>
      <c r="F122" s="374"/>
      <c r="G122" s="377"/>
      <c r="H122" s="96"/>
      <c r="I122" s="96"/>
      <c r="J122" s="96"/>
      <c r="K122" s="96"/>
      <c r="M122" s="96"/>
      <c r="O122" s="618">
        <f t="shared" si="13"/>
        <v>5.7880258747758477E-3</v>
      </c>
      <c r="P122" s="484" t="str">
        <f>'Table 1.2 complete'!A119</f>
        <v>Oth. Lat. America</v>
      </c>
      <c r="Q122" s="203">
        <f>'Table 1.2 complete'!B119</f>
        <v>89</v>
      </c>
      <c r="R122" s="172" t="s">
        <v>423</v>
      </c>
      <c r="S122" s="132">
        <v>17</v>
      </c>
      <c r="T122" s="109" t="str">
        <f>'Table 1.2 complete'!E119</f>
        <v>-</v>
      </c>
      <c r="U122" s="109">
        <f>'Table 1.2 complete'!F119</f>
        <v>1.04</v>
      </c>
      <c r="V122" s="109" t="str">
        <f>'Table 1.2 complete'!G119</f>
        <v>-</v>
      </c>
      <c r="W122" s="109" t="str">
        <f>'Table 1.2 complete'!H119</f>
        <v>-</v>
      </c>
      <c r="X122" s="109" t="str">
        <f>'Table 1.3 complete'!E119</f>
        <v>-</v>
      </c>
      <c r="Y122" s="109" t="str">
        <f>'Table 1.3 complete'!F119</f>
        <v>-</v>
      </c>
      <c r="Z122" s="109" t="str">
        <f>'Table 1.3 complete'!G119</f>
        <v>-</v>
      </c>
      <c r="AA122" s="109" t="str">
        <f>'Table 1.3 complete'!H119</f>
        <v>-</v>
      </c>
      <c r="AB122" s="109">
        <f>'Table 1.3 complete'!I119</f>
        <v>11.18</v>
      </c>
      <c r="AC122" s="109">
        <f>'Table 1.3 complete'!J119</f>
        <v>0.01</v>
      </c>
      <c r="AD122" s="109">
        <f>'Table 1.3 complete'!K119</f>
        <v>0.1</v>
      </c>
      <c r="AE122" s="109" t="str">
        <f>'Table 1.3 complete'!L119</f>
        <v>-</v>
      </c>
      <c r="AF122" s="109" t="str">
        <f>'Table 1.3 complete'!M119</f>
        <v>-</v>
      </c>
      <c r="AG122" s="109" t="str">
        <f>'Table 1.3 complete'!N119</f>
        <v>-</v>
      </c>
      <c r="AH122" s="149">
        <f>SUM(T122:AG122)</f>
        <v>12.329999999999998</v>
      </c>
      <c r="AI122" s="106">
        <f>AH122-'Table 1.1 complete'!E119</f>
        <v>2.9999999999997584E-2</v>
      </c>
      <c r="AJ122" s="113">
        <f>AH122-'Table 1.2 complete'!K119</f>
        <v>-1.0000000000001563E-2</v>
      </c>
      <c r="AK122" s="106">
        <f>'Table 1.2 complete'!K119-'Table 1.1 complete'!E119</f>
        <v>3.9999999999999147E-2</v>
      </c>
    </row>
    <row r="123" spans="2:37" x14ac:dyDescent="0.25">
      <c r="B123" s="374"/>
      <c r="C123" s="374"/>
      <c r="D123" s="374"/>
      <c r="E123" s="374"/>
      <c r="F123" s="374"/>
      <c r="G123" s="377"/>
      <c r="H123" s="96"/>
      <c r="I123" s="96"/>
      <c r="J123" s="96"/>
      <c r="K123" s="96"/>
      <c r="M123" s="96"/>
      <c r="O123" s="618">
        <f t="shared" si="13"/>
        <v>6.4874710129279988E-3</v>
      </c>
      <c r="P123" s="484" t="str">
        <f>'Table 1.2 complete'!A120</f>
        <v>Other Africa</v>
      </c>
      <c r="Q123" s="203">
        <f>'Table 1.2 complete'!B120</f>
        <v>65</v>
      </c>
      <c r="R123" s="172" t="s">
        <v>423</v>
      </c>
      <c r="S123" s="132">
        <v>17</v>
      </c>
      <c r="T123" s="109" t="str">
        <f>'Table 1.2 complete'!E120</f>
        <v>-</v>
      </c>
      <c r="U123" s="109">
        <f>'Table 1.2 complete'!F120</f>
        <v>5.45</v>
      </c>
      <c r="V123" s="109" t="str">
        <f>'Table 1.2 complete'!G120</f>
        <v>-</v>
      </c>
      <c r="W123" s="109">
        <f>'Table 1.2 complete'!H120</f>
        <v>0.01</v>
      </c>
      <c r="X123" s="109">
        <f>'Table 1.3 complete'!E120</f>
        <v>1.89</v>
      </c>
      <c r="Y123" s="109" t="str">
        <f>'Table 1.3 complete'!F120</f>
        <v>-</v>
      </c>
      <c r="Z123" s="109" t="str">
        <f>'Table 1.3 complete'!G120</f>
        <v>-</v>
      </c>
      <c r="AA123" s="109" t="str">
        <f>'Table 1.3 complete'!H120</f>
        <v>-</v>
      </c>
      <c r="AB123" s="109">
        <f>'Table 1.3 complete'!I120</f>
        <v>6.47</v>
      </c>
      <c r="AC123" s="109" t="str">
        <f>'Table 1.3 complete'!J120</f>
        <v>-</v>
      </c>
      <c r="AD123" s="109" t="str">
        <f>'Table 1.3 complete'!K120</f>
        <v>-</v>
      </c>
      <c r="AE123" s="109" t="str">
        <f>'Table 1.3 complete'!L120</f>
        <v>-</v>
      </c>
      <c r="AF123" s="109" t="str">
        <f>'Table 1.3 complete'!M120</f>
        <v>-</v>
      </c>
      <c r="AG123" s="109" t="str">
        <f>'Table 1.3 complete'!N120</f>
        <v>-</v>
      </c>
      <c r="AH123" s="149">
        <f>SUM(T123:AG123)</f>
        <v>13.82</v>
      </c>
      <c r="AI123" s="106">
        <f>AH123-'Table 1.1 complete'!E120</f>
        <v>1.9999999999999574E-2</v>
      </c>
      <c r="AJ123" s="113">
        <f>AH123-'Table 1.2 complete'!K120</f>
        <v>0</v>
      </c>
      <c r="AK123" s="106">
        <f>'Table 1.2 complete'!K120-'Table 1.1 complete'!E120</f>
        <v>1.9999999999999574E-2</v>
      </c>
    </row>
    <row r="124" spans="2:37" x14ac:dyDescent="0.25">
      <c r="B124" s="374"/>
      <c r="C124" s="374"/>
      <c r="D124" s="374"/>
      <c r="E124" s="374"/>
      <c r="F124" s="374"/>
      <c r="G124" s="377"/>
      <c r="H124" s="96"/>
      <c r="I124" s="96"/>
      <c r="J124" s="96"/>
      <c r="K124" s="96"/>
      <c r="M124" s="96"/>
      <c r="O124" s="618">
        <f t="shared" si="13"/>
        <v>8.5811121647122891E-3</v>
      </c>
      <c r="P124" s="484" t="str">
        <f>'Table 1.2 complete'!A121</f>
        <v>Other Asia</v>
      </c>
      <c r="Q124" s="203">
        <f>'Table 1.2 complete'!B121</f>
        <v>108</v>
      </c>
      <c r="R124" s="172" t="s">
        <v>423</v>
      </c>
      <c r="S124" s="132">
        <v>17</v>
      </c>
      <c r="T124" s="109" t="str">
        <f>'Table 1.2 complete'!E121</f>
        <v>-</v>
      </c>
      <c r="U124" s="109">
        <f>'Table 1.2 complete'!F121</f>
        <v>9.8000000000000007</v>
      </c>
      <c r="V124" s="109" t="str">
        <f>'Table 1.2 complete'!G121</f>
        <v>-</v>
      </c>
      <c r="W124" s="109" t="str">
        <f>'Table 1.2 complete'!H121</f>
        <v>-</v>
      </c>
      <c r="X124" s="109" t="str">
        <f>'Table 1.3 complete'!E121</f>
        <v>-</v>
      </c>
      <c r="Y124" s="109" t="str">
        <f>'Table 1.3 complete'!F121</f>
        <v>-</v>
      </c>
      <c r="Z124" s="109" t="str">
        <f>'Table 1.3 complete'!G121</f>
        <v>-</v>
      </c>
      <c r="AA124" s="109" t="str">
        <f>'Table 1.3 complete'!H121</f>
        <v>-</v>
      </c>
      <c r="AB124" s="109">
        <f>'Table 1.3 complete'!I121</f>
        <v>8.48</v>
      </c>
      <c r="AC124" s="109" t="str">
        <f>'Table 1.3 complete'!J121</f>
        <v>-</v>
      </c>
      <c r="AD124" s="109" t="str">
        <f>'Table 1.3 complete'!K121</f>
        <v>-</v>
      </c>
      <c r="AE124" s="109" t="str">
        <f>'Table 1.3 complete'!L121</f>
        <v>-</v>
      </c>
      <c r="AF124" s="109" t="str">
        <f>'Table 1.3 complete'!M121</f>
        <v>-</v>
      </c>
      <c r="AG124" s="109" t="str">
        <f>'Table 1.3 complete'!N121</f>
        <v>-</v>
      </c>
      <c r="AH124" s="149">
        <f>SUM(T124:AG124)</f>
        <v>18.28</v>
      </c>
      <c r="AI124" s="106">
        <f>AH124-'Table 1.1 complete'!E121</f>
        <v>-1.9999999999999574E-2</v>
      </c>
      <c r="AJ124" s="113">
        <f>AH124-'Table 1.2 complete'!K121</f>
        <v>0</v>
      </c>
      <c r="AK124" s="106">
        <f>'Table 1.2 complete'!K121-'Table 1.1 complete'!E121</f>
        <v>-1.9999999999999574E-2</v>
      </c>
    </row>
    <row r="125" spans="2:37" x14ac:dyDescent="0.25">
      <c r="B125" s="374"/>
      <c r="C125" s="374"/>
      <c r="D125" s="374"/>
      <c r="E125" s="374"/>
      <c r="F125" s="374"/>
      <c r="G125" s="377"/>
      <c r="H125" s="96"/>
      <c r="I125" s="96"/>
      <c r="J125" s="96"/>
      <c r="K125" s="96"/>
      <c r="M125" s="96"/>
      <c r="O125" s="618">
        <f t="shared" si="13"/>
        <v>4.4924093772591135E-2</v>
      </c>
      <c r="P125" s="484" t="str">
        <f>'Table 1.2 complete'!A122</f>
        <v>Pakistan</v>
      </c>
      <c r="Q125" s="203">
        <f>'Table 1.2 complete'!B122</f>
        <v>101</v>
      </c>
      <c r="R125" s="172" t="s">
        <v>423</v>
      </c>
      <c r="S125" s="132">
        <v>17</v>
      </c>
      <c r="T125" s="109">
        <f>'Table 1.2 complete'!E122</f>
        <v>3.08</v>
      </c>
      <c r="U125" s="109">
        <f>'Table 1.2 complete'!F122</f>
        <v>28.71</v>
      </c>
      <c r="V125" s="109" t="str">
        <f>'Table 1.2 complete'!G122</f>
        <v>-</v>
      </c>
      <c r="W125" s="109" t="str">
        <f>'Table 1.2 complete'!H122</f>
        <v>-</v>
      </c>
      <c r="X125" s="109">
        <f>'Table 1.3 complete'!E122</f>
        <v>0.14000000000000001</v>
      </c>
      <c r="Y125" s="109" t="str">
        <f>'Table 1.3 complete'!F122</f>
        <v>-</v>
      </c>
      <c r="Z125" s="109" t="str">
        <f>'Table 1.3 complete'!G122</f>
        <v>-</v>
      </c>
      <c r="AA125" s="109" t="str">
        <f>'Table 1.3 complete'!H122</f>
        <v>-</v>
      </c>
      <c r="AB125" s="109">
        <f>'Table 1.3 complete'!I122</f>
        <v>30.85</v>
      </c>
      <c r="AC125" s="109">
        <f>'Table 1.3 complete'!J122</f>
        <v>32.92</v>
      </c>
      <c r="AD125" s="109" t="str">
        <f>'Table 1.3 complete'!K122</f>
        <v>-</v>
      </c>
      <c r="AE125" s="109" t="str">
        <f>'Table 1.3 complete'!L122</f>
        <v>-</v>
      </c>
      <c r="AF125" s="109" t="str">
        <f>'Table 1.3 complete'!M122</f>
        <v>-</v>
      </c>
      <c r="AG125" s="109" t="str">
        <f>'Table 1.3 complete'!N122</f>
        <v>-</v>
      </c>
      <c r="AH125" s="149">
        <f>SUM(T125:AG125)</f>
        <v>95.7</v>
      </c>
      <c r="AI125" s="106">
        <f>AH125-'Table 1.1 complete'!E122</f>
        <v>0</v>
      </c>
      <c r="AJ125" s="113">
        <f>AH125-'Table 1.2 complete'!K122</f>
        <v>1.0000000000005116E-2</v>
      </c>
      <c r="AK125" s="106">
        <f>'Table 1.2 complete'!K122-'Table 1.1 complete'!E122</f>
        <v>-1.0000000000005116E-2</v>
      </c>
    </row>
    <row r="126" spans="2:37" x14ac:dyDescent="0.25">
      <c r="B126" s="374"/>
      <c r="C126" s="374"/>
      <c r="D126" s="374"/>
      <c r="E126" s="374"/>
      <c r="F126" s="374"/>
      <c r="G126" s="377"/>
      <c r="H126" s="96"/>
      <c r="I126" s="96"/>
      <c r="J126" s="96"/>
      <c r="K126" s="96"/>
      <c r="M126" s="96"/>
      <c r="O126" s="618">
        <f t="shared" si="13"/>
        <v>3.0418822115610296E-3</v>
      </c>
      <c r="P126" s="484" t="str">
        <f>'Table 1.2 complete'!A123</f>
        <v>Panama</v>
      </c>
      <c r="Q126" s="203">
        <f>'Table 1.2 complete'!B123</f>
        <v>83</v>
      </c>
      <c r="R126" s="172" t="s">
        <v>423</v>
      </c>
      <c r="S126" s="132">
        <v>17</v>
      </c>
      <c r="T126" s="109" t="str">
        <f>'Table 1.2 complete'!E123</f>
        <v>-</v>
      </c>
      <c r="U126" s="109">
        <f>'Table 1.2 complete'!F123</f>
        <v>3.67</v>
      </c>
      <c r="V126" s="109" t="str">
        <f>'Table 1.2 complete'!G123</f>
        <v>-</v>
      </c>
      <c r="W126" s="109" t="str">
        <f>'Table 1.2 complete'!H123</f>
        <v>-</v>
      </c>
      <c r="X126" s="109" t="str">
        <f>'Table 1.3 complete'!E123</f>
        <v>-</v>
      </c>
      <c r="Y126" s="109" t="str">
        <f>'Table 1.3 complete'!F123</f>
        <v>-</v>
      </c>
      <c r="Z126" s="109" t="str">
        <f>'Table 1.3 complete'!G123</f>
        <v>-</v>
      </c>
      <c r="AA126" s="109" t="str">
        <f>'Table 1.3 complete'!H123</f>
        <v>-</v>
      </c>
      <c r="AB126" s="109">
        <f>'Table 1.3 complete'!I123</f>
        <v>2.79</v>
      </c>
      <c r="AC126" s="109" t="str">
        <f>'Table 1.3 complete'!J123</f>
        <v>-</v>
      </c>
      <c r="AD126" s="109">
        <f>'Table 1.3 complete'!K123</f>
        <v>0.02</v>
      </c>
      <c r="AE126" s="109" t="str">
        <f>'Table 1.3 complete'!L123</f>
        <v>-</v>
      </c>
      <c r="AF126" s="109" t="str">
        <f>'Table 1.3 complete'!M123</f>
        <v>-</v>
      </c>
      <c r="AG126" s="109" t="str">
        <f>'Table 1.3 complete'!N123</f>
        <v>-</v>
      </c>
      <c r="AH126" s="149">
        <f>SUM(T126:AG126)</f>
        <v>6.4799999999999995</v>
      </c>
      <c r="AI126" s="106">
        <f>AH126-'Table 1.1 complete'!E123</f>
        <v>-2.0000000000000462E-2</v>
      </c>
      <c r="AJ126" s="113">
        <f>AH126-'Table 1.2 complete'!K123</f>
        <v>0</v>
      </c>
      <c r="AK126" s="106">
        <f>'Table 1.2 complete'!K123-'Table 1.1 complete'!E123</f>
        <v>-1.9999999999999574E-2</v>
      </c>
    </row>
    <row r="127" spans="2:37" x14ac:dyDescent="0.25">
      <c r="B127" s="374"/>
      <c r="C127" s="374"/>
      <c r="D127" s="374"/>
      <c r="E127" s="374"/>
      <c r="F127" s="374"/>
      <c r="G127" s="377"/>
      <c r="H127" s="96"/>
      <c r="I127" s="96"/>
      <c r="J127" s="96"/>
      <c r="K127" s="96"/>
      <c r="M127" s="96"/>
      <c r="O127" s="618">
        <f t="shared" si="13"/>
        <v>2.5222273337526871E-2</v>
      </c>
      <c r="P127" s="484" t="str">
        <f>'Table 1.2 complete'!A124</f>
        <v>Paraguay</v>
      </c>
      <c r="Q127" s="203">
        <f>'Table 1.2 complete'!B124</f>
        <v>84</v>
      </c>
      <c r="R127" s="172" t="s">
        <v>423</v>
      </c>
      <c r="S127" s="132">
        <v>17</v>
      </c>
      <c r="T127" s="109" t="str">
        <f>'Table 1.2 complete'!E124</f>
        <v>-</v>
      </c>
      <c r="U127" s="109">
        <f>'Table 1.2 complete'!F124</f>
        <v>53.73</v>
      </c>
      <c r="V127" s="109" t="str">
        <f>'Table 1.2 complete'!G124</f>
        <v>-</v>
      </c>
      <c r="W127" s="109" t="str">
        <f>'Table 1.2 complete'!H124</f>
        <v>-</v>
      </c>
      <c r="X127" s="109" t="str">
        <f>'Table 1.3 complete'!E124</f>
        <v>-</v>
      </c>
      <c r="Y127" s="109" t="str">
        <f>'Table 1.3 complete'!F124</f>
        <v>-</v>
      </c>
      <c r="Z127" s="109" t="str">
        <f>'Table 1.3 complete'!G124</f>
        <v>-</v>
      </c>
      <c r="AA127" s="109" t="str">
        <f>'Table 1.3 complete'!H124</f>
        <v>-</v>
      </c>
      <c r="AB127" s="109" t="str">
        <f>'Table 1.3 complete'!I124</f>
        <v>-</v>
      </c>
      <c r="AC127" s="109" t="str">
        <f>'Table 1.3 complete'!J124</f>
        <v>-</v>
      </c>
      <c r="AD127" s="109" t="str">
        <f>'Table 1.3 complete'!K124</f>
        <v>-</v>
      </c>
      <c r="AE127" s="109" t="str">
        <f>'Table 1.3 complete'!L124</f>
        <v>-</v>
      </c>
      <c r="AF127" s="109" t="str">
        <f>'Table 1.3 complete'!M124</f>
        <v>-</v>
      </c>
      <c r="AG127" s="109" t="str">
        <f>'Table 1.3 complete'!N124</f>
        <v>-</v>
      </c>
      <c r="AH127" s="149">
        <f>SUM(T127:AG127)</f>
        <v>53.73</v>
      </c>
      <c r="AI127" s="106">
        <f>AH127-'Table 1.1 complete'!E124</f>
        <v>2.9999999999994031E-2</v>
      </c>
      <c r="AJ127" s="113">
        <f>AH127-'Table 1.2 complete'!K124</f>
        <v>0</v>
      </c>
      <c r="AK127" s="106">
        <f>'Table 1.2 complete'!K124-'Table 1.1 complete'!E124</f>
        <v>2.9999999999994031E-2</v>
      </c>
    </row>
    <row r="128" spans="2:37" x14ac:dyDescent="0.25">
      <c r="B128" s="374"/>
      <c r="C128" s="374"/>
      <c r="D128" s="374"/>
      <c r="E128" s="374"/>
      <c r="F128" s="374"/>
      <c r="G128" s="377"/>
      <c r="H128" s="96"/>
      <c r="I128" s="96"/>
      <c r="J128" s="96"/>
      <c r="K128" s="96"/>
      <c r="M128" s="96"/>
      <c r="O128" s="618">
        <f t="shared" si="13"/>
        <v>1.4054622440453277E-2</v>
      </c>
      <c r="P128" s="484" t="str">
        <f>'Table 1.2 complete'!A125</f>
        <v>Peru</v>
      </c>
      <c r="Q128" s="203">
        <f>'Table 1.2 complete'!B125</f>
        <v>85</v>
      </c>
      <c r="R128" s="172" t="s">
        <v>423</v>
      </c>
      <c r="S128" s="132">
        <v>17</v>
      </c>
      <c r="T128" s="109" t="str">
        <f>'Table 1.2 complete'!E125</f>
        <v>-</v>
      </c>
      <c r="U128" s="109">
        <f>'Table 1.2 complete'!F125</f>
        <v>19.55</v>
      </c>
      <c r="V128" s="109" t="str">
        <f>'Table 1.2 complete'!G125</f>
        <v>-</v>
      </c>
      <c r="W128" s="109">
        <f>'Table 1.2 complete'!H125</f>
        <v>0</v>
      </c>
      <c r="X128" s="109">
        <f>'Table 1.3 complete'!E125</f>
        <v>0.85</v>
      </c>
      <c r="Y128" s="109" t="str">
        <f>'Table 1.3 complete'!F125</f>
        <v>-</v>
      </c>
      <c r="Z128" s="109" t="str">
        <f>'Table 1.3 complete'!G125</f>
        <v>-</v>
      </c>
      <c r="AA128" s="109" t="str">
        <f>'Table 1.3 complete'!H125</f>
        <v>-</v>
      </c>
      <c r="AB128" s="109">
        <f>'Table 1.3 complete'!I125</f>
        <v>1.8</v>
      </c>
      <c r="AC128" s="109">
        <f>'Table 1.3 complete'!J125</f>
        <v>7.29</v>
      </c>
      <c r="AD128" s="109">
        <f>'Table 1.3 complete'!K125</f>
        <v>0.45</v>
      </c>
      <c r="AE128" s="109" t="str">
        <f>'Table 1.3 complete'!L125</f>
        <v>-</v>
      </c>
      <c r="AF128" s="109" t="str">
        <f>'Table 1.3 complete'!M125</f>
        <v>-</v>
      </c>
      <c r="AG128" s="109" t="str">
        <f>'Table 1.3 complete'!N125</f>
        <v>-</v>
      </c>
      <c r="AH128" s="149">
        <f>SUM(T128:AG128)</f>
        <v>29.94</v>
      </c>
      <c r="AI128" s="106">
        <f>AH128-'Table 1.1 complete'!E125</f>
        <v>4.00000000000027E-2</v>
      </c>
      <c r="AJ128" s="113">
        <f>AH128-'Table 1.2 complete'!K125</f>
        <v>1.0000000000001563E-2</v>
      </c>
      <c r="AK128" s="106">
        <f>'Table 1.2 complete'!K125-'Table 1.1 complete'!E125</f>
        <v>3.0000000000001137E-2</v>
      </c>
    </row>
    <row r="129" spans="2:37" x14ac:dyDescent="0.25">
      <c r="B129" s="374"/>
      <c r="C129" s="374"/>
      <c r="D129" s="374"/>
      <c r="E129" s="374"/>
      <c r="F129" s="374"/>
      <c r="G129" s="377"/>
      <c r="H129" s="96"/>
      <c r="I129" s="96"/>
      <c r="J129" s="96"/>
      <c r="K129" s="96"/>
      <c r="M129" s="96"/>
      <c r="O129" s="618">
        <f t="shared" si="13"/>
        <v>2.7987194051430343E-2</v>
      </c>
      <c r="P129" s="484" t="str">
        <f>'Table 1.2 complete'!A126</f>
        <v>Philippines</v>
      </c>
      <c r="Q129" s="203">
        <f>'Table 1.2 complete'!B126</f>
        <v>102</v>
      </c>
      <c r="R129" s="172" t="s">
        <v>423</v>
      </c>
      <c r="S129" s="132">
        <v>17</v>
      </c>
      <c r="T129" s="109" t="str">
        <f>'Table 1.2 complete'!E126</f>
        <v>-</v>
      </c>
      <c r="U129" s="109">
        <f>'Table 1.2 complete'!F126</f>
        <v>8.56</v>
      </c>
      <c r="V129" s="109">
        <f>'Table 1.2 complete'!G126</f>
        <v>10.220000000000001</v>
      </c>
      <c r="W129" s="109">
        <f>'Table 1.2 complete'!H126</f>
        <v>0.06</v>
      </c>
      <c r="X129" s="109">
        <f>'Table 1.3 complete'!E126</f>
        <v>16.84</v>
      </c>
      <c r="Y129" s="109" t="str">
        <f>'Table 1.3 complete'!F126</f>
        <v>-</v>
      </c>
      <c r="Z129" s="109" t="str">
        <f>'Table 1.3 complete'!G126</f>
        <v>-</v>
      </c>
      <c r="AA129" s="109" t="str">
        <f>'Table 1.3 complete'!H126</f>
        <v>-</v>
      </c>
      <c r="AB129" s="109">
        <f>'Table 1.3 complete'!I126</f>
        <v>4.5</v>
      </c>
      <c r="AC129" s="109">
        <f>'Table 1.3 complete'!J126</f>
        <v>19.440000000000001</v>
      </c>
      <c r="AD129" s="109" t="str">
        <f>'Table 1.3 complete'!K126</f>
        <v>-</v>
      </c>
      <c r="AE129" s="109" t="str">
        <f>'Table 1.3 complete'!L126</f>
        <v>-</v>
      </c>
      <c r="AF129" s="109" t="str">
        <f>'Table 1.3 complete'!M126</f>
        <v>-</v>
      </c>
      <c r="AG129" s="109" t="str">
        <f>'Table 1.3 complete'!N126</f>
        <v>-</v>
      </c>
      <c r="AH129" s="149">
        <f>SUM(T129:AG129)</f>
        <v>59.620000000000005</v>
      </c>
      <c r="AI129" s="106">
        <f>AH129-'Table 1.1 complete'!E126</f>
        <v>2.0000000000003126E-2</v>
      </c>
      <c r="AJ129" s="113">
        <f>AH129-'Table 1.2 complete'!K126</f>
        <v>1.0000000000005116E-2</v>
      </c>
      <c r="AK129" s="106">
        <f>'Table 1.2 complete'!K126-'Table 1.1 complete'!E126</f>
        <v>9.9999999999980105E-3</v>
      </c>
    </row>
    <row r="130" spans="2:37" x14ac:dyDescent="0.25">
      <c r="B130" s="374"/>
      <c r="C130" s="374"/>
      <c r="D130" s="374"/>
      <c r="E130" s="374"/>
      <c r="F130" s="374"/>
      <c r="G130" s="936" t="s">
        <v>366</v>
      </c>
      <c r="H130" s="407">
        <f>L130*O130</f>
        <v>1.8072911287824019E-8</v>
      </c>
      <c r="I130" s="408"/>
      <c r="J130" s="409"/>
      <c r="K130" s="409"/>
      <c r="L130" s="410">
        <v>1.0000000000000001E-5</v>
      </c>
      <c r="N130" s="345"/>
      <c r="O130" s="618">
        <f t="shared" si="13"/>
        <v>1.8072911287824018E-3</v>
      </c>
      <c r="P130" s="484" t="str">
        <f>'Table 1.2 complete'!A127</f>
        <v>Rep. of Moldova</v>
      </c>
      <c r="Q130" s="203">
        <f>'Table 1.2 complete'!B127</f>
        <v>134</v>
      </c>
      <c r="R130" s="172" t="s">
        <v>423</v>
      </c>
      <c r="S130" s="132">
        <v>17</v>
      </c>
      <c r="T130" s="109" t="str">
        <f>'Table 1.2 complete'!E127</f>
        <v>-</v>
      </c>
      <c r="U130" s="109">
        <f>'Table 1.2 complete'!F127</f>
        <v>0.03</v>
      </c>
      <c r="V130" s="109" t="str">
        <f>'Table 1.2 complete'!G127</f>
        <v>-</v>
      </c>
      <c r="W130" s="109" t="str">
        <f>'Table 1.2 complete'!H127</f>
        <v>-</v>
      </c>
      <c r="X130" s="109" t="str">
        <f>'Table 1.3 complete'!E127</f>
        <v>-</v>
      </c>
      <c r="Y130" s="109" t="str">
        <f>'Table 1.3 complete'!F127</f>
        <v>-</v>
      </c>
      <c r="Z130" s="109" t="str">
        <f>'Table 1.3 complete'!G127</f>
        <v>-</v>
      </c>
      <c r="AA130" s="109" t="str">
        <f>'Table 1.3 complete'!H127</f>
        <v>-</v>
      </c>
      <c r="AB130" s="109">
        <f>'Table 1.3 complete'!I127</f>
        <v>0.04</v>
      </c>
      <c r="AC130" s="109">
        <f>'Table 1.3 complete'!J127</f>
        <v>3.78</v>
      </c>
      <c r="AD130" s="109" t="str">
        <f>'Table 1.3 complete'!K127</f>
        <v>-</v>
      </c>
      <c r="AE130" s="109" t="str">
        <f>'Table 1.3 complete'!L127</f>
        <v>-</v>
      </c>
      <c r="AF130" s="109" t="str">
        <f>'Table 1.3 complete'!M127</f>
        <v>-</v>
      </c>
      <c r="AG130" s="109" t="str">
        <f>'Table 1.3 complete'!N127</f>
        <v>-</v>
      </c>
      <c r="AH130" s="149">
        <f>SUM(T130:AG130)</f>
        <v>3.8499999999999996</v>
      </c>
      <c r="AI130" s="106">
        <f>AH130-'Table 1.1 complete'!E127</f>
        <v>4.9999999999999822E-2</v>
      </c>
      <c r="AJ130" s="113">
        <f>AH130-'Table 1.2 complete'!K127</f>
        <v>0</v>
      </c>
      <c r="AK130" s="106">
        <f>'Table 1.2 complete'!K127-'Table 1.1 complete'!E127</f>
        <v>5.0000000000000266E-2</v>
      </c>
    </row>
    <row r="131" spans="2:37" x14ac:dyDescent="0.25">
      <c r="B131" s="374"/>
      <c r="C131" s="374"/>
      <c r="D131" s="374"/>
      <c r="E131" s="374"/>
      <c r="F131" s="374"/>
      <c r="G131" s="377"/>
      <c r="H131" s="96"/>
      <c r="I131" s="96"/>
      <c r="J131" s="96"/>
      <c r="K131" s="96"/>
      <c r="M131" s="96"/>
      <c r="O131" s="618">
        <f t="shared" si="13"/>
        <v>9.482410597767408E-4</v>
      </c>
      <c r="P131" s="484" t="str">
        <f>'Table 1.2 complete'!A128</f>
        <v>Senegal</v>
      </c>
      <c r="Q131" s="203">
        <f>'Table 1.2 complete'!B128</f>
        <v>57</v>
      </c>
      <c r="R131" s="172" t="s">
        <v>423</v>
      </c>
      <c r="S131" s="132">
        <v>17</v>
      </c>
      <c r="T131" s="109" t="str">
        <f>'Table 1.2 complete'!E128</f>
        <v>-</v>
      </c>
      <c r="U131" s="109">
        <f>'Table 1.2 complete'!F128</f>
        <v>0.22</v>
      </c>
      <c r="V131" s="109" t="str">
        <f>'Table 1.2 complete'!G128</f>
        <v>-</v>
      </c>
      <c r="W131" s="109">
        <f>'Table 1.2 complete'!H128</f>
        <v>0.03</v>
      </c>
      <c r="X131" s="109" t="str">
        <f>'Table 1.3 complete'!E128</f>
        <v>-</v>
      </c>
      <c r="Y131" s="109" t="str">
        <f>'Table 1.3 complete'!F128</f>
        <v>-</v>
      </c>
      <c r="Z131" s="109" t="str">
        <f>'Table 1.3 complete'!G128</f>
        <v>-</v>
      </c>
      <c r="AA131" s="109" t="str">
        <f>'Table 1.3 complete'!H128</f>
        <v>-</v>
      </c>
      <c r="AB131" s="109">
        <f>'Table 1.3 complete'!I128</f>
        <v>1.68</v>
      </c>
      <c r="AC131" s="109">
        <f>'Table 1.3 complete'!J128</f>
        <v>0.04</v>
      </c>
      <c r="AD131" s="109">
        <f>'Table 1.3 complete'!K128</f>
        <v>0.05</v>
      </c>
      <c r="AE131" s="109" t="str">
        <f>'Table 1.3 complete'!L128</f>
        <v>-</v>
      </c>
      <c r="AF131" s="109" t="str">
        <f>'Table 1.3 complete'!M128</f>
        <v>-</v>
      </c>
      <c r="AG131" s="109" t="str">
        <f>'Table 1.3 complete'!N128</f>
        <v>-</v>
      </c>
      <c r="AH131" s="149">
        <f>SUM(T131:AG131)</f>
        <v>2.02</v>
      </c>
      <c r="AI131" s="106">
        <f>AH131-'Table 1.1 complete'!E128</f>
        <v>2.0000000000000018E-2</v>
      </c>
      <c r="AJ131" s="113">
        <f>AH131-'Table 1.2 complete'!K128</f>
        <v>0</v>
      </c>
      <c r="AK131" s="106">
        <f>'Table 1.2 complete'!K128-'Table 1.1 complete'!E128</f>
        <v>2.0000000000000018E-2</v>
      </c>
    </row>
    <row r="132" spans="2:37" x14ac:dyDescent="0.25">
      <c r="B132" s="374"/>
      <c r="C132" s="374"/>
      <c r="D132" s="374"/>
      <c r="E132" s="374"/>
      <c r="F132" s="374"/>
      <c r="G132" s="937" t="s">
        <v>362</v>
      </c>
      <c r="H132" s="388">
        <f t="shared" ref="H132" si="18">L132*O132</f>
        <v>0</v>
      </c>
      <c r="I132" s="403">
        <v>9.9280000000000008</v>
      </c>
      <c r="J132" s="404">
        <v>0</v>
      </c>
      <c r="K132" s="404"/>
      <c r="L132" s="353">
        <f t="shared" ref="L132" si="19">0.8*J132/I132</f>
        <v>0</v>
      </c>
      <c r="N132" s="345">
        <v>0</v>
      </c>
      <c r="O132" s="618">
        <f t="shared" si="13"/>
        <v>1.7148141541408091E-2</v>
      </c>
      <c r="P132" s="484" t="str">
        <f>'Table 1.2 complete'!A129</f>
        <v>Serbia</v>
      </c>
      <c r="Q132" s="203">
        <f>'Table 1.2 complete'!B129</f>
        <v>122</v>
      </c>
      <c r="R132" s="172" t="s">
        <v>423</v>
      </c>
      <c r="S132" s="132">
        <v>17</v>
      </c>
      <c r="T132" s="109" t="str">
        <f>'Table 1.2 complete'!E129</f>
        <v>-</v>
      </c>
      <c r="U132" s="109">
        <f>'Table 1.2 complete'!F129</f>
        <v>10.039999999999999</v>
      </c>
      <c r="V132" s="109" t="str">
        <f>'Table 1.2 complete'!G129</f>
        <v>-</v>
      </c>
      <c r="W132" s="109" t="str">
        <f>'Table 1.2 complete'!H129</f>
        <v>-</v>
      </c>
      <c r="X132" s="109">
        <f>'Table 1.3 complete'!E129</f>
        <v>0</v>
      </c>
      <c r="Y132" s="109">
        <f>'Table 1.3 complete'!F129</f>
        <v>25.58</v>
      </c>
      <c r="Z132" s="109" t="str">
        <f>'Table 1.3 complete'!G129</f>
        <v>-</v>
      </c>
      <c r="AA132" s="109">
        <f>'Table 1.3 complete'!H129</f>
        <v>0.06</v>
      </c>
      <c r="AB132" s="109">
        <f>'Table 1.3 complete'!I129</f>
        <v>0.46</v>
      </c>
      <c r="AC132" s="109">
        <f>'Table 1.3 complete'!J129</f>
        <v>0.39</v>
      </c>
      <c r="AD132" s="109" t="str">
        <f>'Table 1.3 complete'!K129</f>
        <v>-</v>
      </c>
      <c r="AE132" s="109" t="str">
        <f>'Table 1.3 complete'!L129</f>
        <v>-</v>
      </c>
      <c r="AF132" s="109" t="str">
        <f>'Table 1.3 complete'!M129</f>
        <v>-</v>
      </c>
      <c r="AG132" s="109" t="str">
        <f>'Table 1.3 complete'!N129</f>
        <v>-</v>
      </c>
      <c r="AH132" s="149">
        <f>SUM(T132:AG132)</f>
        <v>36.53</v>
      </c>
      <c r="AI132" s="106">
        <f>AH132-'Table 1.1 complete'!E129</f>
        <v>3.0000000000001137E-2</v>
      </c>
      <c r="AJ132" s="113">
        <f>AH132-'Table 1.2 complete'!K129</f>
        <v>9.9999999999980105E-3</v>
      </c>
      <c r="AK132" s="106">
        <f>'Table 1.2 complete'!K129-'Table 1.1 complete'!E129</f>
        <v>2.0000000000003126E-2</v>
      </c>
    </row>
    <row r="133" spans="2:37" x14ac:dyDescent="0.25">
      <c r="B133" s="374"/>
      <c r="C133" s="374"/>
      <c r="D133" s="374"/>
      <c r="E133" s="374"/>
      <c r="F133" s="374"/>
      <c r="G133" s="377"/>
      <c r="H133" s="96"/>
      <c r="I133" s="96"/>
      <c r="J133" s="96"/>
      <c r="K133" s="96"/>
      <c r="M133" s="96"/>
      <c r="O133" s="618">
        <f t="shared" si="13"/>
        <v>1.9307502370602646E-2</v>
      </c>
      <c r="P133" s="484" t="str">
        <f>'Table 1.2 complete'!A130</f>
        <v>Singapore</v>
      </c>
      <c r="Q133" s="203">
        <f>'Table 1.2 complete'!B130</f>
        <v>103</v>
      </c>
      <c r="R133" s="172" t="s">
        <v>423</v>
      </c>
      <c r="S133" s="132">
        <v>17</v>
      </c>
      <c r="T133" s="109" t="str">
        <f>'Table 1.2 complete'!E130</f>
        <v>-</v>
      </c>
      <c r="U133" s="109" t="str">
        <f>'Table 1.2 complete'!F130</f>
        <v>-</v>
      </c>
      <c r="V133" s="109" t="str">
        <f>'Table 1.2 complete'!G130</f>
        <v>-</v>
      </c>
      <c r="W133" s="109" t="str">
        <f>'Table 1.2 complete'!H130</f>
        <v>-</v>
      </c>
      <c r="X133" s="109" t="str">
        <f>'Table 1.3 complete'!E130</f>
        <v>-</v>
      </c>
      <c r="Y133" s="109" t="str">
        <f>'Table 1.3 complete'!F130</f>
        <v>-</v>
      </c>
      <c r="Z133" s="109" t="str">
        <f>'Table 1.3 complete'!G130</f>
        <v>-</v>
      </c>
      <c r="AA133" s="109" t="str">
        <f>'Table 1.3 complete'!H130</f>
        <v>-</v>
      </c>
      <c r="AB133" s="109">
        <f>'Table 1.3 complete'!I130</f>
        <v>8.76</v>
      </c>
      <c r="AC133" s="109">
        <f>'Table 1.3 complete'!J130</f>
        <v>32.369999999999997</v>
      </c>
      <c r="AD133" s="109" t="str">
        <f>'Table 1.3 complete'!K130</f>
        <v>-</v>
      </c>
      <c r="AE133" s="109" t="str">
        <f>'Table 1.3 complete'!L130</f>
        <v>-</v>
      </c>
      <c r="AF133" s="109" t="str">
        <f>'Table 1.3 complete'!M130</f>
        <v>-</v>
      </c>
      <c r="AG133" s="109" t="str">
        <f>'Table 1.3 complete'!N130</f>
        <v>-</v>
      </c>
      <c r="AH133" s="149">
        <f>SUM(T133:AG133)</f>
        <v>41.129999999999995</v>
      </c>
      <c r="AI133" s="106">
        <f>AH133-'Table 1.1 complete'!E130</f>
        <v>2.9999999999994031E-2</v>
      </c>
      <c r="AJ133" s="113">
        <f>AH133-'Table 1.2 complete'!K130</f>
        <v>0</v>
      </c>
      <c r="AK133" s="106">
        <f>'Table 1.2 complete'!K130-'Table 1.1 complete'!E130</f>
        <v>3.0000000000001137E-2</v>
      </c>
    </row>
    <row r="134" spans="2:37" x14ac:dyDescent="0.25">
      <c r="B134" s="374"/>
      <c r="C134" s="374"/>
      <c r="D134" s="374"/>
      <c r="E134" s="374"/>
      <c r="F134" s="374"/>
      <c r="G134" s="377"/>
      <c r="H134" s="96"/>
      <c r="I134" s="96"/>
      <c r="J134" s="96"/>
      <c r="K134" s="96"/>
      <c r="M134" s="96"/>
      <c r="O134" s="618">
        <f t="shared" si="13"/>
        <v>4.6520143081126243E-3</v>
      </c>
      <c r="P134" s="484" t="str">
        <f>'Table 1.2 complete'!A131</f>
        <v>Sri Lanka</v>
      </c>
      <c r="Q134" s="203">
        <f>'Table 1.2 complete'!B131</f>
        <v>104</v>
      </c>
      <c r="R134" s="172" t="s">
        <v>423</v>
      </c>
      <c r="S134" s="132">
        <v>17</v>
      </c>
      <c r="T134" s="109" t="str">
        <f>'Table 1.2 complete'!E131</f>
        <v>-</v>
      </c>
      <c r="U134" s="109">
        <f>'Table 1.2 complete'!F131</f>
        <v>3.95</v>
      </c>
      <c r="V134" s="109" t="str">
        <f>'Table 1.2 complete'!G131</f>
        <v>-</v>
      </c>
      <c r="W134" s="109">
        <f>'Table 1.2 complete'!H131</f>
        <v>0.02</v>
      </c>
      <c r="X134" s="109" t="str">
        <f>'Table 1.3 complete'!E131</f>
        <v>-</v>
      </c>
      <c r="Y134" s="109" t="str">
        <f>'Table 1.3 complete'!F131</f>
        <v>-</v>
      </c>
      <c r="Z134" s="109" t="str">
        <f>'Table 1.3 complete'!G131</f>
        <v>-</v>
      </c>
      <c r="AA134" s="109" t="str">
        <f>'Table 1.3 complete'!H131</f>
        <v>-</v>
      </c>
      <c r="AB134" s="109">
        <f>'Table 1.3 complete'!I131</f>
        <v>5.94</v>
      </c>
      <c r="AC134" s="109" t="str">
        <f>'Table 1.3 complete'!J131</f>
        <v>-</v>
      </c>
      <c r="AD134" s="109">
        <f>'Table 1.3 complete'!K131</f>
        <v>0</v>
      </c>
      <c r="AE134" s="109" t="str">
        <f>'Table 1.3 complete'!L131</f>
        <v>-</v>
      </c>
      <c r="AF134" s="109" t="str">
        <f>'Table 1.3 complete'!M131</f>
        <v>-</v>
      </c>
      <c r="AG134" s="109" t="str">
        <f>'Table 1.3 complete'!N131</f>
        <v>-</v>
      </c>
      <c r="AH134" s="149">
        <f>SUM(T134:AG134)</f>
        <v>9.91</v>
      </c>
      <c r="AI134" s="106">
        <f>AH134-'Table 1.1 complete'!E131</f>
        <v>9.9999999999997868E-3</v>
      </c>
      <c r="AJ134" s="113">
        <f>AH134-'Table 1.2 complete'!K131</f>
        <v>9.9999999999997868E-3</v>
      </c>
      <c r="AK134" s="106">
        <f>'Table 1.2 complete'!K131-'Table 1.1 complete'!E131</f>
        <v>0</v>
      </c>
    </row>
    <row r="135" spans="2:37" x14ac:dyDescent="0.25">
      <c r="B135" s="374"/>
      <c r="C135" s="374"/>
      <c r="D135" s="374"/>
      <c r="E135" s="374"/>
      <c r="F135" s="374"/>
      <c r="G135" s="377"/>
      <c r="H135" s="96"/>
      <c r="I135" s="96"/>
      <c r="J135" s="96"/>
      <c r="K135" s="96"/>
      <c r="M135" s="96"/>
      <c r="O135" s="618">
        <f t="shared" si="13"/>
        <v>2.1311952531615857E-3</v>
      </c>
      <c r="P135" s="484" t="str">
        <f>'Table 1.2 complete'!A132</f>
        <v>Sudan</v>
      </c>
      <c r="Q135" s="203">
        <f>'Table 1.2 complete'!B132</f>
        <v>59</v>
      </c>
      <c r="R135" s="172" t="s">
        <v>423</v>
      </c>
      <c r="S135" s="132">
        <v>17</v>
      </c>
      <c r="T135" s="109" t="str">
        <f>'Table 1.2 complete'!E132</f>
        <v>-</v>
      </c>
      <c r="U135" s="109">
        <f>'Table 1.2 complete'!F132</f>
        <v>1.45</v>
      </c>
      <c r="V135" s="109" t="str">
        <f>'Table 1.2 complete'!G132</f>
        <v>-</v>
      </c>
      <c r="W135" s="109" t="str">
        <f>'Table 1.2 complete'!H132</f>
        <v>-</v>
      </c>
      <c r="X135" s="109" t="str">
        <f>'Table 1.3 complete'!E132</f>
        <v>-</v>
      </c>
      <c r="Y135" s="109" t="str">
        <f>'Table 1.3 complete'!F132</f>
        <v>-</v>
      </c>
      <c r="Z135" s="109" t="str">
        <f>'Table 1.3 complete'!G132</f>
        <v>-</v>
      </c>
      <c r="AA135" s="109" t="str">
        <f>'Table 1.3 complete'!H132</f>
        <v>-</v>
      </c>
      <c r="AB135" s="109">
        <f>'Table 1.3 complete'!I132</f>
        <v>3.09</v>
      </c>
      <c r="AC135" s="109" t="str">
        <f>'Table 1.3 complete'!J132</f>
        <v>-</v>
      </c>
      <c r="AD135" s="109" t="str">
        <f>'Table 1.3 complete'!K132</f>
        <v>-</v>
      </c>
      <c r="AE135" s="109" t="str">
        <f>'Table 1.3 complete'!L132</f>
        <v>-</v>
      </c>
      <c r="AF135" s="109" t="str">
        <f>'Table 1.3 complete'!M132</f>
        <v>-</v>
      </c>
      <c r="AG135" s="109" t="str">
        <f>'Table 1.3 complete'!N132</f>
        <v>-</v>
      </c>
      <c r="AH135" s="149">
        <f>SUM(T135:AG135)</f>
        <v>4.54</v>
      </c>
      <c r="AI135" s="106">
        <f>AH135-'Table 1.1 complete'!E132</f>
        <v>4.0000000000000036E-2</v>
      </c>
      <c r="AJ135" s="113">
        <f>AH135-'Table 1.2 complete'!K132</f>
        <v>0</v>
      </c>
      <c r="AK135" s="106">
        <f>'Table 1.2 complete'!K132-'Table 1.1 complete'!E132</f>
        <v>4.0000000000000036E-2</v>
      </c>
    </row>
    <row r="136" spans="2:37" x14ac:dyDescent="0.25">
      <c r="B136" s="374"/>
      <c r="C136" s="374"/>
      <c r="D136" s="374"/>
      <c r="E136" s="374"/>
      <c r="F136" s="374"/>
      <c r="G136" s="377"/>
      <c r="H136" s="96"/>
      <c r="I136" s="96"/>
      <c r="J136" s="96"/>
      <c r="K136" s="96"/>
      <c r="M136" s="96"/>
      <c r="O136" s="618">
        <f t="shared" si="13"/>
        <v>8.2102654136114832E-3</v>
      </c>
      <c r="P136" s="484" t="str">
        <f>'Table 1.2 complete'!A133</f>
        <v>Tajikistan</v>
      </c>
      <c r="Q136" s="203">
        <f>'Table 1.2 complete'!B133</f>
        <v>136</v>
      </c>
      <c r="R136" s="172" t="s">
        <v>423</v>
      </c>
      <c r="S136" s="132">
        <v>17</v>
      </c>
      <c r="T136" s="109" t="str">
        <f>'Table 1.2 complete'!E133</f>
        <v>-</v>
      </c>
      <c r="U136" s="109">
        <f>'Table 1.2 complete'!F133</f>
        <v>17.11</v>
      </c>
      <c r="V136" s="109" t="str">
        <f>'Table 1.2 complete'!G133</f>
        <v>-</v>
      </c>
      <c r="W136" s="109" t="str">
        <f>'Table 1.2 complete'!H133</f>
        <v>-</v>
      </c>
      <c r="X136" s="109" t="str">
        <f>'Table 1.3 complete'!E133</f>
        <v>-</v>
      </c>
      <c r="Y136" s="109" t="str">
        <f>'Table 1.3 complete'!F133</f>
        <v>-</v>
      </c>
      <c r="Z136" s="109" t="str">
        <f>'Table 1.3 complete'!G133</f>
        <v>-</v>
      </c>
      <c r="AA136" s="109" t="str">
        <f>'Table 1.3 complete'!H133</f>
        <v>-</v>
      </c>
      <c r="AB136" s="109" t="str">
        <f>'Table 1.3 complete'!I133</f>
        <v>-</v>
      </c>
      <c r="AC136" s="109">
        <f>'Table 1.3 complete'!J133</f>
        <v>0.38</v>
      </c>
      <c r="AD136" s="109" t="str">
        <f>'Table 1.3 complete'!K133</f>
        <v>-</v>
      </c>
      <c r="AE136" s="109" t="str">
        <f>'Table 1.3 complete'!L133</f>
        <v>-</v>
      </c>
      <c r="AF136" s="109" t="str">
        <f>'Table 1.3 complete'!M133</f>
        <v>-</v>
      </c>
      <c r="AG136" s="109" t="str">
        <f>'Table 1.3 complete'!N133</f>
        <v>-</v>
      </c>
      <c r="AH136" s="149">
        <f>SUM(T136:AG136)</f>
        <v>17.489999999999998</v>
      </c>
      <c r="AI136" s="106">
        <f>AH136-'Table 1.1 complete'!E133</f>
        <v>-1.0000000000001563E-2</v>
      </c>
      <c r="AJ136" s="113">
        <f>AH136-'Table 1.2 complete'!K133</f>
        <v>0</v>
      </c>
      <c r="AK136" s="106">
        <f>'Table 1.2 complete'!K133-'Table 1.1 complete'!E133</f>
        <v>-1.0000000000001563E-2</v>
      </c>
    </row>
    <row r="137" spans="2:37" x14ac:dyDescent="0.25">
      <c r="B137" s="374"/>
      <c r="C137" s="374"/>
      <c r="D137" s="374"/>
      <c r="E137" s="374"/>
      <c r="F137" s="374"/>
      <c r="G137" s="377"/>
      <c r="H137" s="96"/>
      <c r="I137" s="96"/>
      <c r="J137" s="96"/>
      <c r="K137" s="96"/>
      <c r="M137" s="96"/>
      <c r="O137" s="618">
        <f t="shared" si="13"/>
        <v>6.7301643930787788E-2</v>
      </c>
      <c r="P137" s="484" t="str">
        <f>'Table 1.2 complete'!A134</f>
        <v>Thailand</v>
      </c>
      <c r="Q137" s="203">
        <f>'Table 1.2 complete'!B134</f>
        <v>106</v>
      </c>
      <c r="R137" s="172" t="s">
        <v>423</v>
      </c>
      <c r="S137" s="132">
        <v>17</v>
      </c>
      <c r="T137" s="109" t="str">
        <f>'Table 1.2 complete'!E134</f>
        <v>-</v>
      </c>
      <c r="U137" s="109">
        <f>'Table 1.2 complete'!F134</f>
        <v>8.11</v>
      </c>
      <c r="V137" s="109">
        <f>'Table 1.2 complete'!G134</f>
        <v>0</v>
      </c>
      <c r="W137" s="109" t="str">
        <f>'Table 1.2 complete'!H134</f>
        <v>-</v>
      </c>
      <c r="X137" s="109">
        <f>'Table 1.3 complete'!E134</f>
        <v>12.38</v>
      </c>
      <c r="Y137" s="109">
        <f>'Table 1.3 complete'!F134</f>
        <v>18.3</v>
      </c>
      <c r="Z137" s="109" t="str">
        <f>'Table 1.3 complete'!G134</f>
        <v>-</v>
      </c>
      <c r="AA137" s="109" t="str">
        <f>'Table 1.3 complete'!H134</f>
        <v>-</v>
      </c>
      <c r="AB137" s="109">
        <f>'Table 1.3 complete'!I134</f>
        <v>3.85</v>
      </c>
      <c r="AC137" s="109">
        <f>'Table 1.3 complete'!J134</f>
        <v>96.54</v>
      </c>
      <c r="AD137" s="109">
        <f>'Table 1.3 complete'!K134</f>
        <v>4.18</v>
      </c>
      <c r="AE137" s="109" t="str">
        <f>'Table 1.3 complete'!L134</f>
        <v>-</v>
      </c>
      <c r="AF137" s="109" t="str">
        <f>'Table 1.3 complete'!M134</f>
        <v>-</v>
      </c>
      <c r="AG137" s="109">
        <f>'Table 1.3 complete'!N134</f>
        <v>0.01</v>
      </c>
      <c r="AH137" s="149">
        <f>SUM(T137:AG137)</f>
        <v>143.37</v>
      </c>
      <c r="AI137" s="106">
        <f>AH137-'Table 1.1 complete'!E134</f>
        <v>-3.0000000000001137E-2</v>
      </c>
      <c r="AJ137" s="113">
        <f>AH137-'Table 1.2 complete'!K134</f>
        <v>-9.9999999999909051E-3</v>
      </c>
      <c r="AK137" s="106">
        <f>'Table 1.2 complete'!K134-'Table 1.1 complete'!E134</f>
        <v>-2.0000000000010232E-2</v>
      </c>
    </row>
    <row r="138" spans="2:37" x14ac:dyDescent="0.25">
      <c r="B138" s="374"/>
      <c r="C138" s="374"/>
      <c r="D138" s="374"/>
      <c r="E138" s="374"/>
      <c r="F138" s="374"/>
      <c r="G138" s="377"/>
      <c r="H138" s="96"/>
      <c r="I138" s="96"/>
      <c r="J138" s="96"/>
      <c r="K138" s="96"/>
      <c r="M138" s="96"/>
      <c r="O138" s="618">
        <f t="shared" si="13"/>
        <v>8.9190990771079577E-5</v>
      </c>
      <c r="P138" s="484" t="str">
        <f>'Table 1.2 complete'!A135</f>
        <v>Togo</v>
      </c>
      <c r="Q138" s="203">
        <f>'Table 1.2 complete'!B135</f>
        <v>61</v>
      </c>
      <c r="R138" s="172" t="s">
        <v>423</v>
      </c>
      <c r="S138" s="132">
        <v>17</v>
      </c>
      <c r="T138" s="109" t="str">
        <f>'Table 1.2 complete'!E135</f>
        <v>-</v>
      </c>
      <c r="U138" s="109">
        <f>'Table 1.2 complete'!F135</f>
        <v>0.09</v>
      </c>
      <c r="V138" s="109" t="str">
        <f>'Table 1.2 complete'!G135</f>
        <v>-</v>
      </c>
      <c r="W138" s="109" t="str">
        <f>'Table 1.2 complete'!H135</f>
        <v>-</v>
      </c>
      <c r="X138" s="109" t="str">
        <f>'Table 1.3 complete'!E135</f>
        <v>-</v>
      </c>
      <c r="Y138" s="109" t="str">
        <f>'Table 1.3 complete'!F135</f>
        <v>-</v>
      </c>
      <c r="Z138" s="109" t="str">
        <f>'Table 1.3 complete'!G135</f>
        <v>-</v>
      </c>
      <c r="AA138" s="109" t="str">
        <f>'Table 1.3 complete'!H135</f>
        <v>-</v>
      </c>
      <c r="AB138" s="109">
        <f>'Table 1.3 complete'!I135</f>
        <v>0.09</v>
      </c>
      <c r="AC138" s="109" t="str">
        <f>'Table 1.3 complete'!J135</f>
        <v>-</v>
      </c>
      <c r="AD138" s="109">
        <f>'Table 1.3 complete'!K135</f>
        <v>0.01</v>
      </c>
      <c r="AE138" s="109" t="str">
        <f>'Table 1.3 complete'!L135</f>
        <v>-</v>
      </c>
      <c r="AF138" s="109" t="str">
        <f>'Table 1.3 complete'!M135</f>
        <v>-</v>
      </c>
      <c r="AG138" s="109" t="str">
        <f>'Table 1.3 complete'!N135</f>
        <v>-</v>
      </c>
      <c r="AH138" s="149">
        <f>SUM(T138:AG138)</f>
        <v>0.19</v>
      </c>
      <c r="AI138" s="106">
        <f>AH138-'Table 1.1 complete'!E135</f>
        <v>-1.0000000000000009E-2</v>
      </c>
      <c r="AJ138" s="113">
        <f>AH138-'Table 1.2 complete'!K135</f>
        <v>-1.0000000000000009E-2</v>
      </c>
      <c r="AK138" s="106">
        <f>'Table 1.2 complete'!K135-'Table 1.1 complete'!E135</f>
        <v>0</v>
      </c>
    </row>
    <row r="139" spans="2:37" x14ac:dyDescent="0.25">
      <c r="B139" s="374"/>
      <c r="C139" s="374"/>
      <c r="D139" s="374"/>
      <c r="E139" s="374"/>
      <c r="F139" s="374"/>
      <c r="G139" s="377"/>
      <c r="H139" s="96"/>
      <c r="I139" s="96"/>
      <c r="J139" s="96"/>
      <c r="K139" s="96"/>
      <c r="M139" s="96"/>
      <c r="O139" s="618">
        <f t="shared" si="13"/>
        <v>3.5958052068761552E-3</v>
      </c>
      <c r="P139" s="484" t="str">
        <f>'Table 1.2 complete'!A136</f>
        <v>Trinidad and T.</v>
      </c>
      <c r="Q139" s="203">
        <f>'Table 1.2 complete'!B136</f>
        <v>86</v>
      </c>
      <c r="R139" s="172" t="s">
        <v>423</v>
      </c>
      <c r="S139" s="132">
        <v>17</v>
      </c>
      <c r="T139" s="109" t="str">
        <f>'Table 1.2 complete'!E136</f>
        <v>-</v>
      </c>
      <c r="U139" s="109" t="str">
        <f>'Table 1.2 complete'!F136</f>
        <v>-</v>
      </c>
      <c r="V139" s="109" t="str">
        <f>'Table 1.2 complete'!G136</f>
        <v>-</v>
      </c>
      <c r="W139" s="109" t="str">
        <f>'Table 1.2 complete'!H136</f>
        <v>-</v>
      </c>
      <c r="X139" s="109" t="str">
        <f>'Table 1.3 complete'!E136</f>
        <v>-</v>
      </c>
      <c r="Y139" s="109" t="str">
        <f>'Table 1.3 complete'!F136</f>
        <v>-</v>
      </c>
      <c r="Z139" s="109" t="str">
        <f>'Table 1.3 complete'!G136</f>
        <v>-</v>
      </c>
      <c r="AA139" s="109" t="str">
        <f>'Table 1.3 complete'!H136</f>
        <v>-</v>
      </c>
      <c r="AB139" s="109">
        <f>'Table 1.3 complete'!I136</f>
        <v>0.02</v>
      </c>
      <c r="AC139" s="109">
        <f>'Table 1.3 complete'!J136</f>
        <v>7.63</v>
      </c>
      <c r="AD139" s="109">
        <f>'Table 1.3 complete'!K136</f>
        <v>0.01</v>
      </c>
      <c r="AE139" s="109" t="str">
        <f>'Table 1.3 complete'!L136</f>
        <v>-</v>
      </c>
      <c r="AF139" s="109" t="str">
        <f>'Table 1.3 complete'!M136</f>
        <v>-</v>
      </c>
      <c r="AG139" s="109" t="str">
        <f>'Table 1.3 complete'!N136</f>
        <v>-</v>
      </c>
      <c r="AH139" s="149">
        <f>SUM(T139:AG139)</f>
        <v>7.6599999999999993</v>
      </c>
      <c r="AI139" s="106">
        <f>AH139-'Table 1.1 complete'!E136</f>
        <v>-4.0000000000000924E-2</v>
      </c>
      <c r="AJ139" s="113">
        <f>AH139-'Table 1.2 complete'!K136</f>
        <v>0</v>
      </c>
      <c r="AK139" s="106">
        <f>'Table 1.2 complete'!K136-'Table 1.1 complete'!E136</f>
        <v>-4.0000000000000036E-2</v>
      </c>
    </row>
    <row r="140" spans="2:37" x14ac:dyDescent="0.25">
      <c r="B140" s="486">
        <v>0.156</v>
      </c>
      <c r="C140" s="486">
        <v>1.585</v>
      </c>
      <c r="D140" s="486">
        <v>6.5350000000000001</v>
      </c>
      <c r="E140" s="486">
        <v>0</v>
      </c>
      <c r="F140" s="486">
        <v>0.4</v>
      </c>
      <c r="G140" t="s">
        <v>367</v>
      </c>
      <c r="H140" s="359">
        <f t="shared" ref="H140" si="20">L140*O140</f>
        <v>0</v>
      </c>
      <c r="I140" s="405">
        <v>44.3</v>
      </c>
      <c r="J140" s="405">
        <v>0</v>
      </c>
      <c r="K140" s="406"/>
      <c r="L140" s="347">
        <f t="shared" ref="L140" si="21">0.8*J140/I140</f>
        <v>0</v>
      </c>
      <c r="N140" s="345">
        <f>0.1/0.1</f>
        <v>1</v>
      </c>
      <c r="O140" s="618">
        <f t="shared" ref="O140:O148" si="22">AH140/SUM($AH$75:$AH$148)</f>
        <v>8.9932684273281174E-2</v>
      </c>
      <c r="P140" s="484" t="str">
        <f>'Table 1.2 complete'!A137</f>
        <v>Turkey</v>
      </c>
      <c r="Q140" s="203">
        <f>'Table 1.2 complete'!B137</f>
        <v>31</v>
      </c>
      <c r="R140" s="172" t="s">
        <v>423</v>
      </c>
      <c r="S140" s="132">
        <v>17</v>
      </c>
      <c r="T140" s="109" t="str">
        <f>'Table 1.2 complete'!E137</f>
        <v>-</v>
      </c>
      <c r="U140" s="109">
        <f>'Table 1.2 complete'!F137</f>
        <v>35.85</v>
      </c>
      <c r="V140" s="109">
        <f>'Table 1.2 complete'!G137</f>
        <v>0.16</v>
      </c>
      <c r="W140" s="109">
        <f>'Table 1.2 complete'!H137</f>
        <v>0.36</v>
      </c>
      <c r="X140" s="109">
        <f>'Table 1.3 complete'!E137</f>
        <v>14.04</v>
      </c>
      <c r="Y140" s="109">
        <f>'Table 1.3 complete'!F137</f>
        <v>38.29</v>
      </c>
      <c r="Z140" s="109" t="str">
        <f>'Table 1.3 complete'!G137</f>
        <v>-</v>
      </c>
      <c r="AA140" s="109">
        <f>'Table 1.3 complete'!H137</f>
        <v>1.1000000000000001</v>
      </c>
      <c r="AB140" s="109">
        <f>'Table 1.3 complete'!I137</f>
        <v>6.53</v>
      </c>
      <c r="AC140" s="109">
        <f>'Table 1.3 complete'!J137</f>
        <v>95.03</v>
      </c>
      <c r="AD140" s="109">
        <f>'Table 1.3 complete'!K137</f>
        <v>0.03</v>
      </c>
      <c r="AE140" s="109">
        <f>'Table 1.3 complete'!L137</f>
        <v>0.12</v>
      </c>
      <c r="AF140" s="109" t="str">
        <f>'Table 1.3 complete'!M137</f>
        <v>-</v>
      </c>
      <c r="AG140" s="109">
        <f>'Table 1.3 complete'!N137</f>
        <v>7.0000000000000007E-2</v>
      </c>
      <c r="AH140" s="149">
        <f>SUM(T140:AG140)</f>
        <v>191.57999999999998</v>
      </c>
      <c r="AI140" s="106">
        <f>AH140-'Table 1.1 complete'!E137</f>
        <v>-2.0000000000010232E-2</v>
      </c>
      <c r="AJ140" s="113">
        <f>AH140-'Table 1.2 complete'!K137</f>
        <v>1.999999999998181E-2</v>
      </c>
      <c r="AK140" s="106">
        <f>'Table 1.2 complete'!K137-'Table 1.1 complete'!E137</f>
        <v>-3.9999999999992042E-2</v>
      </c>
    </row>
    <row r="141" spans="2:37" x14ac:dyDescent="0.25">
      <c r="B141" s="374"/>
      <c r="C141" s="374"/>
      <c r="D141" s="374"/>
      <c r="E141" s="374"/>
      <c r="F141" s="374"/>
      <c r="G141" s="377"/>
      <c r="H141" s="96"/>
      <c r="I141" s="96"/>
      <c r="J141" s="96"/>
      <c r="K141" s="96"/>
      <c r="M141" s="96"/>
      <c r="O141" s="618">
        <f t="shared" si="22"/>
        <v>6.9850628561771797E-3</v>
      </c>
      <c r="P141" s="484" t="str">
        <f>'Table 1.2 complete'!A138</f>
        <v>Turkmenistan</v>
      </c>
      <c r="Q141" s="203">
        <f>'Table 1.2 complete'!B138</f>
        <v>137</v>
      </c>
      <c r="R141" s="172" t="s">
        <v>423</v>
      </c>
      <c r="S141" s="132">
        <v>17</v>
      </c>
      <c r="T141" s="109" t="str">
        <f>'Table 1.2 complete'!E138</f>
        <v>-</v>
      </c>
      <c r="U141" s="109">
        <f>'Table 1.2 complete'!F138</f>
        <v>0</v>
      </c>
      <c r="V141" s="109" t="str">
        <f>'Table 1.2 complete'!G138</f>
        <v>-</v>
      </c>
      <c r="W141" s="109" t="str">
        <f>'Table 1.2 complete'!H138</f>
        <v>-</v>
      </c>
      <c r="X141" s="109" t="str">
        <f>'Table 1.3 complete'!E138</f>
        <v>-</v>
      </c>
      <c r="Y141" s="109" t="str">
        <f>'Table 1.3 complete'!F138</f>
        <v>-</v>
      </c>
      <c r="Z141" s="109" t="str">
        <f>'Table 1.3 complete'!G138</f>
        <v>-</v>
      </c>
      <c r="AA141" s="109" t="str">
        <f>'Table 1.3 complete'!H138</f>
        <v>-</v>
      </c>
      <c r="AB141" s="109" t="str">
        <f>'Table 1.3 complete'!I138</f>
        <v>-</v>
      </c>
      <c r="AC141" s="109">
        <f>'Table 1.3 complete'!J138</f>
        <v>14.88</v>
      </c>
      <c r="AD141" s="109" t="str">
        <f>'Table 1.3 complete'!K138</f>
        <v>-</v>
      </c>
      <c r="AE141" s="109" t="str">
        <f>'Table 1.3 complete'!L138</f>
        <v>-</v>
      </c>
      <c r="AF141" s="109" t="str">
        <f>'Table 1.3 complete'!M138</f>
        <v>-</v>
      </c>
      <c r="AG141" s="109" t="str">
        <f>'Table 1.3 complete'!N138</f>
        <v>-</v>
      </c>
      <c r="AH141" s="149">
        <f>SUM(T141:AG141)</f>
        <v>14.88</v>
      </c>
      <c r="AI141" s="106">
        <f>AH141-'Table 1.1 complete'!E138</f>
        <v>-1.9999999999999574E-2</v>
      </c>
      <c r="AJ141" s="113">
        <f>AH141-'Table 1.2 complete'!K138</f>
        <v>0</v>
      </c>
      <c r="AK141" s="106">
        <f>'Table 1.2 complete'!K138-'Table 1.1 complete'!E138</f>
        <v>-1.9999999999999574E-2</v>
      </c>
    </row>
    <row r="142" spans="2:37" x14ac:dyDescent="0.25">
      <c r="B142" s="374"/>
      <c r="C142" s="374"/>
      <c r="D142" s="374"/>
      <c r="E142" s="374"/>
      <c r="F142" s="374"/>
      <c r="G142" s="937" t="s">
        <v>362</v>
      </c>
      <c r="H142" s="388">
        <f t="shared" ref="H142" si="23">L142*O142</f>
        <v>0</v>
      </c>
      <c r="I142" s="403">
        <v>0.14499999999999999</v>
      </c>
      <c r="J142" s="404">
        <v>0</v>
      </c>
      <c r="K142" s="404"/>
      <c r="L142" s="353">
        <f t="shared" ref="L142" si="24">0.8*J142/I142</f>
        <v>0</v>
      </c>
      <c r="N142" s="472">
        <v>1</v>
      </c>
      <c r="O142" s="618">
        <f t="shared" si="22"/>
        <v>9.2129599203853038E-2</v>
      </c>
      <c r="P142" s="484" t="str">
        <f>'Table 1.2 complete'!A139</f>
        <v>Ukraine</v>
      </c>
      <c r="Q142" s="203">
        <f>'Table 1.2 complete'!B139</f>
        <v>138</v>
      </c>
      <c r="R142" s="172" t="s">
        <v>423</v>
      </c>
      <c r="S142" s="132">
        <v>17</v>
      </c>
      <c r="T142" s="109">
        <f>'Table 1.2 complete'!E139</f>
        <v>92.54</v>
      </c>
      <c r="U142" s="109">
        <f>'Table 1.2 complete'!F139</f>
        <v>10.26</v>
      </c>
      <c r="V142" s="109" t="str">
        <f>'Table 1.2 complete'!G139</f>
        <v>-</v>
      </c>
      <c r="W142" s="109">
        <f>'Table 1.2 complete'!H139</f>
        <v>0.05</v>
      </c>
      <c r="X142" s="109">
        <f>'Table 1.3 complete'!E139</f>
        <v>63.47</v>
      </c>
      <c r="Y142" s="109">
        <f>'Table 1.3 complete'!F139</f>
        <v>0.24</v>
      </c>
      <c r="Z142" s="109" t="str">
        <f>'Table 1.3 complete'!G139</f>
        <v>-</v>
      </c>
      <c r="AA142" s="109">
        <f>'Table 1.3 complete'!H139</f>
        <v>3.39</v>
      </c>
      <c r="AB142" s="109">
        <f>'Table 1.3 complete'!I139</f>
        <v>0.76</v>
      </c>
      <c r="AC142" s="109">
        <f>'Table 1.3 complete'!J139</f>
        <v>25.55</v>
      </c>
      <c r="AD142" s="109" t="str">
        <f>'Table 1.3 complete'!K139</f>
        <v>-</v>
      </c>
      <c r="AE142" s="109" t="str">
        <f>'Table 1.3 complete'!L139</f>
        <v>-</v>
      </c>
      <c r="AF142" s="109" t="str">
        <f>'Table 1.3 complete'!M139</f>
        <v>-</v>
      </c>
      <c r="AG142" s="109" t="str">
        <f>'Table 1.3 complete'!N139</f>
        <v>-</v>
      </c>
      <c r="AH142" s="149">
        <f>SUM(T142:AG142)</f>
        <v>196.26</v>
      </c>
      <c r="AI142" s="106">
        <f>AH142-'Table 1.1 complete'!E139</f>
        <v>-4.0000000000020464E-2</v>
      </c>
      <c r="AJ142" s="113">
        <f>AH142-'Table 1.2 complete'!K139</f>
        <v>9.9999999999909051E-3</v>
      </c>
      <c r="AK142" s="106">
        <f>'Table 1.2 complete'!K139-'Table 1.1 complete'!E139</f>
        <v>-5.0000000000011369E-2</v>
      </c>
    </row>
    <row r="143" spans="2:37" x14ac:dyDescent="0.25">
      <c r="B143" s="374"/>
      <c r="C143" s="374"/>
      <c r="D143" s="374"/>
      <c r="E143" s="374"/>
      <c r="F143" s="374"/>
      <c r="G143" s="377"/>
      <c r="H143" s="96"/>
      <c r="I143" s="96"/>
      <c r="J143" s="96"/>
      <c r="K143" s="96"/>
      <c r="M143" s="96"/>
      <c r="O143" s="618">
        <f t="shared" si="22"/>
        <v>1.9575075342915887E-3</v>
      </c>
      <c r="P143" s="484" t="str">
        <f>'Table 1.2 complete'!A140</f>
        <v>UR of Tanzania</v>
      </c>
      <c r="Q143" s="203">
        <f>'Table 1.2 complete'!B140</f>
        <v>60</v>
      </c>
      <c r="R143" s="172" t="s">
        <v>423</v>
      </c>
      <c r="S143" s="132">
        <v>17</v>
      </c>
      <c r="T143" s="109" t="str">
        <f>'Table 1.2 complete'!E140</f>
        <v>-</v>
      </c>
      <c r="U143" s="109">
        <f>'Table 1.2 complete'!F140</f>
        <v>2.5099999999999998</v>
      </c>
      <c r="V143" s="109" t="str">
        <f>'Table 1.2 complete'!G140</f>
        <v>-</v>
      </c>
      <c r="W143" s="109" t="str">
        <f>'Table 1.2 complete'!H140</f>
        <v>-</v>
      </c>
      <c r="X143" s="109">
        <f>'Table 1.3 complete'!E140</f>
        <v>0.11</v>
      </c>
      <c r="Y143" s="109" t="str">
        <f>'Table 1.3 complete'!F140</f>
        <v>-</v>
      </c>
      <c r="Z143" s="109" t="str">
        <f>'Table 1.3 complete'!G140</f>
        <v>-</v>
      </c>
      <c r="AA143" s="109" t="str">
        <f>'Table 1.3 complete'!H140</f>
        <v>-</v>
      </c>
      <c r="AB143" s="109">
        <f>'Table 1.3 complete'!I140</f>
        <v>0.04</v>
      </c>
      <c r="AC143" s="109">
        <f>'Table 1.3 complete'!J140</f>
        <v>1.51</v>
      </c>
      <c r="AD143" s="109" t="str">
        <f>'Table 1.3 complete'!K140</f>
        <v>-</v>
      </c>
      <c r="AE143" s="109" t="str">
        <f>'Table 1.3 complete'!L140</f>
        <v>-</v>
      </c>
      <c r="AF143" s="109" t="str">
        <f>'Table 1.3 complete'!M140</f>
        <v>-</v>
      </c>
      <c r="AG143" s="109" t="str">
        <f>'Table 1.3 complete'!N140</f>
        <v>-</v>
      </c>
      <c r="AH143" s="149">
        <f>SUM(T143:AG143)</f>
        <v>4.17</v>
      </c>
      <c r="AI143" s="106">
        <f>AH143-'Table 1.1 complete'!E140</f>
        <v>-3.0000000000000249E-2</v>
      </c>
      <c r="AJ143" s="113">
        <f>AH143-'Table 1.2 complete'!K140</f>
        <v>-9.9999999999997868E-3</v>
      </c>
      <c r="AK143" s="106">
        <f>'Table 1.2 complete'!K140-'Table 1.1 complete'!E140</f>
        <v>-2.0000000000000462E-2</v>
      </c>
    </row>
    <row r="144" spans="2:37" x14ac:dyDescent="0.25">
      <c r="B144" s="374"/>
      <c r="C144" s="374"/>
      <c r="D144" s="374"/>
      <c r="E144" s="374"/>
      <c r="F144" s="374"/>
      <c r="G144" s="377"/>
      <c r="H144" s="96"/>
      <c r="I144" s="96"/>
      <c r="J144" s="96"/>
      <c r="K144" s="96"/>
      <c r="M144" s="96"/>
      <c r="O144" s="618">
        <f t="shared" si="22"/>
        <v>4.4219954371766826E-3</v>
      </c>
      <c r="P144" s="484" t="str">
        <f>'Table 1.2 complete'!A141</f>
        <v>Uruguay</v>
      </c>
      <c r="Q144" s="203">
        <f>'Table 1.2 complete'!B141</f>
        <v>87</v>
      </c>
      <c r="R144" s="172" t="s">
        <v>423</v>
      </c>
      <c r="S144" s="132">
        <v>17</v>
      </c>
      <c r="T144" s="109" t="str">
        <f>'Table 1.2 complete'!E141</f>
        <v>-</v>
      </c>
      <c r="U144" s="109">
        <f>'Table 1.2 complete'!F141</f>
        <v>8.07</v>
      </c>
      <c r="V144" s="109" t="str">
        <f>'Table 1.2 complete'!G141</f>
        <v>-</v>
      </c>
      <c r="W144" s="109" t="str">
        <f>'Table 1.2 complete'!H141</f>
        <v>-</v>
      </c>
      <c r="X144" s="109" t="str">
        <f>'Table 1.3 complete'!E141</f>
        <v>-</v>
      </c>
      <c r="Y144" s="109" t="str">
        <f>'Table 1.3 complete'!F141</f>
        <v>-</v>
      </c>
      <c r="Z144" s="109" t="str">
        <f>'Table 1.3 complete'!G141</f>
        <v>-</v>
      </c>
      <c r="AA144" s="109" t="str">
        <f>'Table 1.3 complete'!H141</f>
        <v>-</v>
      </c>
      <c r="AB144" s="109">
        <f>'Table 1.3 complete'!I141</f>
        <v>1.22</v>
      </c>
      <c r="AC144" s="109">
        <f>'Table 1.3 complete'!J141</f>
        <v>0</v>
      </c>
      <c r="AD144" s="109">
        <f>'Table 1.3 complete'!K141</f>
        <v>0.13</v>
      </c>
      <c r="AE144" s="109" t="str">
        <f>'Table 1.3 complete'!L141</f>
        <v>-</v>
      </c>
      <c r="AF144" s="109" t="str">
        <f>'Table 1.3 complete'!M141</f>
        <v>-</v>
      </c>
      <c r="AG144" s="109" t="str">
        <f>'Table 1.3 complete'!N141</f>
        <v>-</v>
      </c>
      <c r="AH144" s="149">
        <f>SUM(T144:AG144)</f>
        <v>9.4200000000000017</v>
      </c>
      <c r="AI144" s="106">
        <f>AH144-'Table 1.1 complete'!E141</f>
        <v>2.000000000000135E-2</v>
      </c>
      <c r="AJ144" s="113">
        <f>AH144-'Table 1.2 complete'!K141</f>
        <v>-9.9999999999980105E-3</v>
      </c>
      <c r="AK144" s="106">
        <f>'Table 1.2 complete'!K141-'Table 1.1 complete'!E141</f>
        <v>2.9999999999999361E-2</v>
      </c>
    </row>
    <row r="145" spans="1:37" x14ac:dyDescent="0.25">
      <c r="B145" s="374"/>
      <c r="C145" s="374"/>
      <c r="D145" s="374"/>
      <c r="E145" s="374"/>
      <c r="F145" s="374"/>
      <c r="G145" s="377"/>
      <c r="H145" s="96"/>
      <c r="I145" s="96"/>
      <c r="J145" s="96"/>
      <c r="K145" s="96"/>
      <c r="M145" s="96"/>
      <c r="O145" s="618">
        <f t="shared" si="22"/>
        <v>2.2978415780233397E-2</v>
      </c>
      <c r="P145" s="484" t="str">
        <f>'Table 1.2 complete'!A142</f>
        <v>Uzbekistan</v>
      </c>
      <c r="Q145" s="203">
        <f>'Table 1.2 complete'!B142</f>
        <v>139</v>
      </c>
      <c r="R145" s="172" t="s">
        <v>423</v>
      </c>
      <c r="S145" s="132">
        <v>17</v>
      </c>
      <c r="T145" s="264" t="str">
        <f>'Table 1.2 complete'!E142</f>
        <v>-</v>
      </c>
      <c r="U145" s="264">
        <f>'Table 1.2 complete'!F142</f>
        <v>6.4</v>
      </c>
      <c r="V145" s="264" t="str">
        <f>'Table 1.2 complete'!G142</f>
        <v>-</v>
      </c>
      <c r="W145" s="264" t="str">
        <f>'Table 1.2 complete'!H142</f>
        <v>-</v>
      </c>
      <c r="X145" s="264" t="str">
        <f>'Table 1.3 complete'!E142</f>
        <v>-</v>
      </c>
      <c r="Y145" s="264">
        <f>'Table 1.3 complete'!F142</f>
        <v>2.44</v>
      </c>
      <c r="Z145" s="264" t="str">
        <f>'Table 1.3 complete'!G142</f>
        <v>-</v>
      </c>
      <c r="AA145" s="264" t="str">
        <f>'Table 1.3 complete'!H142</f>
        <v>-</v>
      </c>
      <c r="AB145" s="264">
        <f>'Table 1.3 complete'!I142</f>
        <v>5.53</v>
      </c>
      <c r="AC145" s="264">
        <f>'Table 1.3 complete'!J142</f>
        <v>34.58</v>
      </c>
      <c r="AD145" s="264" t="str">
        <f>'Table 1.3 complete'!K142</f>
        <v>-</v>
      </c>
      <c r="AE145" s="264" t="str">
        <f>'Table 1.3 complete'!L142</f>
        <v>-</v>
      </c>
      <c r="AF145" s="264" t="str">
        <f>'Table 1.3 complete'!M142</f>
        <v>-</v>
      </c>
      <c r="AG145" s="264" t="str">
        <f>'Table 1.3 complete'!N142</f>
        <v>-</v>
      </c>
      <c r="AH145" s="149">
        <f>SUM(T145:AG145)</f>
        <v>48.95</v>
      </c>
      <c r="AI145" s="106">
        <f>AH145-'Table 1.1 complete'!E142</f>
        <v>-4.9999999999997158E-2</v>
      </c>
      <c r="AJ145" s="113">
        <f>AH145-'Table 1.2 complete'!K142</f>
        <v>0</v>
      </c>
      <c r="AK145" s="106">
        <f>'Table 1.2 complete'!K142-'Table 1.1 complete'!E142</f>
        <v>-4.9999999999997158E-2</v>
      </c>
    </row>
    <row r="146" spans="1:37" x14ac:dyDescent="0.25">
      <c r="B146" s="374"/>
      <c r="C146" s="374"/>
      <c r="D146" s="374"/>
      <c r="E146" s="374"/>
      <c r="F146" s="374"/>
      <c r="G146" s="377"/>
      <c r="H146" s="96"/>
      <c r="I146" s="96"/>
      <c r="J146" s="96"/>
      <c r="K146" s="96"/>
      <c r="M146" s="96"/>
      <c r="O146" s="618">
        <f t="shared" si="22"/>
        <v>3.2620431308854315E-2</v>
      </c>
      <c r="P146" s="484" t="str">
        <f>'Table 1.2 complete'!A143</f>
        <v>Vietnam</v>
      </c>
      <c r="Q146" s="203">
        <f>'Table 1.2 complete'!B143</f>
        <v>107</v>
      </c>
      <c r="R146" s="172" t="s">
        <v>423</v>
      </c>
      <c r="S146" s="132">
        <v>17</v>
      </c>
      <c r="T146" s="109" t="str">
        <f>'Table 1.2 complete'!E143</f>
        <v>-</v>
      </c>
      <c r="U146" s="109">
        <f>'Table 1.2 complete'!F143</f>
        <v>29.88</v>
      </c>
      <c r="V146" s="109" t="str">
        <f>'Table 1.2 complete'!G143</f>
        <v>-</v>
      </c>
      <c r="W146" s="109" t="str">
        <f>'Table 1.2 complete'!H143</f>
        <v>-</v>
      </c>
      <c r="X146" s="109">
        <f>'Table 1.3 complete'!E143</f>
        <v>14.84</v>
      </c>
      <c r="Y146" s="109" t="str">
        <f>'Table 1.3 complete'!F143</f>
        <v>-</v>
      </c>
      <c r="Z146" s="109" t="str">
        <f>'Table 1.3 complete'!G143</f>
        <v>-</v>
      </c>
      <c r="AA146" s="109" t="str">
        <f>'Table 1.3 complete'!H143</f>
        <v>-</v>
      </c>
      <c r="AB146" s="109">
        <f>'Table 1.3 complete'!I143</f>
        <v>2.4700000000000002</v>
      </c>
      <c r="AC146" s="109">
        <f>'Table 1.3 complete'!J143</f>
        <v>22.3</v>
      </c>
      <c r="AD146" s="109" t="str">
        <f>'Table 1.3 complete'!K143</f>
        <v>-</v>
      </c>
      <c r="AE146" s="109" t="str">
        <f>'Table 1.3 complete'!L143</f>
        <v>-</v>
      </c>
      <c r="AF146" s="109" t="str">
        <f>'Table 1.3 complete'!M143</f>
        <v>-</v>
      </c>
      <c r="AG146" s="109" t="str">
        <f>'Table 1.3 complete'!N143</f>
        <v>-</v>
      </c>
      <c r="AH146" s="149">
        <f>SUM(T146:AG146)</f>
        <v>69.489999999999995</v>
      </c>
      <c r="AI146" s="106">
        <f>AH146-'Table 1.1 complete'!E143</f>
        <v>-1.0000000000005116E-2</v>
      </c>
      <c r="AJ146" s="113">
        <f>AH146-'Table 1.2 complete'!K143</f>
        <v>0</v>
      </c>
      <c r="AK146" s="106">
        <f>'Table 1.2 complete'!K143-'Table 1.1 complete'!E143</f>
        <v>-1.0000000000005116E-2</v>
      </c>
    </row>
    <row r="147" spans="1:37" x14ac:dyDescent="0.25">
      <c r="B147" s="374"/>
      <c r="C147" s="374"/>
      <c r="D147" s="374"/>
      <c r="E147" s="374"/>
      <c r="F147" s="374"/>
      <c r="G147" s="377"/>
      <c r="H147" s="96"/>
      <c r="I147" s="96"/>
      <c r="J147" s="96"/>
      <c r="K147" s="96"/>
      <c r="M147" s="96"/>
      <c r="O147" s="618">
        <f t="shared" si="22"/>
        <v>4.6285429947518133E-3</v>
      </c>
      <c r="P147" s="484" t="str">
        <f>'Table 1.2 complete'!A144</f>
        <v>Zambia</v>
      </c>
      <c r="Q147" s="203">
        <f>'Table 1.2 complete'!B144</f>
        <v>63</v>
      </c>
      <c r="R147" s="172" t="s">
        <v>423</v>
      </c>
      <c r="S147" s="132">
        <v>17</v>
      </c>
      <c r="T147" s="109" t="str">
        <f>'Table 1.2 complete'!E144</f>
        <v>-</v>
      </c>
      <c r="U147" s="109">
        <f>'Table 1.2 complete'!F144</f>
        <v>9.8000000000000007</v>
      </c>
      <c r="V147" s="109" t="str">
        <f>'Table 1.2 complete'!G144</f>
        <v>-</v>
      </c>
      <c r="W147" s="109" t="str">
        <f>'Table 1.2 complete'!H144</f>
        <v>-</v>
      </c>
      <c r="X147" s="109">
        <f>'Table 1.3 complete'!E144</f>
        <v>0.02</v>
      </c>
      <c r="Y147" s="109" t="str">
        <f>'Table 1.3 complete'!F144</f>
        <v>-</v>
      </c>
      <c r="Z147" s="109" t="str">
        <f>'Table 1.3 complete'!G144</f>
        <v>-</v>
      </c>
      <c r="AA147" s="109" t="str">
        <f>'Table 1.3 complete'!H144</f>
        <v>-</v>
      </c>
      <c r="AB147" s="109">
        <f>'Table 1.3 complete'!I144</f>
        <v>0.04</v>
      </c>
      <c r="AC147" s="109" t="str">
        <f>'Table 1.3 complete'!J144</f>
        <v>-</v>
      </c>
      <c r="AD147" s="109" t="str">
        <f>'Table 1.3 complete'!K144</f>
        <v>-</v>
      </c>
      <c r="AE147" s="109" t="str">
        <f>'Table 1.3 complete'!L144</f>
        <v>-</v>
      </c>
      <c r="AF147" s="109" t="str">
        <f>'Table 1.3 complete'!M144</f>
        <v>-</v>
      </c>
      <c r="AG147" s="109" t="str">
        <f>'Table 1.3 complete'!N144</f>
        <v>-</v>
      </c>
      <c r="AH147" s="149">
        <f>SUM(T147:AG147)</f>
        <v>9.86</v>
      </c>
      <c r="AI147" s="106">
        <f>AH147-'Table 1.1 complete'!E144</f>
        <v>-4.0000000000000924E-2</v>
      </c>
      <c r="AJ147" s="113">
        <f>AH147-'Table 1.2 complete'!K144</f>
        <v>9.9999999999997868E-3</v>
      </c>
      <c r="AK147" s="106">
        <f>'Table 1.2 complete'!K144-'Table 1.1 complete'!E144</f>
        <v>-5.0000000000000711E-2</v>
      </c>
    </row>
    <row r="148" spans="1:37" ht="15.75" thickBot="1" x14ac:dyDescent="0.3">
      <c r="B148" s="374"/>
      <c r="C148" s="374"/>
      <c r="D148" s="374"/>
      <c r="E148" s="374"/>
      <c r="F148" s="374"/>
      <c r="G148" s="377"/>
      <c r="H148" s="96"/>
      <c r="I148" s="96"/>
      <c r="J148" s="96"/>
      <c r="K148" s="96"/>
      <c r="M148" s="96"/>
      <c r="O148" s="618">
        <f t="shared" si="22"/>
        <v>4.3046388703726303E-3</v>
      </c>
      <c r="P148" s="484" t="str">
        <f>'Table 1.2 complete'!A145</f>
        <v>Zimbabwe</v>
      </c>
      <c r="Q148" s="203">
        <f>'Table 1.2 complete'!B145</f>
        <v>64</v>
      </c>
      <c r="R148" s="172" t="s">
        <v>423</v>
      </c>
      <c r="S148" s="132">
        <v>17</v>
      </c>
      <c r="T148" s="109" t="str">
        <f>'Table 1.2 complete'!E145</f>
        <v>-</v>
      </c>
      <c r="U148" s="109">
        <f>'Table 1.2 complete'!F145</f>
        <v>5.21</v>
      </c>
      <c r="V148" s="109" t="str">
        <f>'Table 1.2 complete'!G145</f>
        <v>-</v>
      </c>
      <c r="W148" s="109" t="str">
        <f>'Table 1.2 complete'!H145</f>
        <v>-</v>
      </c>
      <c r="X148" s="109">
        <f>'Table 1.3 complete'!E145</f>
        <v>3.94</v>
      </c>
      <c r="Y148" s="109" t="str">
        <f>'Table 1.3 complete'!F145</f>
        <v>-</v>
      </c>
      <c r="Z148" s="109" t="str">
        <f>'Table 1.3 complete'!G145</f>
        <v>-</v>
      </c>
      <c r="AA148" s="109" t="str">
        <f>'Table 1.3 complete'!H145</f>
        <v>-</v>
      </c>
      <c r="AB148" s="109">
        <f>'Table 1.3 complete'!I145</f>
        <v>0.02</v>
      </c>
      <c r="AC148" s="109" t="str">
        <f>'Table 1.3 complete'!J145</f>
        <v>-</v>
      </c>
      <c r="AD148" s="109" t="str">
        <f>'Table 1.3 complete'!K145</f>
        <v>-</v>
      </c>
      <c r="AE148" s="109" t="str">
        <f>'Table 1.3 complete'!L145</f>
        <v>-</v>
      </c>
      <c r="AF148" s="109" t="str">
        <f>'Table 1.3 complete'!M145</f>
        <v>-</v>
      </c>
      <c r="AG148" s="109" t="str">
        <f>'Table 1.3 complete'!N145</f>
        <v>-</v>
      </c>
      <c r="AH148" s="149">
        <f>SUM(T148:AG148)</f>
        <v>9.17</v>
      </c>
      <c r="AI148" s="106">
        <f>AH148-'Table 1.1 complete'!E145</f>
        <v>-2.9999999999999361E-2</v>
      </c>
      <c r="AJ148" s="113">
        <f>AH148-'Table 1.2 complete'!K145</f>
        <v>-9.9999999999997868E-3</v>
      </c>
      <c r="AK148" s="106">
        <f>'Table 1.2 complete'!K145-'Table 1.1 complete'!E145</f>
        <v>-1.9999999999999574E-2</v>
      </c>
    </row>
    <row r="149" spans="1:37" x14ac:dyDescent="0.25">
      <c r="A149" s="885"/>
      <c r="B149" s="684"/>
      <c r="C149" s="684"/>
      <c r="D149" s="684"/>
      <c r="E149" s="684"/>
      <c r="F149" s="684"/>
      <c r="G149" s="685"/>
      <c r="H149" s="686"/>
      <c r="I149" s="686"/>
      <c r="J149" s="686"/>
      <c r="K149" s="686"/>
      <c r="L149" s="687"/>
      <c r="M149" s="686"/>
      <c r="N149" s="687"/>
      <c r="O149" s="686"/>
      <c r="P149" s="928" t="str">
        <f>'Table 1.2 complete'!A146</f>
        <v>Africa</v>
      </c>
      <c r="Q149" s="929">
        <f>'Table 1.2 complete'!B146</f>
        <v>66</v>
      </c>
      <c r="R149" s="930" t="s">
        <v>277</v>
      </c>
      <c r="S149" s="931">
        <f>'Table 1.2 complete'!D146</f>
        <v>99</v>
      </c>
      <c r="T149" s="932">
        <f>'Table 1.2 complete'!E146</f>
        <v>11.32</v>
      </c>
      <c r="U149" s="932">
        <f>'Table 1.2 complete'!F146</f>
        <v>98.63</v>
      </c>
      <c r="V149" s="932">
        <f>'Table 1.2 complete'!G146</f>
        <v>1.02</v>
      </c>
      <c r="W149" s="932">
        <f>'Table 1.2 complete'!H146</f>
        <v>1.25</v>
      </c>
      <c r="X149" s="932">
        <f>'Table 1.3 complete'!E146</f>
        <v>267.04000000000002</v>
      </c>
      <c r="Y149" s="932" t="str">
        <f>'Table 1.3 complete'!F146</f>
        <v>-</v>
      </c>
      <c r="Z149" s="932" t="str">
        <f>'Table 1.3 complete'!G146</f>
        <v>-</v>
      </c>
      <c r="AA149" s="932" t="str">
        <f>'Table 1.3 complete'!H146</f>
        <v>-</v>
      </c>
      <c r="AB149" s="932">
        <f>'Table 1.3 complete'!I146</f>
        <v>67.989999999999995</v>
      </c>
      <c r="AC149" s="932">
        <f>'Table 1.3 complete'!J146</f>
        <v>170.07</v>
      </c>
      <c r="AD149" s="932">
        <f>'Table 1.3 complete'!K146</f>
        <v>0.76</v>
      </c>
      <c r="AE149" s="932" t="str">
        <f>'Table 1.3 complete'!L146</f>
        <v>-</v>
      </c>
      <c r="AF149" s="932" t="str">
        <f>'Table 1.3 complete'!M146</f>
        <v>-</v>
      </c>
      <c r="AG149" s="932" t="str">
        <f>'Table 1.3 complete'!N146</f>
        <v>-</v>
      </c>
      <c r="AH149" s="933">
        <f>SUM(T149:AG149)</f>
        <v>618.07999999999993</v>
      </c>
      <c r="AI149" s="934">
        <f>AH149-'Table 1.1 complete'!E146</f>
        <v>-2.0000000000095497E-2</v>
      </c>
      <c r="AJ149" s="935">
        <f>AH149-'Table 1.2 complete'!K146</f>
        <v>9.9999999998772182E-3</v>
      </c>
      <c r="AK149" s="934">
        <f>'Table 1.2 complete'!K146-'Table 1.1 complete'!E146</f>
        <v>-2.9999999999972715E-2</v>
      </c>
    </row>
    <row r="150" spans="1:37" x14ac:dyDescent="0.25">
      <c r="B150" s="374"/>
      <c r="C150" s="374"/>
      <c r="D150" s="374"/>
      <c r="E150" s="374"/>
      <c r="F150" s="374"/>
      <c r="G150" s="377"/>
      <c r="H150" s="96"/>
      <c r="I150" s="96"/>
      <c r="J150" s="96"/>
      <c r="K150" s="96"/>
      <c r="M150" s="96"/>
      <c r="O150" s="96"/>
      <c r="P150" s="183" t="str">
        <f>'Table 1.2 complete'!A147</f>
        <v>Asia (excl. China)</v>
      </c>
      <c r="Q150" s="74">
        <f>'Table 1.2 complete'!B147</f>
        <v>109</v>
      </c>
      <c r="R150" s="77" t="s">
        <v>278</v>
      </c>
      <c r="S150" s="75">
        <f>'Table 1.2 complete'!D147</f>
        <v>99</v>
      </c>
      <c r="T150" s="110">
        <f>'Table 1.2 complete'!E147</f>
        <v>60.39</v>
      </c>
      <c r="U150" s="110">
        <f>'Table 1.2 complete'!F147</f>
        <v>259.99</v>
      </c>
      <c r="V150" s="110">
        <f>'Table 1.2 complete'!G147</f>
        <v>17.239999999999998</v>
      </c>
      <c r="W150" s="110">
        <f>'Table 1.2 complete'!H147</f>
        <v>12.2</v>
      </c>
      <c r="X150" s="110">
        <f>'Table 1.3 complete'!E147</f>
        <v>715.97</v>
      </c>
      <c r="Y150" s="110">
        <f>'Table 1.3 complete'!F147</f>
        <v>116.37</v>
      </c>
      <c r="Z150" s="110" t="str">
        <f>'Table 1.3 complete'!G147</f>
        <v>-</v>
      </c>
      <c r="AA150" s="110">
        <f>'Table 1.3 complete'!H147</f>
        <v>3.85</v>
      </c>
      <c r="AB150" s="110">
        <f>'Table 1.3 complete'!I147</f>
        <v>159.88999999999999</v>
      </c>
      <c r="AC150" s="110">
        <f>'Table 1.3 complete'!J147</f>
        <v>424.64</v>
      </c>
      <c r="AD150" s="110">
        <f>'Table 1.3 complete'!K147</f>
        <v>6.81</v>
      </c>
      <c r="AE150" s="110" t="str">
        <f>'Table 1.3 complete'!L147</f>
        <v>-</v>
      </c>
      <c r="AF150" s="110">
        <f>'Table 1.3 complete'!M147</f>
        <v>3.02</v>
      </c>
      <c r="AG150" s="110">
        <f>'Table 1.3 complete'!N147</f>
        <v>0.01</v>
      </c>
      <c r="AH150" s="150">
        <f>SUM(T150:AG150)</f>
        <v>1780.3799999999994</v>
      </c>
      <c r="AI150" s="107">
        <f>AH150-'Table 1.1 complete'!E147</f>
        <v>-2.0000000000663931E-2</v>
      </c>
      <c r="AJ150" s="114">
        <f>AH150-'Table 1.2 complete'!K147</f>
        <v>1.9999999999527063E-2</v>
      </c>
      <c r="AK150" s="107">
        <f>'Table 1.2 complete'!K147-'Table 1.1 complete'!E147</f>
        <v>-4.0000000000190994E-2</v>
      </c>
    </row>
    <row r="151" spans="1:37" x14ac:dyDescent="0.25">
      <c r="B151" s="374"/>
      <c r="C151" s="374"/>
      <c r="D151" s="374"/>
      <c r="E151" s="374"/>
      <c r="F151" s="374"/>
      <c r="G151" s="377"/>
      <c r="H151" s="96"/>
      <c r="I151" s="96"/>
      <c r="J151" s="96"/>
      <c r="K151" s="96"/>
      <c r="M151" s="96"/>
      <c r="O151" s="96"/>
      <c r="P151" s="183" t="str">
        <f>'Table 1.2 complete'!A148</f>
        <v>China (Region)</v>
      </c>
      <c r="Q151" s="74">
        <f>'Table 1.2 complete'!B148</f>
        <v>112</v>
      </c>
      <c r="R151" s="77" t="s">
        <v>279</v>
      </c>
      <c r="S151" s="75">
        <f>'Table 1.2 complete'!D148</f>
        <v>99</v>
      </c>
      <c r="T151" s="110">
        <f>'Table 1.2 complete'!E148</f>
        <v>62.13</v>
      </c>
      <c r="U151" s="110">
        <f>'Table 1.2 complete'!F148</f>
        <v>485.26</v>
      </c>
      <c r="V151" s="110" t="str">
        <f>'Table 1.2 complete'!G148</f>
        <v>-</v>
      </c>
      <c r="W151" s="110">
        <f>'Table 1.2 complete'!H148</f>
        <v>8.91</v>
      </c>
      <c r="X151" s="110">
        <f>'Table 1.3 complete'!E148</f>
        <v>2662.85</v>
      </c>
      <c r="Y151" s="110" t="str">
        <f>'Table 1.3 complete'!F148</f>
        <v>-</v>
      </c>
      <c r="Z151" s="110" t="str">
        <f>'Table 1.3 complete'!G148</f>
        <v>-</v>
      </c>
      <c r="AA151" s="110">
        <f>'Table 1.3 complete'!H148</f>
        <v>22.12</v>
      </c>
      <c r="AB151" s="110">
        <f>'Table 1.3 complete'!I148</f>
        <v>33.75</v>
      </c>
      <c r="AC151" s="110" t="str">
        <f>'Table 1.3 complete'!J148</f>
        <v>-</v>
      </c>
      <c r="AD151" s="110" t="str">
        <f>'Table 1.3 complete'!K148</f>
        <v>-</v>
      </c>
      <c r="AE151" s="110" t="str">
        <f>'Table 1.3 complete'!L148</f>
        <v>-</v>
      </c>
      <c r="AF151" s="110">
        <f>'Table 1.3 complete'!M148</f>
        <v>40.86</v>
      </c>
      <c r="AG151" s="110">
        <f>'Table 1.3 complete'!N148</f>
        <v>2.31</v>
      </c>
      <c r="AH151" s="150">
        <f>SUM(T151:AG151)</f>
        <v>3318.1899999999996</v>
      </c>
      <c r="AI151" s="107">
        <f>AH151-'Table 1.1 complete'!E148</f>
        <v>-1.0000000000218279E-2</v>
      </c>
      <c r="AJ151" s="114">
        <f>AH151-'Table 1.2 complete'!K148</f>
        <v>0</v>
      </c>
      <c r="AK151" s="107">
        <f>'Table 1.2 complete'!K148-'Table 1.1 complete'!E148</f>
        <v>-9.9999999997635314E-3</v>
      </c>
    </row>
    <row r="152" spans="1:37" x14ac:dyDescent="0.25">
      <c r="B152" s="374"/>
      <c r="C152" s="374"/>
      <c r="D152" s="374"/>
      <c r="E152" s="374"/>
      <c r="F152" s="374"/>
      <c r="P152" s="183" t="str">
        <f>'Table 1.2 complete'!A149</f>
        <v>FSU</v>
      </c>
      <c r="Q152" s="74">
        <f>'Table 1.2 complete'!B149</f>
        <v>140</v>
      </c>
      <c r="R152" s="77" t="s">
        <v>280</v>
      </c>
      <c r="S152" s="75">
        <f>'Table 1.2 complete'!D149</f>
        <v>99</v>
      </c>
      <c r="T152" s="110">
        <f>'Table 1.2 complete'!E149</f>
        <v>264.97000000000003</v>
      </c>
      <c r="U152" s="110">
        <f>'Table 1.2 complete'!F149</f>
        <v>249.69</v>
      </c>
      <c r="V152" s="110">
        <f>'Table 1.2 complete'!G149</f>
        <v>0.49</v>
      </c>
      <c r="W152" s="110">
        <f>'Table 1.2 complete'!H149</f>
        <v>0.54</v>
      </c>
      <c r="X152" s="110">
        <f>'Table 1.3 complete'!E149</f>
        <v>217.99</v>
      </c>
      <c r="Y152" s="110">
        <f>'Table 1.3 complete'!F149</f>
        <v>75.599999999999994</v>
      </c>
      <c r="Z152" s="110">
        <f>'Table 1.3 complete'!G149</f>
        <v>0.79</v>
      </c>
      <c r="AA152" s="110">
        <f>'Table 1.3 complete'!H149</f>
        <v>10.9</v>
      </c>
      <c r="AB152" s="110">
        <f>'Table 1.3 complete'!I149</f>
        <v>34.380000000000003</v>
      </c>
      <c r="AC152" s="110">
        <f>'Table 1.3 complete'!J149</f>
        <v>633.27</v>
      </c>
      <c r="AD152" s="110">
        <f>'Table 1.3 complete'!K149</f>
        <v>0.1</v>
      </c>
      <c r="AE152" s="110">
        <f>'Table 1.3 complete'!L149</f>
        <v>2.06</v>
      </c>
      <c r="AF152" s="110" t="str">
        <f>'Table 1.3 complete'!M149</f>
        <v>-</v>
      </c>
      <c r="AG152" s="110">
        <f>'Table 1.3 complete'!N149</f>
        <v>0.06</v>
      </c>
      <c r="AH152" s="150">
        <f>SUM(T152:AG152)</f>
        <v>1490.8399999999997</v>
      </c>
      <c r="AI152" s="107">
        <f>AH152-'Table 1.1 complete'!E149</f>
        <v>3.9999999999736247E-2</v>
      </c>
      <c r="AJ152" s="114">
        <f>AH152-'Table 1.2 complete'!K149</f>
        <v>1.9999999999754436E-2</v>
      </c>
      <c r="AK152" s="107">
        <f>'Table 1.2 complete'!K149-'Table 1.1 complete'!E149</f>
        <v>1.999999999998181E-2</v>
      </c>
    </row>
    <row r="153" spans="1:37" x14ac:dyDescent="0.25">
      <c r="B153" s="374"/>
      <c r="C153" s="374"/>
      <c r="D153" s="374"/>
      <c r="E153" s="374"/>
      <c r="F153" s="374"/>
      <c r="P153" s="183" t="str">
        <f>'Table 1.2 complete'!A150</f>
        <v>Latin America</v>
      </c>
      <c r="Q153" s="74">
        <f>'Table 1.2 complete'!B150</f>
        <v>90</v>
      </c>
      <c r="R153" s="77" t="s">
        <v>281</v>
      </c>
      <c r="S153" s="75">
        <f>'Table 1.2 complete'!D150</f>
        <v>99</v>
      </c>
      <c r="T153" s="110">
        <f>'Table 1.2 complete'!E150</f>
        <v>19.57</v>
      </c>
      <c r="U153" s="110">
        <f>'Table 1.2 complete'!F150</f>
        <v>669.28</v>
      </c>
      <c r="V153" s="110">
        <f>'Table 1.2 complete'!G150</f>
        <v>2.86</v>
      </c>
      <c r="W153" s="110">
        <f>'Table 1.2 complete'!H150</f>
        <v>2.41</v>
      </c>
      <c r="X153" s="110">
        <f>'Table 1.3 complete'!E150</f>
        <v>22.34</v>
      </c>
      <c r="Y153" s="110">
        <f>'Table 1.3 complete'!F150</f>
        <v>5.96</v>
      </c>
      <c r="Z153" s="110" t="str">
        <f>'Table 1.3 complete'!G150</f>
        <v>-</v>
      </c>
      <c r="AA153" s="110">
        <f>'Table 1.3 complete'!H150</f>
        <v>5</v>
      </c>
      <c r="AB153" s="110">
        <f>'Table 1.3 complete'!I150</f>
        <v>125.35</v>
      </c>
      <c r="AC153" s="110">
        <f>'Table 1.3 complete'!J150</f>
        <v>128.18</v>
      </c>
      <c r="AD153" s="110">
        <f>'Table 1.3 complete'!K150</f>
        <v>25.94</v>
      </c>
      <c r="AE153" s="110" t="str">
        <f>'Table 1.3 complete'!L150</f>
        <v>-</v>
      </c>
      <c r="AF153" s="110" t="str">
        <f>'Table 1.3 complete'!M150</f>
        <v>-</v>
      </c>
      <c r="AG153" s="110">
        <f>'Table 1.3 complete'!N150</f>
        <v>0.01</v>
      </c>
      <c r="AH153" s="150">
        <f>SUM(T153:AG153)</f>
        <v>1006.9000000000001</v>
      </c>
      <c r="AI153" s="107">
        <f>AH153-'Table 1.1 complete'!E150</f>
        <v>0</v>
      </c>
      <c r="AJ153" s="114">
        <f>AH153-'Table 1.2 complete'!K150</f>
        <v>2.0000000000095497E-2</v>
      </c>
      <c r="AK153" s="107">
        <f>'Table 1.2 complete'!K150-'Table 1.1 complete'!E150</f>
        <v>-1.999999999998181E-2</v>
      </c>
    </row>
    <row r="154" spans="1:37" x14ac:dyDescent="0.25">
      <c r="B154" s="374"/>
      <c r="C154" s="374"/>
      <c r="D154" s="374"/>
      <c r="E154" s="374"/>
      <c r="F154" s="374"/>
      <c r="P154" s="182" t="str">
        <f>'Table 1.2 complete'!A151</f>
        <v>Middle East</v>
      </c>
      <c r="Q154" s="74">
        <f>'Table 1.2 complete'!B151</f>
        <v>154</v>
      </c>
      <c r="R154" s="266" t="s">
        <v>282</v>
      </c>
      <c r="S154" s="75">
        <f>'Table 1.2 complete'!D151</f>
        <v>99</v>
      </c>
      <c r="T154" s="110" t="str">
        <f>'Table 1.2 complete'!E151</f>
        <v>-</v>
      </c>
      <c r="U154" s="110">
        <f>'Table 1.2 complete'!F151</f>
        <v>22.69</v>
      </c>
      <c r="V154" s="110" t="str">
        <f>'Table 1.2 complete'!G151</f>
        <v>-</v>
      </c>
      <c r="W154" s="110">
        <f>'Table 1.2 complete'!H151</f>
        <v>0.16</v>
      </c>
      <c r="X154" s="110">
        <f>'Table 1.3 complete'!E151</f>
        <v>37.25</v>
      </c>
      <c r="Y154" s="110">
        <f>'Table 1.3 complete'!F151</f>
        <v>0.16</v>
      </c>
      <c r="Z154" s="110" t="str">
        <f>'Table 1.3 complete'!G151</f>
        <v>-</v>
      </c>
      <c r="AA154" s="110" t="str">
        <f>'Table 1.3 complete'!H151</f>
        <v>-</v>
      </c>
      <c r="AB154" s="110">
        <f>'Table 1.3 complete'!I151</f>
        <v>250.07</v>
      </c>
      <c r="AC154" s="110">
        <f>'Table 1.3 complete'!J151</f>
        <v>404.28</v>
      </c>
      <c r="AD154" s="110" t="str">
        <f>'Table 1.3 complete'!K151</f>
        <v>-</v>
      </c>
      <c r="AE154" s="110" t="str">
        <f>'Table 1.3 complete'!L151</f>
        <v>-</v>
      </c>
      <c r="AF154" s="110" t="str">
        <f>'Table 1.3 complete'!M151</f>
        <v>-</v>
      </c>
      <c r="AG154" s="110">
        <f>'Table 1.3 complete'!N151</f>
        <v>0.01</v>
      </c>
      <c r="AH154" s="150">
        <f>SUM(T154:AG154)</f>
        <v>714.61999999999989</v>
      </c>
      <c r="AI154" s="107">
        <f>AH154-'Table 1.1 complete'!E151</f>
        <v>1.9999999999868123E-2</v>
      </c>
      <c r="AJ154" s="114">
        <f>AH154-'Table 1.2 complete'!K151</f>
        <v>1.9999999999868123E-2</v>
      </c>
      <c r="AK154" s="107">
        <f>'Table 1.2 complete'!K151-'Table 1.1 complete'!E151</f>
        <v>0</v>
      </c>
    </row>
    <row r="155" spans="1:37" x14ac:dyDescent="0.25">
      <c r="B155" s="374"/>
      <c r="C155" s="374"/>
      <c r="D155" s="374"/>
      <c r="E155" s="374"/>
      <c r="F155" s="374"/>
      <c r="P155" s="183" t="str">
        <f>'Table 1.2 complete'!A152</f>
        <v>Non-OECD Europe</v>
      </c>
      <c r="Q155" s="74">
        <f>'Table 1.2 complete'!B152</f>
        <v>124</v>
      </c>
      <c r="R155" s="77" t="s">
        <v>283</v>
      </c>
      <c r="S155" s="75">
        <f>'Table 1.2 complete'!D152</f>
        <v>99</v>
      </c>
      <c r="T155" s="110">
        <f>'Table 1.2 complete'!E152</f>
        <v>28.05</v>
      </c>
      <c r="U155" s="110">
        <f>'Table 1.2 complete'!F152</f>
        <v>44.7</v>
      </c>
      <c r="V155" s="110" t="str">
        <f>'Table 1.2 complete'!G152</f>
        <v>-</v>
      </c>
      <c r="W155" s="110">
        <f>'Table 1.2 complete'!H152</f>
        <v>0.09</v>
      </c>
      <c r="X155" s="110">
        <f>'Table 1.3 complete'!E152</f>
        <v>15.58</v>
      </c>
      <c r="Y155" s="110">
        <f>'Table 1.3 complete'!F152</f>
        <v>78.239999999999995</v>
      </c>
      <c r="Z155" s="110" t="str">
        <f>'Table 1.3 complete'!G152</f>
        <v>-</v>
      </c>
      <c r="AA155" s="110">
        <f>'Table 1.3 complete'!H152</f>
        <v>0.41</v>
      </c>
      <c r="AB155" s="110">
        <f>'Table 1.3 complete'!I152</f>
        <v>12.5</v>
      </c>
      <c r="AC155" s="110">
        <f>'Table 1.3 complete'!J152</f>
        <v>17.8</v>
      </c>
      <c r="AD155" s="110">
        <f>'Table 1.3 complete'!K152</f>
        <v>0.1</v>
      </c>
      <c r="AE155" s="110">
        <f>'Table 1.3 complete'!L152</f>
        <v>0.01</v>
      </c>
      <c r="AF155" s="110" t="str">
        <f>'Table 1.3 complete'!M152</f>
        <v>-</v>
      </c>
      <c r="AG155" s="110">
        <f>'Table 1.3 complete'!N152</f>
        <v>0.06</v>
      </c>
      <c r="AH155" s="150">
        <f>SUM(T155:AG155)</f>
        <v>197.54</v>
      </c>
      <c r="AI155" s="107">
        <f>AH155-'Table 1.1 complete'!E152</f>
        <v>3.9999999999992042E-2</v>
      </c>
      <c r="AJ155" s="114">
        <f>AH155-'Table 1.2 complete'!K152</f>
        <v>1.999999999998181E-2</v>
      </c>
      <c r="AK155" s="107">
        <f>'Table 1.2 complete'!K152-'Table 1.1 complete'!E152</f>
        <v>2.0000000000010232E-2</v>
      </c>
    </row>
    <row r="156" spans="1:37" x14ac:dyDescent="0.25">
      <c r="B156" s="374"/>
      <c r="C156" s="374"/>
      <c r="D156" s="374"/>
      <c r="E156" s="374"/>
      <c r="F156" s="374"/>
      <c r="P156" s="183" t="str">
        <f>'Table 1.2 complete'!A153</f>
        <v>Non-OECD Total</v>
      </c>
      <c r="Q156" s="74">
        <f>'Table 1.2 complete'!B153</f>
        <v>155</v>
      </c>
      <c r="R156" s="77" t="s">
        <v>284</v>
      </c>
      <c r="S156" s="75">
        <f>'Table 1.2 complete'!D153</f>
        <v>99</v>
      </c>
      <c r="T156" s="110">
        <f>'Table 1.2 complete'!E153</f>
        <v>446.42</v>
      </c>
      <c r="U156" s="110">
        <f>'Table 1.2 complete'!F153</f>
        <v>1830.23</v>
      </c>
      <c r="V156" s="110">
        <f>'Table 1.2 complete'!G153</f>
        <v>21.61</v>
      </c>
      <c r="W156" s="110">
        <f>'Table 1.2 complete'!H153</f>
        <v>25.54</v>
      </c>
      <c r="X156" s="110">
        <f>'Table 1.3 complete'!E153</f>
        <v>3939.01</v>
      </c>
      <c r="Y156" s="110">
        <f>'Table 1.3 complete'!F153</f>
        <v>276.32</v>
      </c>
      <c r="Z156" s="110">
        <f>'Table 1.3 complete'!G153</f>
        <v>0.79</v>
      </c>
      <c r="AA156" s="110">
        <f>'Table 1.3 complete'!H153</f>
        <v>42.28</v>
      </c>
      <c r="AB156" s="110">
        <f>'Table 1.3 complete'!I153</f>
        <v>683.91</v>
      </c>
      <c r="AC156" s="110">
        <f>'Table 1.3 complete'!J153</f>
        <v>1819.08</v>
      </c>
      <c r="AD156" s="110">
        <f>'Table 1.3 complete'!K153</f>
        <v>36.020000000000003</v>
      </c>
      <c r="AE156" s="110">
        <f>'Table 1.3 complete'!L153</f>
        <v>2.0699999999999998</v>
      </c>
      <c r="AF156" s="110">
        <f>'Table 1.3 complete'!M153</f>
        <v>3.02</v>
      </c>
      <c r="AG156" s="110">
        <f>'Table 1.3 complete'!N153</f>
        <v>0.14000000000000001</v>
      </c>
      <c r="AH156" s="150">
        <f>SUM(T156:AG156)</f>
        <v>9126.4399999999987</v>
      </c>
      <c r="AI156" s="107">
        <f>AH156-'Table 1.1 complete'!E153</f>
        <v>3.9999999999054126E-2</v>
      </c>
      <c r="AJ156" s="114">
        <f>AH156-'Table 1.2 complete'!K153</f>
        <v>9.9999999983992893E-3</v>
      </c>
      <c r="AK156" s="107">
        <f>'Table 1.2 complete'!K153-'Table 1.1 complete'!E153</f>
        <v>3.0000000000654836E-2</v>
      </c>
    </row>
    <row r="157" spans="1:37" x14ac:dyDescent="0.25">
      <c r="B157" s="374"/>
      <c r="C157" s="374"/>
      <c r="D157" s="374"/>
      <c r="E157" s="374"/>
      <c r="F157" s="374"/>
      <c r="P157" s="183" t="str">
        <f>'Table 1.2 complete'!A154</f>
        <v xml:space="preserve">Non-OECD Total </v>
      </c>
      <c r="Q157" s="74">
        <f>'Table 1.2 complete'!B154</f>
        <v>2</v>
      </c>
      <c r="R157" s="77" t="s">
        <v>285</v>
      </c>
      <c r="S157" s="75">
        <f>'Table 1.2 complete'!D154</f>
        <v>99</v>
      </c>
      <c r="T157" s="110">
        <f>'Table 1.2 complete'!E154</f>
        <v>446.42</v>
      </c>
      <c r="U157" s="110">
        <f>'Table 1.2 complete'!F154</f>
        <v>1830.23</v>
      </c>
      <c r="V157" s="110">
        <f>'Table 1.2 complete'!G154</f>
        <v>21.61</v>
      </c>
      <c r="W157" s="110">
        <f>'Table 1.2 complete'!H154</f>
        <v>25.54</v>
      </c>
      <c r="X157" s="110">
        <f>'Table 1.3 complete'!E154</f>
        <v>3939.01</v>
      </c>
      <c r="Y157" s="110">
        <f>'Table 1.3 complete'!F154</f>
        <v>276.32</v>
      </c>
      <c r="Z157" s="110">
        <f>'Table 1.3 complete'!G154</f>
        <v>0.79</v>
      </c>
      <c r="AA157" s="110">
        <f>'Table 1.3 complete'!H154</f>
        <v>42.28</v>
      </c>
      <c r="AB157" s="110">
        <f>'Table 1.3 complete'!I154</f>
        <v>683.91</v>
      </c>
      <c r="AC157" s="110">
        <f>'Table 1.3 complete'!J154</f>
        <v>1819.08</v>
      </c>
      <c r="AD157" s="110">
        <f>'Table 1.3 complete'!K154</f>
        <v>36.020000000000003</v>
      </c>
      <c r="AE157" s="110">
        <f>'Table 1.3 complete'!L154</f>
        <v>2.0699999999999998</v>
      </c>
      <c r="AF157" s="110">
        <f>'Table 1.3 complete'!M154</f>
        <v>3.02</v>
      </c>
      <c r="AG157" s="110">
        <f>'Table 1.3 complete'!N154</f>
        <v>0.14000000000000001</v>
      </c>
      <c r="AH157" s="150">
        <f>SUM(T157:AG157)</f>
        <v>9126.4399999999987</v>
      </c>
      <c r="AI157" s="107">
        <f>AH157-'Table 1.1 complete'!E154</f>
        <v>3.9999999999054126E-2</v>
      </c>
      <c r="AJ157" s="114">
        <f>AH157-'Table 1.2 complete'!K154</f>
        <v>9.9999999983992893E-3</v>
      </c>
      <c r="AK157" s="107">
        <f>'Table 1.2 complete'!K154-'Table 1.1 complete'!E154</f>
        <v>3.0000000000654836E-2</v>
      </c>
    </row>
    <row r="158" spans="1:37" x14ac:dyDescent="0.25">
      <c r="B158" s="374"/>
      <c r="C158" s="374"/>
      <c r="D158" s="374"/>
      <c r="E158" s="374"/>
      <c r="F158" s="374"/>
      <c r="P158" s="183" t="str">
        <f>'Table 1.2 complete'!A155</f>
        <v>OECD Europe</v>
      </c>
      <c r="Q158" s="74">
        <f>'Table 1.2 complete'!B155</f>
        <v>35</v>
      </c>
      <c r="R158" s="77" t="s">
        <v>286</v>
      </c>
      <c r="S158" s="75">
        <f>'Table 1.2 complete'!D155</f>
        <v>99</v>
      </c>
      <c r="T158" s="110">
        <f>'Table 1.2 complete'!E155</f>
        <v>925.32</v>
      </c>
      <c r="U158" s="110">
        <f>'Table 1.2 complete'!F155</f>
        <v>533.11</v>
      </c>
      <c r="V158" s="110">
        <f>'Table 1.2 complete'!G155</f>
        <v>9.51</v>
      </c>
      <c r="W158" s="110">
        <f>'Table 1.2 complete'!H155</f>
        <v>111.93</v>
      </c>
      <c r="X158" s="110">
        <f>'Table 1.3 complete'!E155</f>
        <v>600.42999999999995</v>
      </c>
      <c r="Y158" s="110">
        <f>'Table 1.3 complete'!F155</f>
        <v>366.37</v>
      </c>
      <c r="Z158" s="110">
        <f>'Table 1.3 complete'!G155</f>
        <v>9.93</v>
      </c>
      <c r="AA158" s="110">
        <f>'Table 1.3 complete'!H155</f>
        <v>35.97</v>
      </c>
      <c r="AB158" s="110">
        <f>'Table 1.3 complete'!I155</f>
        <v>109.89</v>
      </c>
      <c r="AC158" s="110">
        <f>'Table 1.3 complete'!J155</f>
        <v>801.95</v>
      </c>
      <c r="AD158" s="110">
        <f>'Table 1.3 complete'!K155</f>
        <v>52.63</v>
      </c>
      <c r="AE158" s="110">
        <f>'Table 1.3 complete'!L155</f>
        <v>3.96</v>
      </c>
      <c r="AF158" s="110">
        <f>'Table 1.3 complete'!M155</f>
        <v>29.25</v>
      </c>
      <c r="AG158" s="110">
        <f>'Table 1.3 complete'!N155</f>
        <v>22.25</v>
      </c>
      <c r="AH158" s="150">
        <f>SUM(T158:AG158)</f>
        <v>3612.5</v>
      </c>
      <c r="AI158" s="107">
        <f>AH158-'Table 1.1 complete'!E155</f>
        <v>0</v>
      </c>
      <c r="AJ158" s="114">
        <f>AH158-'Table 1.2 complete'!K155</f>
        <v>0</v>
      </c>
      <c r="AK158" s="107">
        <f>'Table 1.2 complete'!K155-'Table 1.1 complete'!E155</f>
        <v>0</v>
      </c>
    </row>
    <row r="159" spans="1:37" x14ac:dyDescent="0.25">
      <c r="B159" s="374"/>
      <c r="C159" s="374"/>
      <c r="D159" s="374"/>
      <c r="E159" s="374"/>
      <c r="F159" s="374"/>
      <c r="P159" s="182" t="str">
        <f>'Table 1.2 complete'!A156</f>
        <v>OECD N. America</v>
      </c>
      <c r="Q159" s="74">
        <f>'Table 1.2 complete'!B156</f>
        <v>37</v>
      </c>
      <c r="R159" s="266" t="s">
        <v>287</v>
      </c>
      <c r="S159" s="75">
        <f>'Table 1.2 complete'!D156</f>
        <v>99</v>
      </c>
      <c r="T159" s="110">
        <f>'Table 1.2 complete'!E156</f>
        <v>940.55</v>
      </c>
      <c r="U159" s="110">
        <f>'Table 1.2 complete'!F156</f>
        <v>671.34</v>
      </c>
      <c r="V159" s="110">
        <f>'Table 1.2 complete'!G156</f>
        <v>24.2</v>
      </c>
      <c r="W159" s="110">
        <f>'Table 1.2 complete'!H156</f>
        <v>39.79</v>
      </c>
      <c r="X159" s="110">
        <f>'Table 1.3 complete'!E156</f>
        <v>2101.4499999999998</v>
      </c>
      <c r="Y159" s="110">
        <f>'Table 1.3 complete'!F156</f>
        <v>159.99</v>
      </c>
      <c r="Z159" s="110" t="str">
        <f>'Table 1.3 complete'!G156</f>
        <v>-</v>
      </c>
      <c r="AA159" s="110">
        <f>'Table 1.3 complete'!H156</f>
        <v>4.33</v>
      </c>
      <c r="AB159" s="110">
        <f>'Table 1.3 complete'!I156</f>
        <v>140.24</v>
      </c>
      <c r="AC159" s="110">
        <f>'Table 1.3 complete'!J156</f>
        <v>1081.51</v>
      </c>
      <c r="AD159" s="110">
        <f>'Table 1.3 complete'!K156</f>
        <v>52.14</v>
      </c>
      <c r="AE159" s="110">
        <f>'Table 1.3 complete'!L156</f>
        <v>5.01</v>
      </c>
      <c r="AF159" s="110">
        <f>'Table 1.3 complete'!M156</f>
        <v>17.260000000000002</v>
      </c>
      <c r="AG159" s="110">
        <f>'Table 1.3 complete'!N156</f>
        <v>8.36</v>
      </c>
      <c r="AH159" s="150">
        <f>SUM(T159:AG159)</f>
        <v>5246.17</v>
      </c>
      <c r="AI159" s="107">
        <f>AH159-'Table 1.1 complete'!E156</f>
        <v>-2.9999999999745341E-2</v>
      </c>
      <c r="AJ159" s="114">
        <f>AH159-'Table 1.2 complete'!K156</f>
        <v>2.0000000000436557E-2</v>
      </c>
      <c r="AK159" s="107">
        <f>'Table 1.2 complete'!K156-'Table 1.1 complete'!E156</f>
        <v>-5.0000000000181899E-2</v>
      </c>
    </row>
    <row r="160" spans="1:37" x14ac:dyDescent="0.25">
      <c r="B160" s="374"/>
      <c r="C160" s="374"/>
      <c r="D160" s="374"/>
      <c r="E160" s="374"/>
      <c r="F160" s="374"/>
      <c r="P160" s="183" t="str">
        <f>'Table 1.2 complete'!A157</f>
        <v>OECD Pacific</v>
      </c>
      <c r="Q160" s="74">
        <f>'Table 1.2 complete'!B157</f>
        <v>36</v>
      </c>
      <c r="R160" s="77" t="s">
        <v>288</v>
      </c>
      <c r="S160" s="75">
        <f>'Table 1.2 complete'!D157</f>
        <v>99</v>
      </c>
      <c r="T160" s="110">
        <f>'Table 1.2 complete'!E157</f>
        <v>406.77</v>
      </c>
      <c r="U160" s="110">
        <f>'Table 1.2 complete'!F157</f>
        <v>127.52</v>
      </c>
      <c r="V160" s="110">
        <f>'Table 1.2 complete'!G157</f>
        <v>6.5</v>
      </c>
      <c r="W160" s="110">
        <f>'Table 1.2 complete'!H157</f>
        <v>6.76</v>
      </c>
      <c r="X160" s="110">
        <f>'Table 1.3 complete'!E157</f>
        <v>567.21</v>
      </c>
      <c r="Y160" s="110">
        <f>'Table 1.3 complete'!F157</f>
        <v>57.5</v>
      </c>
      <c r="Z160" s="110" t="str">
        <f>'Table 1.3 complete'!G157</f>
        <v>-</v>
      </c>
      <c r="AA160" s="110">
        <f>'Table 1.3 complete'!H157</f>
        <v>54.16</v>
      </c>
      <c r="AB160" s="110">
        <f>'Table 1.3 complete'!I157</f>
        <v>183.64</v>
      </c>
      <c r="AC160" s="110">
        <f>'Table 1.3 complete'!J157</f>
        <v>423.39</v>
      </c>
      <c r="AD160" s="110">
        <f>'Table 1.3 complete'!K157</f>
        <v>17.45</v>
      </c>
      <c r="AE160" s="110">
        <f>'Table 1.3 complete'!L157</f>
        <v>0.44</v>
      </c>
      <c r="AF160" s="110">
        <f>'Table 1.3 complete'!M157</f>
        <v>7.03</v>
      </c>
      <c r="AG160" s="110">
        <f>'Table 1.3 complete'!N157</f>
        <v>1.49</v>
      </c>
      <c r="AH160" s="150">
        <f>SUM(T160:AG160)</f>
        <v>1859.86</v>
      </c>
      <c r="AI160" s="107">
        <f>AH160-'Table 1.1 complete'!E157</f>
        <v>5.999999999994543E-2</v>
      </c>
      <c r="AJ160" s="114">
        <f>AH160-'Table 1.2 complete'!K157</f>
        <v>1.999999999998181E-2</v>
      </c>
      <c r="AK160" s="107">
        <f>'Table 1.2 complete'!K157-'Table 1.1 complete'!E157</f>
        <v>3.999999999996362E-2</v>
      </c>
    </row>
    <row r="161" spans="2:37" x14ac:dyDescent="0.25">
      <c r="B161" s="374"/>
      <c r="C161" s="374"/>
      <c r="D161" s="374"/>
      <c r="E161" s="374"/>
      <c r="F161" s="374"/>
      <c r="P161" s="183" t="str">
        <f>'Table 1.2 complete'!A158</f>
        <v>OECD Total</v>
      </c>
      <c r="Q161" s="74">
        <f>'Table 1.2 complete'!B158</f>
        <v>34</v>
      </c>
      <c r="R161" s="77" t="s">
        <v>289</v>
      </c>
      <c r="S161" s="75">
        <f>'Table 1.2 complete'!D158</f>
        <v>99</v>
      </c>
      <c r="T161" s="110">
        <f>'Table 1.2 complete'!E158</f>
        <v>2272.64</v>
      </c>
      <c r="U161" s="110">
        <f>'Table 1.2 complete'!F158</f>
        <v>1331.96</v>
      </c>
      <c r="V161" s="110">
        <f>'Table 1.2 complete'!G158</f>
        <v>40.21</v>
      </c>
      <c r="W161" s="110">
        <f>'Table 1.2 complete'!H158</f>
        <v>158.47999999999999</v>
      </c>
      <c r="X161" s="110">
        <f>'Table 1.3 complete'!E158</f>
        <v>3269.09</v>
      </c>
      <c r="Y161" s="110">
        <f>'Table 1.3 complete'!F158</f>
        <v>583.85</v>
      </c>
      <c r="Z161" s="110">
        <f>'Table 1.3 complete'!G158</f>
        <v>9.93</v>
      </c>
      <c r="AA161" s="110">
        <f>'Table 1.3 complete'!H158</f>
        <v>94.46</v>
      </c>
      <c r="AB161" s="110">
        <f>'Table 1.3 complete'!I158</f>
        <v>433.77</v>
      </c>
      <c r="AC161" s="110">
        <f>'Table 1.3 complete'!J158</f>
        <v>2306.85</v>
      </c>
      <c r="AD161" s="110">
        <f>'Table 1.3 complete'!K158</f>
        <v>122.22</v>
      </c>
      <c r="AE161" s="110">
        <f>'Table 1.3 complete'!L158</f>
        <v>9.41</v>
      </c>
      <c r="AF161" s="110">
        <f>'Table 1.3 complete'!M158</f>
        <v>53.55</v>
      </c>
      <c r="AG161" s="110">
        <f>'Table 1.3 complete'!N158</f>
        <v>32.090000000000003</v>
      </c>
      <c r="AH161" s="150">
        <f>SUM(T161:AG161)</f>
        <v>10718.51</v>
      </c>
      <c r="AI161" s="107">
        <f>AH161-'Table 1.1 complete'!E158</f>
        <v>1.0000000000218279E-2</v>
      </c>
      <c r="AJ161" s="114">
        <f>AH161-'Table 1.2 complete'!K158</f>
        <v>2.0000000000436557E-2</v>
      </c>
      <c r="AK161" s="107">
        <f>'Table 1.2 complete'!K158-'Table 1.1 complete'!E158</f>
        <v>-1.0000000000218279E-2</v>
      </c>
    </row>
    <row r="162" spans="2:37" x14ac:dyDescent="0.25">
      <c r="B162" s="374"/>
      <c r="C162" s="374"/>
      <c r="D162" s="374"/>
      <c r="E162" s="374"/>
      <c r="F162" s="374"/>
      <c r="P162" s="183" t="str">
        <f>'Table 1.2 complete'!A159</f>
        <v xml:space="preserve">OECD Total     </v>
      </c>
      <c r="Q162" s="74">
        <f>'Table 1.2 complete'!B159</f>
        <v>1</v>
      </c>
      <c r="R162" s="77" t="s">
        <v>290</v>
      </c>
      <c r="S162" s="75">
        <f>'Table 1.2 complete'!D159</f>
        <v>99</v>
      </c>
      <c r="T162" s="110">
        <f>'Table 1.2 complete'!E159</f>
        <v>2272.64</v>
      </c>
      <c r="U162" s="110">
        <f>'Table 1.2 complete'!F159</f>
        <v>1331.96</v>
      </c>
      <c r="V162" s="110">
        <f>'Table 1.2 complete'!G159</f>
        <v>40.21</v>
      </c>
      <c r="W162" s="110">
        <f>'Table 1.2 complete'!H159</f>
        <v>158.47999999999999</v>
      </c>
      <c r="X162" s="110">
        <f>'Table 1.3 complete'!E159</f>
        <v>3269.09</v>
      </c>
      <c r="Y162" s="110">
        <f>'Table 1.3 complete'!F159</f>
        <v>583.85</v>
      </c>
      <c r="Z162" s="110">
        <f>'Table 1.3 complete'!G159</f>
        <v>9.93</v>
      </c>
      <c r="AA162" s="110">
        <f>'Table 1.3 complete'!H159</f>
        <v>94.46</v>
      </c>
      <c r="AB162" s="110">
        <f>'Table 1.3 complete'!I159</f>
        <v>433.77</v>
      </c>
      <c r="AC162" s="110">
        <f>'Table 1.3 complete'!J159</f>
        <v>2306.85</v>
      </c>
      <c r="AD162" s="110">
        <f>'Table 1.3 complete'!K159</f>
        <v>122.22</v>
      </c>
      <c r="AE162" s="110">
        <f>'Table 1.3 complete'!L159</f>
        <v>9.41</v>
      </c>
      <c r="AF162" s="110">
        <f>'Table 1.3 complete'!M159</f>
        <v>53.55</v>
      </c>
      <c r="AG162" s="110">
        <f>'Table 1.3 complete'!N159</f>
        <v>32.090000000000003</v>
      </c>
      <c r="AH162" s="150">
        <f>SUM(T162:AG162)</f>
        <v>10718.51</v>
      </c>
      <c r="AI162" s="107">
        <f>AH162-'Table 1.1 complete'!E159</f>
        <v>1.0000000000218279E-2</v>
      </c>
      <c r="AJ162" s="114">
        <f>AH162-'Table 1.2 complete'!K159</f>
        <v>2.0000000000436557E-2</v>
      </c>
      <c r="AK162" s="107">
        <f>'Table 1.2 complete'!K159-'Table 1.1 complete'!E159</f>
        <v>-1.0000000000218279E-2</v>
      </c>
    </row>
    <row r="163" spans="2:37" x14ac:dyDescent="0.25">
      <c r="B163" s="374"/>
      <c r="C163" s="374"/>
      <c r="D163" s="374"/>
      <c r="E163" s="374"/>
      <c r="F163" s="374"/>
      <c r="P163" s="183" t="str">
        <f>'Table 1.2 complete'!A160</f>
        <v>World</v>
      </c>
      <c r="Q163" s="74">
        <f>'Table 1.2 complete'!B160</f>
        <v>3</v>
      </c>
      <c r="R163" s="77" t="s">
        <v>291</v>
      </c>
      <c r="S163" s="75">
        <f>'Table 1.2 complete'!D160</f>
        <v>99</v>
      </c>
      <c r="T163" s="110">
        <f>'Table 1.2 complete'!E160</f>
        <v>2719.06</v>
      </c>
      <c r="U163" s="110">
        <f>'Table 1.2 complete'!F160</f>
        <v>3162.19</v>
      </c>
      <c r="V163" s="110">
        <f>'Table 1.2 complete'!G160</f>
        <v>61.82</v>
      </c>
      <c r="W163" s="110">
        <f>'Table 1.2 complete'!H160</f>
        <v>184.02</v>
      </c>
      <c r="X163" s="110">
        <f>'Table 1.3 complete'!E160</f>
        <v>7208.1</v>
      </c>
      <c r="Y163" s="110">
        <f>'Table 1.3 complete'!F160</f>
        <v>860.17</v>
      </c>
      <c r="Z163" s="110">
        <f>'Table 1.3 complete'!G160</f>
        <v>10.72</v>
      </c>
      <c r="AA163" s="110">
        <f>'Table 1.3 complete'!H160</f>
        <v>136.72999999999999</v>
      </c>
      <c r="AB163" s="110">
        <f>'Table 1.3 complete'!I160</f>
        <v>1117.68</v>
      </c>
      <c r="AC163" s="110">
        <f>'Table 1.3 complete'!J160</f>
        <v>4125.93</v>
      </c>
      <c r="AD163" s="110">
        <f>'Table 1.3 complete'!K160</f>
        <v>158.24</v>
      </c>
      <c r="AE163" s="110">
        <f>'Table 1.3 complete'!L160</f>
        <v>11.47</v>
      </c>
      <c r="AF163" s="110">
        <f>'Table 1.3 complete'!M160</f>
        <v>56.56</v>
      </c>
      <c r="AG163" s="110">
        <f>'Table 1.3 complete'!N160</f>
        <v>32.229999999999997</v>
      </c>
      <c r="AH163" s="150">
        <f>SUM(T163:AG163)</f>
        <v>19844.920000000002</v>
      </c>
      <c r="AI163" s="107">
        <f>AH163-'Table 1.1 complete'!E160</f>
        <v>2.0000000000436557E-2</v>
      </c>
      <c r="AJ163" s="114">
        <f>AH163-'Table 1.2 complete'!K160</f>
        <v>0</v>
      </c>
      <c r="AK163" s="107">
        <f>'Table 1.2 complete'!K160-'Table 1.1 complete'!E160</f>
        <v>1.9999999996798579E-2</v>
      </c>
    </row>
    <row r="164" spans="2:37" x14ac:dyDescent="0.25">
      <c r="B164" s="374"/>
      <c r="C164" s="374"/>
      <c r="D164" s="374"/>
      <c r="E164" s="374"/>
      <c r="F164" s="374"/>
      <c r="G164" s="377"/>
      <c r="H164" s="96"/>
      <c r="I164" s="96"/>
      <c r="J164" s="96"/>
      <c r="K164" s="96"/>
      <c r="M164" s="96"/>
      <c r="O164" s="618">
        <f>AH164/(SUM($AH$71:$AH$75))</f>
        <v>0.47367544706783443</v>
      </c>
      <c r="P164" s="623" t="str">
        <f>'Table 1.2 complete'!A69</f>
        <v>Indonesia</v>
      </c>
      <c r="Q164" s="610">
        <f>'Table 1.2 complete'!B69</f>
        <v>95</v>
      </c>
      <c r="R164" s="609" t="s">
        <v>421</v>
      </c>
      <c r="S164" s="611">
        <v>316</v>
      </c>
      <c r="T164" s="109" t="str">
        <f>'Table 1.2 complete'!E69</f>
        <v>-</v>
      </c>
      <c r="U164" s="109">
        <f>'Table 1.2 complete'!F69</f>
        <v>11.29</v>
      </c>
      <c r="V164" s="109">
        <f>'Table 1.2 complete'!G69</f>
        <v>7.02</v>
      </c>
      <c r="W164" s="109" t="str">
        <f>'Table 1.2 complete'!H69</f>
        <v>-</v>
      </c>
      <c r="X164" s="109" t="str">
        <f>'Table 1.3 complete'!E69</f>
        <v>-</v>
      </c>
      <c r="Y164" s="109">
        <f>'Table 1.3 complete'!F69</f>
        <v>63.83</v>
      </c>
      <c r="Z164" s="109" t="str">
        <f>'Table 1.3 complete'!G69</f>
        <v>-</v>
      </c>
      <c r="AA164" s="109" t="str">
        <f>'Table 1.3 complete'!H69</f>
        <v>-</v>
      </c>
      <c r="AB164" s="109">
        <f>'Table 1.3 complete'!I69</f>
        <v>37.700000000000003</v>
      </c>
      <c r="AC164" s="109">
        <f>'Table 1.3 complete'!J69</f>
        <v>22.4</v>
      </c>
      <c r="AD164" s="109" t="str">
        <f>'Table 1.3 complete'!K69</f>
        <v>-</v>
      </c>
      <c r="AE164" s="109" t="str">
        <f>'Table 1.3 complete'!L69</f>
        <v>-</v>
      </c>
      <c r="AF164" s="109" t="str">
        <f>'Table 1.3 complete'!M69</f>
        <v>-</v>
      </c>
      <c r="AG164" s="109" t="str">
        <f>'Table 1.3 complete'!N69</f>
        <v>-</v>
      </c>
      <c r="AH164" s="149">
        <f>SUM(T164:AG164)</f>
        <v>142.24</v>
      </c>
      <c r="AI164" s="106">
        <f>AH164-'Table 1.1 complete'!E69</f>
        <v>4.0000000000020464E-2</v>
      </c>
      <c r="AJ164" s="113">
        <f>AH164-'Table 1.2 complete'!K69</f>
        <v>0</v>
      </c>
      <c r="AK164" s="106">
        <f>'Table 1.2 complete'!K69-'Table 1.1 complete'!E69</f>
        <v>4.0000000000020464E-2</v>
      </c>
    </row>
    <row r="165" spans="2:37" x14ac:dyDescent="0.25">
      <c r="B165" s="375"/>
      <c r="C165" s="375"/>
      <c r="D165" s="375"/>
      <c r="E165" s="375"/>
      <c r="F165" s="375"/>
      <c r="O165" s="346"/>
    </row>
  </sheetData>
  <autoFilter ref="B8:AK8">
    <sortState ref="B9:AK163">
      <sortCondition ref="S8"/>
    </sortState>
  </autoFilter>
  <mergeCells count="18">
    <mergeCell ref="B1:F1"/>
    <mergeCell ref="B3:F3"/>
    <mergeCell ref="T2:AG2"/>
    <mergeCell ref="T3:W3"/>
    <mergeCell ref="X3:AG3"/>
    <mergeCell ref="B4:F4"/>
    <mergeCell ref="B2:F2"/>
    <mergeCell ref="B5:D5"/>
    <mergeCell ref="AI6:AK6"/>
    <mergeCell ref="X7:AA7"/>
    <mergeCell ref="AB7:AC7"/>
    <mergeCell ref="I7:J7"/>
    <mergeCell ref="T4:AG4"/>
    <mergeCell ref="T5:T7"/>
    <mergeCell ref="U5:W7"/>
    <mergeCell ref="X5:AG5"/>
    <mergeCell ref="X6:AC6"/>
    <mergeCell ref="AD6:AG7"/>
  </mergeCells>
  <conditionalFormatting sqref="AI9:AI70 AI71:AK164">
    <cfRule type="cellIs" dxfId="240" priority="42" operator="lessThan">
      <formula>-0.05</formula>
    </cfRule>
    <cfRule type="cellIs" dxfId="239" priority="43" operator="greaterThan">
      <formula>0.05</formula>
    </cfRule>
  </conditionalFormatting>
  <conditionalFormatting sqref="AK9:AK70">
    <cfRule type="cellIs" dxfId="238" priority="38" operator="lessThan">
      <formula>-0.05</formula>
    </cfRule>
    <cfRule type="cellIs" dxfId="237" priority="39" operator="greaterThan">
      <formula>0.05</formula>
    </cfRule>
  </conditionalFormatting>
  <conditionalFormatting sqref="AJ9:AJ70">
    <cfRule type="cellIs" dxfId="236" priority="40" operator="lessThan">
      <formula>-0.05</formula>
    </cfRule>
    <cfRule type="cellIs" dxfId="235" priority="41" operator="greaterThan">
      <formula>0.05</formula>
    </cfRule>
  </conditionalFormatting>
  <conditionalFormatting sqref="O14:O40">
    <cfRule type="cellIs" dxfId="234" priority="37" operator="equal">
      <formula>0</formula>
    </cfRule>
  </conditionalFormatting>
  <conditionalFormatting sqref="B9:O12">
    <cfRule type="cellIs" dxfId="233" priority="36" operator="equal">
      <formula>0</formula>
    </cfRule>
  </conditionalFormatting>
  <conditionalFormatting sqref="B13:O13">
    <cfRule type="cellIs" dxfId="232" priority="35" operator="equal">
      <formula>0</formula>
    </cfRule>
  </conditionalFormatting>
  <conditionalFormatting sqref="B20:N20">
    <cfRule type="cellIs" dxfId="231" priority="34" operator="equal">
      <formula>0</formula>
    </cfRule>
  </conditionalFormatting>
  <conditionalFormatting sqref="B26:N26">
    <cfRule type="cellIs" dxfId="230" priority="19" operator="equal">
      <formula>0</formula>
    </cfRule>
  </conditionalFormatting>
  <conditionalFormatting sqref="B17:N17">
    <cfRule type="cellIs" dxfId="229" priority="32" operator="equal">
      <formula>0</formula>
    </cfRule>
  </conditionalFormatting>
  <conditionalFormatting sqref="B18:N18">
    <cfRule type="cellIs" dxfId="228" priority="31" operator="equal">
      <formula>0</formula>
    </cfRule>
  </conditionalFormatting>
  <conditionalFormatting sqref="B21:N21">
    <cfRule type="cellIs" dxfId="227" priority="30" operator="equal">
      <formula>0</formula>
    </cfRule>
  </conditionalFormatting>
  <conditionalFormatting sqref="B14:N14">
    <cfRule type="cellIs" dxfId="226" priority="29" operator="equal">
      <formula>0</formula>
    </cfRule>
  </conditionalFormatting>
  <conditionalFormatting sqref="B15:N15">
    <cfRule type="cellIs" dxfId="225" priority="28" operator="equal">
      <formula>0</formula>
    </cfRule>
  </conditionalFormatting>
  <conditionalFormatting sqref="B16:N16">
    <cfRule type="cellIs" dxfId="224" priority="27" operator="equal">
      <formula>0</formula>
    </cfRule>
  </conditionalFormatting>
  <conditionalFormatting sqref="B36:N38">
    <cfRule type="cellIs" dxfId="223" priority="11" operator="equal">
      <formula>0</formula>
    </cfRule>
  </conditionalFormatting>
  <conditionalFormatting sqref="N52">
    <cfRule type="cellIs" dxfId="222" priority="9" operator="equal">
      <formula>0</formula>
    </cfRule>
  </conditionalFormatting>
  <conditionalFormatting sqref="B22:N22">
    <cfRule type="cellIs" dxfId="221" priority="24" operator="equal">
      <formula>0</formula>
    </cfRule>
  </conditionalFormatting>
  <conditionalFormatting sqref="B19:N19">
    <cfRule type="cellIs" dxfId="220" priority="23" operator="equal">
      <formula>0</formula>
    </cfRule>
  </conditionalFormatting>
  <conditionalFormatting sqref="B23:N23">
    <cfRule type="cellIs" dxfId="219" priority="22" operator="equal">
      <formula>0</formula>
    </cfRule>
  </conditionalFormatting>
  <conditionalFormatting sqref="B24:N24">
    <cfRule type="cellIs" dxfId="218" priority="21" operator="equal">
      <formula>0</formula>
    </cfRule>
  </conditionalFormatting>
  <conditionalFormatting sqref="B25:N25">
    <cfRule type="cellIs" dxfId="215" priority="18" operator="equal">
      <formula>0</formula>
    </cfRule>
  </conditionalFormatting>
  <conditionalFormatting sqref="B27:N27">
    <cfRule type="cellIs" dxfId="214" priority="17" operator="equal">
      <formula>0</formula>
    </cfRule>
  </conditionalFormatting>
  <conditionalFormatting sqref="B28:N31">
    <cfRule type="cellIs" dxfId="213" priority="16" operator="equal">
      <formula>0</formula>
    </cfRule>
  </conditionalFormatting>
  <conditionalFormatting sqref="B34:N34">
    <cfRule type="cellIs" dxfId="212" priority="15" operator="equal">
      <formula>0</formula>
    </cfRule>
  </conditionalFormatting>
  <conditionalFormatting sqref="B35:N35">
    <cfRule type="cellIs" dxfId="211" priority="14" operator="equal">
      <formula>0</formula>
    </cfRule>
  </conditionalFormatting>
  <conditionalFormatting sqref="B32:N32">
    <cfRule type="cellIs" dxfId="210" priority="13" operator="equal">
      <formula>0</formula>
    </cfRule>
  </conditionalFormatting>
  <conditionalFormatting sqref="B33:N33">
    <cfRule type="cellIs" dxfId="209" priority="12" operator="equal">
      <formula>0</formula>
    </cfRule>
  </conditionalFormatting>
  <conditionalFormatting sqref="B46:N46">
    <cfRule type="cellIs" dxfId="207" priority="2" operator="equal">
      <formula>0</formula>
    </cfRule>
  </conditionalFormatting>
  <conditionalFormatting sqref="B41:N41">
    <cfRule type="cellIs" dxfId="206" priority="1" operator="equal">
      <formula>0</formula>
    </cfRule>
  </conditionalFormatting>
  <hyperlinks>
    <hyperlink ref="M3" r:id="rId1"/>
    <hyperlink ref="G3" r:id="rId2"/>
    <hyperlink ref="G5" r:id="rId3" display="ENTSO-E\Statistical_Yearbook_2007.pdf"/>
    <hyperlink ref="B4" r:id="rId4" display="IEA Electricity Information 2009.pdf"/>
    <hyperlink ref="R3" r:id="rId5"/>
    <hyperlink ref="B2:F2" r:id="rId6" display="EURelectric\EURelectric (2010) - PowerStatistics2010_fullreport.pdf"/>
    <hyperlink ref="G11" r:id="rId7" display="ENTSO-E\Statistical_Yearbook_2007.pdf"/>
    <hyperlink ref="G9" r:id="rId8" display="ENTSO-E\Statistical_Yearbook_2007.pdf"/>
    <hyperlink ref="G10" r:id="rId9" display="ENTSO-E\Statistical_Yearbook_2007.pdf"/>
    <hyperlink ref="G12" r:id="rId10" display="ENTSO-E\Statistical_Yearbook_2007.pdf"/>
    <hyperlink ref="G13" r:id="rId11" display="ENTSO-E\Statistical_Yearbook_2007.pdf"/>
    <hyperlink ref="G21" r:id="rId12" display="ENTSO-E\Statistical_Yearbook_2007.pdf"/>
    <hyperlink ref="G22" r:id="rId13" display="ENTSO-E\Statistical_Yearbook_2007.pdf"/>
    <hyperlink ref="G25" r:id="rId14" display="ENTSO-E\Statistical_Yearbook_2007.pdf"/>
    <hyperlink ref="G27" r:id="rId15" display="ENTSO-E\Statistical_Yearbook_2007.pdf"/>
    <hyperlink ref="G28" r:id="rId16" display="ENTSO-E\Statistical_Yearbook_2007.pdf"/>
    <hyperlink ref="G30" r:id="rId17" display="ENTSO-E\Statistical_Yearbook_2007.pdf"/>
    <hyperlink ref="G32" r:id="rId18" display="ENTSO-E\Statistical_Yearbook_2007.pdf"/>
    <hyperlink ref="G33" r:id="rId19" display="ENTSO-E\Statistical_Yearbook_2007.pdf"/>
    <hyperlink ref="G34" r:id="rId20" display="ENTSO-E\Statistical_Yearbook_2007.pdf"/>
    <hyperlink ref="G38" r:id="rId21" display="ENTSO-E\Statistical_Yearbook_2007.pdf"/>
    <hyperlink ref="G31" r:id="rId22" display="ENTSO-E\Statistical_Yearbook_2007.pdf"/>
    <hyperlink ref="G35" r:id="rId23" display="ENTSO-E\Statistical_Yearbook_2007.pdf"/>
    <hyperlink ref="G36" r:id="rId24" display="ENTSO-E\Statistical_Yearbook_2007.pdf"/>
    <hyperlink ref="G37" r:id="rId25" display="ENTSO-E\Statistical_Yearbook_2007.pdf"/>
    <hyperlink ref="G84" r:id="rId26" display="ENTSO-E\Statistical_Yearbook_2007.pdf"/>
    <hyperlink ref="G102" r:id="rId27" display="ENTSO-E\Statistical_Yearbook_2007.pdf"/>
    <hyperlink ref="G132" r:id="rId28" display="ENTSO-E\Statistical_Yearbook_2007.pdf"/>
    <hyperlink ref="G142" r:id="rId29" display="ENTSO-E\Statistical_Yearbook_2007.pdf"/>
  </hyperlinks>
  <pageMargins left="0.7" right="0.7" top="0.78740157499999996" bottom="0.78740157499999996" header="0.3" footer="0.3"/>
  <pageSetup paperSize="9" scale="29" orientation="portrait" r:id="rId3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J164"/>
  <sheetViews>
    <sheetView zoomScale="80" zoomScaleNormal="80" workbookViewId="0">
      <selection activeCell="F7" sqref="F7"/>
    </sheetView>
  </sheetViews>
  <sheetFormatPr baseColWidth="10" defaultRowHeight="15" x14ac:dyDescent="0.25"/>
  <cols>
    <col min="1" max="1" width="2.28515625" style="86" customWidth="1"/>
    <col min="2" max="2" width="3.7109375" style="86" customWidth="1"/>
    <col min="3" max="3" width="17.28515625" style="55" customWidth="1"/>
    <col min="4" max="4" width="4.42578125" style="57" bestFit="1" customWidth="1"/>
    <col min="5" max="5" width="8.7109375" style="55" customWidth="1"/>
    <col min="6" max="6" width="15" bestFit="1" customWidth="1"/>
    <col min="7" max="22" width="9.85546875" customWidth="1"/>
    <col min="23" max="30" width="9.5703125" customWidth="1"/>
    <col min="31" max="31" width="13" customWidth="1"/>
    <col min="36" max="36" width="11.42578125" style="86"/>
  </cols>
  <sheetData>
    <row r="1" spans="2:35" s="86" customFormat="1" ht="4.5" customHeight="1" x14ac:dyDescent="0.25">
      <c r="B1" s="96"/>
      <c r="C1" s="437"/>
      <c r="D1" s="341"/>
      <c r="E1" s="437"/>
      <c r="F1" s="96"/>
    </row>
    <row r="2" spans="2:35" x14ac:dyDescent="0.25">
      <c r="B2" s="96"/>
      <c r="C2" s="437"/>
      <c r="D2" s="437"/>
      <c r="E2" s="341"/>
      <c r="F2" s="462"/>
      <c r="G2" s="789" t="s">
        <v>269</v>
      </c>
      <c r="H2" s="790"/>
      <c r="I2" s="790"/>
      <c r="J2" s="790"/>
      <c r="K2" s="790"/>
      <c r="L2" s="790"/>
      <c r="M2" s="790"/>
      <c r="N2" s="790"/>
      <c r="O2" s="790"/>
      <c r="P2" s="790"/>
      <c r="Q2" s="790"/>
      <c r="R2" s="790"/>
      <c r="S2" s="790"/>
      <c r="T2" s="790"/>
      <c r="U2" s="790"/>
      <c r="V2" s="790"/>
      <c r="W2" s="790"/>
      <c r="X2" s="790"/>
      <c r="Y2" s="790"/>
      <c r="Z2" s="790"/>
      <c r="AA2" s="790"/>
      <c r="AB2" s="790"/>
      <c r="AC2" s="790"/>
      <c r="AD2" s="790"/>
      <c r="AE2" s="146"/>
      <c r="AF2" s="146"/>
      <c r="AG2" s="270" t="s">
        <v>309</v>
      </c>
      <c r="AH2" s="86"/>
      <c r="AI2" s="86"/>
    </row>
    <row r="3" spans="2:35" x14ac:dyDescent="0.25">
      <c r="B3" s="96"/>
      <c r="C3" s="437"/>
      <c r="D3" s="437"/>
      <c r="E3" s="341"/>
      <c r="F3" s="499" t="s">
        <v>375</v>
      </c>
      <c r="G3" s="791" t="s">
        <v>267</v>
      </c>
      <c r="H3" s="792"/>
      <c r="I3" s="792"/>
      <c r="J3" s="792"/>
      <c r="K3" s="792"/>
      <c r="L3" s="792"/>
      <c r="M3" s="792" t="s">
        <v>268</v>
      </c>
      <c r="N3" s="792"/>
      <c r="O3" s="792"/>
      <c r="P3" s="792"/>
      <c r="Q3" s="792"/>
      <c r="R3" s="792"/>
      <c r="S3" s="792"/>
      <c r="T3" s="792"/>
      <c r="U3" s="792"/>
      <c r="V3" s="792"/>
      <c r="W3" s="792"/>
      <c r="X3" s="792"/>
      <c r="Y3" s="792"/>
      <c r="Z3" s="792"/>
      <c r="AA3" s="792"/>
      <c r="AB3" s="792"/>
      <c r="AC3" s="792"/>
      <c r="AD3" s="792"/>
      <c r="AE3" s="146"/>
      <c r="AF3" s="146"/>
      <c r="AG3" s="86"/>
      <c r="AH3" s="86"/>
      <c r="AI3" s="86"/>
    </row>
    <row r="4" spans="2:35" ht="21.75" customHeight="1" x14ac:dyDescent="0.25">
      <c r="B4" s="96"/>
      <c r="C4" s="437"/>
      <c r="D4" s="437"/>
      <c r="E4" s="341"/>
      <c r="F4" s="463" t="s">
        <v>371</v>
      </c>
      <c r="G4" s="793" t="s">
        <v>272</v>
      </c>
      <c r="H4" s="793"/>
      <c r="I4" s="793"/>
      <c r="J4" s="793"/>
      <c r="K4" s="793"/>
      <c r="L4" s="793"/>
      <c r="M4" s="793"/>
      <c r="N4" s="793"/>
      <c r="O4" s="793"/>
      <c r="P4" s="793"/>
      <c r="Q4" s="793"/>
      <c r="R4" s="793"/>
      <c r="S4" s="793"/>
      <c r="T4" s="793"/>
      <c r="U4" s="793"/>
      <c r="V4" s="793"/>
      <c r="W4" s="793"/>
      <c r="X4" s="793"/>
      <c r="Y4" s="793"/>
      <c r="Z4" s="793"/>
      <c r="AA4" s="793"/>
      <c r="AB4" s="793"/>
      <c r="AC4" s="793"/>
      <c r="AD4" s="794"/>
      <c r="AE4" s="146"/>
      <c r="AF4" s="146"/>
      <c r="AG4" s="86"/>
      <c r="AH4" s="86"/>
      <c r="AI4" s="86"/>
    </row>
    <row r="5" spans="2:35" ht="18" customHeight="1" x14ac:dyDescent="0.25">
      <c r="B5" s="96"/>
      <c r="C5" s="437"/>
      <c r="D5" s="437"/>
      <c r="E5" s="341"/>
      <c r="F5" s="323"/>
      <c r="G5" s="786" t="s">
        <v>257</v>
      </c>
      <c r="H5" s="795" t="s">
        <v>256</v>
      </c>
      <c r="I5" s="796"/>
      <c r="J5" s="796"/>
      <c r="K5" s="796"/>
      <c r="L5" s="797"/>
      <c r="M5" s="804" t="s">
        <v>258</v>
      </c>
      <c r="N5" s="805"/>
      <c r="O5" s="805"/>
      <c r="P5" s="805"/>
      <c r="Q5" s="805"/>
      <c r="R5" s="805"/>
      <c r="S5" s="805"/>
      <c r="T5" s="805"/>
      <c r="U5" s="805"/>
      <c r="V5" s="805"/>
      <c r="W5" s="805"/>
      <c r="X5" s="805"/>
      <c r="Y5" s="805"/>
      <c r="Z5" s="805"/>
      <c r="AA5" s="805"/>
      <c r="AB5" s="805"/>
      <c r="AC5" s="805"/>
      <c r="AD5" s="806"/>
      <c r="AE5" s="146"/>
      <c r="AF5" s="146"/>
      <c r="AG5" s="86"/>
      <c r="AH5" s="86"/>
      <c r="AI5" s="86"/>
    </row>
    <row r="6" spans="2:35" ht="17.25" customHeight="1" x14ac:dyDescent="0.25">
      <c r="B6" s="96"/>
      <c r="C6" s="437"/>
      <c r="D6" s="437"/>
      <c r="E6" s="341"/>
      <c r="F6" s="323"/>
      <c r="G6" s="787"/>
      <c r="H6" s="798"/>
      <c r="I6" s="799"/>
      <c r="J6" s="799"/>
      <c r="K6" s="799"/>
      <c r="L6" s="800"/>
      <c r="M6" s="807" t="s">
        <v>342</v>
      </c>
      <c r="N6" s="808"/>
      <c r="O6" s="808"/>
      <c r="P6" s="808"/>
      <c r="Q6" s="808"/>
      <c r="R6" s="808"/>
      <c r="S6" s="808"/>
      <c r="T6" s="808"/>
      <c r="U6" s="809"/>
      <c r="V6" s="807" t="s">
        <v>343</v>
      </c>
      <c r="W6" s="808"/>
      <c r="X6" s="808"/>
      <c r="Y6" s="808"/>
      <c r="Z6" s="808"/>
      <c r="AA6" s="808"/>
      <c r="AB6" s="808"/>
      <c r="AC6" s="808"/>
      <c r="AD6" s="809"/>
      <c r="AE6" s="146"/>
      <c r="AF6" s="783" t="s">
        <v>350</v>
      </c>
      <c r="AG6" s="729" t="s">
        <v>276</v>
      </c>
      <c r="AH6" s="730"/>
      <c r="AI6" s="731"/>
    </row>
    <row r="7" spans="2:35" ht="17.25" customHeight="1" x14ac:dyDescent="0.25">
      <c r="B7" s="96"/>
      <c r="C7" s="437"/>
      <c r="D7" s="437"/>
      <c r="E7" s="341"/>
      <c r="F7" s="323"/>
      <c r="G7" s="788"/>
      <c r="H7" s="801"/>
      <c r="I7" s="802"/>
      <c r="J7" s="802"/>
      <c r="K7" s="802"/>
      <c r="L7" s="803"/>
      <c r="M7" s="813" t="s">
        <v>253</v>
      </c>
      <c r="N7" s="814"/>
      <c r="O7" s="814"/>
      <c r="P7" s="810"/>
      <c r="Q7" s="811"/>
      <c r="R7" s="811"/>
      <c r="S7" s="811"/>
      <c r="T7" s="811"/>
      <c r="U7" s="812"/>
      <c r="V7" s="810"/>
      <c r="W7" s="811"/>
      <c r="X7" s="811"/>
      <c r="Y7" s="811"/>
      <c r="Z7" s="811"/>
      <c r="AA7" s="811"/>
      <c r="AB7" s="811"/>
      <c r="AC7" s="811"/>
      <c r="AD7" s="812"/>
      <c r="AE7" s="147"/>
      <c r="AF7" s="784"/>
      <c r="AG7" s="232" t="s">
        <v>303</v>
      </c>
      <c r="AH7" s="233" t="s">
        <v>304</v>
      </c>
      <c r="AI7" s="144"/>
    </row>
    <row r="8" spans="2:35" ht="17.25" customHeight="1" x14ac:dyDescent="0.25">
      <c r="B8" s="96"/>
      <c r="C8" s="438"/>
      <c r="D8" s="342"/>
      <c r="E8" s="419"/>
      <c r="F8" s="392"/>
      <c r="G8" s="54" t="s">
        <v>186</v>
      </c>
      <c r="H8" s="778" t="s">
        <v>326</v>
      </c>
      <c r="I8" s="779"/>
      <c r="J8" s="54" t="s">
        <v>188</v>
      </c>
      <c r="K8" s="778" t="s">
        <v>327</v>
      </c>
      <c r="L8" s="779"/>
      <c r="M8" s="778" t="s">
        <v>328</v>
      </c>
      <c r="N8" s="779"/>
      <c r="O8" s="54" t="s">
        <v>202</v>
      </c>
      <c r="P8" s="778" t="s">
        <v>329</v>
      </c>
      <c r="Q8" s="780"/>
      <c r="R8" s="779"/>
      <c r="S8" s="778" t="s">
        <v>330</v>
      </c>
      <c r="T8" s="780"/>
      <c r="U8" s="779"/>
      <c r="V8" s="271" t="str">
        <f>CONCATENATE(AC8," + ",AD8)</f>
        <v>Wood + Biogas liq. Biof.</v>
      </c>
      <c r="W8" s="781" t="s">
        <v>315</v>
      </c>
      <c r="X8" s="782"/>
      <c r="Y8" s="265" t="s">
        <v>203</v>
      </c>
      <c r="Z8" s="265" t="s">
        <v>204</v>
      </c>
      <c r="AA8" s="265" t="s">
        <v>208</v>
      </c>
      <c r="AB8" s="265" t="s">
        <v>209</v>
      </c>
      <c r="AC8" s="265" t="s">
        <v>207</v>
      </c>
      <c r="AD8" s="265" t="s">
        <v>210</v>
      </c>
      <c r="AE8" s="148" t="s">
        <v>250</v>
      </c>
      <c r="AF8" s="784"/>
      <c r="AG8" s="112" t="s">
        <v>270</v>
      </c>
      <c r="AH8" s="112" t="s">
        <v>270</v>
      </c>
      <c r="AI8" s="145" t="s">
        <v>271</v>
      </c>
    </row>
    <row r="9" spans="2:35" ht="17.25" customHeight="1" x14ac:dyDescent="0.25">
      <c r="C9" s="436" t="s">
        <v>264</v>
      </c>
      <c r="D9" s="185" t="s">
        <v>222</v>
      </c>
      <c r="E9" s="185" t="s">
        <v>262</v>
      </c>
      <c r="F9" s="185" t="s">
        <v>275</v>
      </c>
      <c r="G9" s="58" t="s">
        <v>292</v>
      </c>
      <c r="H9" s="58" t="s">
        <v>310</v>
      </c>
      <c r="I9" s="58" t="s">
        <v>311</v>
      </c>
      <c r="J9" s="58" t="s">
        <v>294</v>
      </c>
      <c r="K9" s="440" t="s">
        <v>312</v>
      </c>
      <c r="L9" s="440" t="s">
        <v>313</v>
      </c>
      <c r="M9" s="442" t="s">
        <v>318</v>
      </c>
      <c r="N9" s="442" t="s">
        <v>314</v>
      </c>
      <c r="O9" s="58" t="s">
        <v>296</v>
      </c>
      <c r="P9" s="443" t="s">
        <v>324</v>
      </c>
      <c r="Q9" s="443" t="s">
        <v>319</v>
      </c>
      <c r="R9" s="443" t="s">
        <v>320</v>
      </c>
      <c r="S9" s="447" t="s">
        <v>321</v>
      </c>
      <c r="T9" s="447" t="s">
        <v>322</v>
      </c>
      <c r="U9" s="447" t="s">
        <v>323</v>
      </c>
      <c r="V9" s="426" t="s">
        <v>299</v>
      </c>
      <c r="W9" s="274" t="s">
        <v>316</v>
      </c>
      <c r="X9" s="273" t="s">
        <v>317</v>
      </c>
      <c r="Y9" s="272" t="s">
        <v>308</v>
      </c>
      <c r="Z9" s="272" t="s">
        <v>307</v>
      </c>
      <c r="AA9" s="272" t="s">
        <v>301</v>
      </c>
      <c r="AB9" s="272" t="s">
        <v>301</v>
      </c>
      <c r="AC9" s="265" t="s">
        <v>299</v>
      </c>
      <c r="AD9" s="265" t="s">
        <v>299</v>
      </c>
      <c r="AE9" s="148" t="s">
        <v>370</v>
      </c>
      <c r="AF9" s="785"/>
      <c r="AG9" s="112" t="s">
        <v>270</v>
      </c>
      <c r="AH9" s="112" t="s">
        <v>270</v>
      </c>
      <c r="AI9" s="145" t="s">
        <v>271</v>
      </c>
    </row>
    <row r="10" spans="2:35" ht="17.25" customHeight="1" x14ac:dyDescent="0.25">
      <c r="C10" s="428" t="str">
        <f>GEP_add1!P9</f>
        <v>Germany</v>
      </c>
      <c r="D10" s="429">
        <f>GEP_add1!Q9</f>
        <v>12</v>
      </c>
      <c r="E10" s="428" t="str">
        <f>GEP_add1!R9</f>
        <v>DEU</v>
      </c>
      <c r="F10" s="430">
        <f>GEP_add1!S9</f>
        <v>1</v>
      </c>
      <c r="G10" s="431">
        <f>IF(GEP!F9="-",,GEP!F9)</f>
        <v>140.53</v>
      </c>
      <c r="H10" s="439">
        <f>IF(GEP!G9="-",,GEP!G9/2)</f>
        <v>14.23</v>
      </c>
      <c r="I10" s="439">
        <f>IF(GEP!G9="-",,GEP!G9/2)</f>
        <v>14.23</v>
      </c>
      <c r="J10" s="431">
        <f>IF(GEP!H9="-",,GEP!H9)</f>
        <v>0</v>
      </c>
      <c r="K10" s="441">
        <f>IF(GEP!I9="-",,GEP!I9/2)</f>
        <v>21.395</v>
      </c>
      <c r="L10" s="441">
        <f>IF(GEP!I9="-",,GEP!I9/2)</f>
        <v>21.395</v>
      </c>
      <c r="M10" s="301">
        <f>IF(GEP!J9="-",,GEP!J9/2)</f>
        <v>66.135000000000005</v>
      </c>
      <c r="N10" s="301">
        <f>IF(GEP!J9="-",,GEP!J9/2)</f>
        <v>66.135000000000005</v>
      </c>
      <c r="O10" s="431">
        <f>IF(GEP!K9="-",,GEP!K9)</f>
        <v>167.51</v>
      </c>
      <c r="P10" s="444">
        <f>IF(GEP!N9="-",,GEP!N9/3)</f>
        <v>3.6933333333333334</v>
      </c>
      <c r="Q10" s="444">
        <f>IF(GEP!N9="-",,GEP!N9/3)</f>
        <v>3.6933333333333334</v>
      </c>
      <c r="R10" s="444">
        <f>IF(GEP!N9="-",,GEP!N9/3)</f>
        <v>3.6933333333333334</v>
      </c>
      <c r="S10" s="448">
        <f>IF(GEP!O9="-",,GEP!O9/3)</f>
        <v>24.303333333333331</v>
      </c>
      <c r="T10" s="448">
        <f>IF(GEP!O9="-",,GEP!O9/3)</f>
        <v>24.303333333333331</v>
      </c>
      <c r="U10" s="448">
        <f>IF(GEP!O9="-",,GEP!O9/3)</f>
        <v>24.303333333333331</v>
      </c>
      <c r="V10" s="431">
        <f>IF(GEP!P9="-",IF(GEP!S9="-",,GEP!S9),IF(GEP!S9="-",GEP!P9,GEP!P9+GEP!S9))</f>
        <v>21.82</v>
      </c>
      <c r="W10" s="432">
        <v>0</v>
      </c>
      <c r="X10" s="432">
        <v>0</v>
      </c>
      <c r="Y10" s="301">
        <f>IF(GEP!L9="-",,GEP!L9)</f>
        <v>0</v>
      </c>
      <c r="Z10" s="301">
        <f>IF(GEP!M9="-",,GEP!M9)</f>
        <v>10.78</v>
      </c>
      <c r="AA10" s="301">
        <f>IF(GEP!Q9="-",,GEP!Q9)</f>
        <v>0.68</v>
      </c>
      <c r="AB10" s="301">
        <f>IF(GEP!R9="-",,GEP!R9)</f>
        <v>8.26</v>
      </c>
      <c r="AC10" s="301">
        <f>IF(GEP!P9="-",,GEP!P9)</f>
        <v>10.38</v>
      </c>
      <c r="AD10" s="301">
        <f>IF(GEP!S9="-",,GEP!S9)</f>
        <v>11.44</v>
      </c>
      <c r="AE10" s="433">
        <f>SUM(G10:AB10)</f>
        <v>637.08999999999992</v>
      </c>
      <c r="AF10" s="433">
        <f>SUM(G10:V10)</f>
        <v>617.37</v>
      </c>
      <c r="AG10" s="434">
        <f>IF(C10='Table 1.1 complete'!A6,AE10-'Table 1.1 complete'!E6,"error")</f>
        <v>-1.0000000000104592E-2</v>
      </c>
      <c r="AH10" s="301">
        <f>IF(C10='Table 1.2 complete'!A6,AE10-'Table 1.2 complete'!K6,"error")</f>
        <v>-1.0000000000104592E-2</v>
      </c>
      <c r="AI10" s="434">
        <f>'Table 1.2 complete'!K6-'Table 1.1 complete'!E6</f>
        <v>0</v>
      </c>
    </row>
    <row r="11" spans="2:35" x14ac:dyDescent="0.25">
      <c r="C11" s="165" t="str">
        <f>GEP_add1!P10</f>
        <v>France</v>
      </c>
      <c r="D11" s="195">
        <f>GEP_add1!Q10</f>
        <v>11</v>
      </c>
      <c r="E11" s="165" t="str">
        <f>GEP_add1!R10</f>
        <v xml:space="preserve">FRA </v>
      </c>
      <c r="F11" s="125">
        <f>GEP_add1!S10</f>
        <v>2</v>
      </c>
      <c r="G11" s="267">
        <f>IF(GEP!F10="-",,GEP!F10)</f>
        <v>439.73</v>
      </c>
      <c r="H11" s="322">
        <f>IF(GEP!G10="-",,GEP!G10/2)</f>
        <v>31.83</v>
      </c>
      <c r="I11" s="322">
        <f>IF(GEP!G10="-",,GEP!G10/2)</f>
        <v>31.83</v>
      </c>
      <c r="J11" s="267">
        <f>IF(GEP!H10="-",,GEP!H10)</f>
        <v>0</v>
      </c>
      <c r="K11" s="321">
        <f>IF(GEP!I10="-",,GEP!I10/2)</f>
        <v>2.2949999999999999</v>
      </c>
      <c r="L11" s="321">
        <f>IF(GEP!I10="-",,GEP!I10/2)</f>
        <v>2.2949999999999999</v>
      </c>
      <c r="M11" s="113">
        <f>IF(GEP!J10="-",,GEP!J10/2)</f>
        <v>12.225</v>
      </c>
      <c r="N11" s="113">
        <f>IF(GEP!J10="-",,GEP!J10/2)</f>
        <v>12.225</v>
      </c>
      <c r="O11" s="267">
        <f>IF(GEP!K10="-",,GEP!K10)</f>
        <v>0</v>
      </c>
      <c r="P11" s="445">
        <f>IF(GEP!N10="-",,GEP!N10/3)</f>
        <v>2.0533333333333332</v>
      </c>
      <c r="Q11" s="445">
        <f>IF(GEP!N10="-",,GEP!N10/3)</f>
        <v>2.0533333333333332</v>
      </c>
      <c r="R11" s="445">
        <f>IF(GEP!N10="-",,GEP!N10/3)</f>
        <v>2.0533333333333332</v>
      </c>
      <c r="S11" s="449">
        <f>IF(GEP!O10="-",,GEP!O10/3)</f>
        <v>7.3299999999999992</v>
      </c>
      <c r="T11" s="449">
        <f>IF(GEP!O10="-",,GEP!O10/3)</f>
        <v>7.3299999999999992</v>
      </c>
      <c r="U11" s="449">
        <f>IF(GEP!O10="-",,GEP!O10/3)</f>
        <v>7.3299999999999992</v>
      </c>
      <c r="V11" s="267">
        <f>IF(GEP!P10="-",IF(GEP!S10="-",,GEP!S10),IF(GEP!S10="-",GEP!P10,GEP!P10+GEP!S10))</f>
        <v>2.0100000000000002</v>
      </c>
      <c r="W11" s="427">
        <v>0</v>
      </c>
      <c r="X11" s="427">
        <v>0</v>
      </c>
      <c r="Y11" s="113">
        <f>IF(GEP!L10="-",,GEP!L10)</f>
        <v>0</v>
      </c>
      <c r="Z11" s="113">
        <f>IF(GEP!M10="-",,GEP!M10)</f>
        <v>3.75</v>
      </c>
      <c r="AA11" s="113">
        <f>IF(GEP!Q10="-",,GEP!Q10)</f>
        <v>0</v>
      </c>
      <c r="AB11" s="113">
        <f>IF(GEP!R10="-",,GEP!R10)</f>
        <v>3.51</v>
      </c>
      <c r="AC11" s="113">
        <f>IF(GEP!P10="-",,GEP!P10)</f>
        <v>1.37</v>
      </c>
      <c r="AD11" s="113">
        <f>IF(GEP!S10="-",,GEP!S10)</f>
        <v>0.64</v>
      </c>
      <c r="AE11" s="149">
        <f t="shared" ref="AE11:AE74" si="0">SUM(G11:AB11)</f>
        <v>569.85</v>
      </c>
      <c r="AF11" s="149">
        <f t="shared" ref="AF11:AF74" si="1">SUM(G11:V11)</f>
        <v>562.59</v>
      </c>
      <c r="AG11" s="106">
        <f>IF(C11='Table 1.1 complete'!A7,AE11-'Table 1.1 complete'!E7,"error")</f>
        <v>5.0000000000068212E-2</v>
      </c>
      <c r="AH11" s="113">
        <f>IF(C11='Table 1.2 complete'!A7,AE11-'Table 1.2 complete'!K7,"error")</f>
        <v>9.9999999999909051E-3</v>
      </c>
      <c r="AI11" s="106">
        <f>'Table 1.2 complete'!K7-'Table 1.1 complete'!E7</f>
        <v>4.0000000000077307E-2</v>
      </c>
    </row>
    <row r="12" spans="2:35" x14ac:dyDescent="0.25">
      <c r="C12" s="156" t="str">
        <f>GEP_add1!P11</f>
        <v>Austria</v>
      </c>
      <c r="D12" s="186">
        <f>GEP_add1!Q11</f>
        <v>5</v>
      </c>
      <c r="E12" s="156" t="str">
        <f>GEP_add1!R11</f>
        <v>AUT</v>
      </c>
      <c r="F12" s="116">
        <f>GEP_add1!S11</f>
        <v>3</v>
      </c>
      <c r="G12" s="267">
        <f>IF(GEP!F11="-",,GEP!F11)</f>
        <v>0</v>
      </c>
      <c r="H12" s="322">
        <f>IF(GEP!G11="-",,GEP!G11/2)</f>
        <v>19.245000000000001</v>
      </c>
      <c r="I12" s="322">
        <f>IF(GEP!G11="-",,GEP!G11/2)</f>
        <v>19.245000000000001</v>
      </c>
      <c r="J12" s="267">
        <f>IF(GEP!H11="-",,GEP!H11)</f>
        <v>0</v>
      </c>
      <c r="K12" s="321">
        <f>IF(GEP!I11="-",,GEP!I11/2)</f>
        <v>1.0249999999999999</v>
      </c>
      <c r="L12" s="321">
        <f>IF(GEP!I11="-",,GEP!I11/2)</f>
        <v>1.0249999999999999</v>
      </c>
      <c r="M12" s="113">
        <f>IF(GEP!J11="-",,GEP!J11/2)</f>
        <v>3.13</v>
      </c>
      <c r="N12" s="113">
        <f>IF(GEP!J11="-",,GEP!J11/2)</f>
        <v>3.13</v>
      </c>
      <c r="O12" s="267">
        <f>IF(GEP!K11="-",,GEP!K11)</f>
        <v>0</v>
      </c>
      <c r="P12" s="445">
        <f>IF(GEP!N11="-",,GEP!N11/3)</f>
        <v>0.42666666666666669</v>
      </c>
      <c r="Q12" s="445">
        <f>IF(GEP!N11="-",,GEP!N11/3)</f>
        <v>0.42666666666666669</v>
      </c>
      <c r="R12" s="445">
        <f>IF(GEP!N11="-",,GEP!N11/3)</f>
        <v>0.42666666666666669</v>
      </c>
      <c r="S12" s="449">
        <f>IF(GEP!O11="-",,GEP!O11/3)</f>
        <v>3.2899999999999996</v>
      </c>
      <c r="T12" s="449">
        <f>IF(GEP!O11="-",,GEP!O11/3)</f>
        <v>3.2899999999999996</v>
      </c>
      <c r="U12" s="449">
        <f>IF(GEP!O11="-",,GEP!O11/3)</f>
        <v>3.2899999999999996</v>
      </c>
      <c r="V12" s="267">
        <f>IF(GEP!P11="-",IF(GEP!S11="-",,GEP!S11),IF(GEP!S11="-",GEP!P11,GEP!P11+GEP!S11))</f>
        <v>3.3400000000000003</v>
      </c>
      <c r="W12" s="427">
        <v>0</v>
      </c>
      <c r="X12" s="427">
        <v>0</v>
      </c>
      <c r="Y12" s="113">
        <f>IF(GEP!L11="-",,GEP!L11)</f>
        <v>0</v>
      </c>
      <c r="Z12" s="113">
        <f>IF(GEP!M11="-",,GEP!M11)</f>
        <v>1.33</v>
      </c>
      <c r="AA12" s="113">
        <f>IF(GEP!Q11="-",,GEP!Q11)</f>
        <v>0.31</v>
      </c>
      <c r="AB12" s="113">
        <f>IF(GEP!R11="-",,GEP!R11)</f>
        <v>0.5</v>
      </c>
      <c r="AC12" s="113">
        <f>IF(GEP!P11="-",,GEP!P11)</f>
        <v>3.18</v>
      </c>
      <c r="AD12" s="113">
        <f>IF(GEP!S11="-",,GEP!S11)</f>
        <v>0.16</v>
      </c>
      <c r="AE12" s="149">
        <f t="shared" si="0"/>
        <v>63.430000000000014</v>
      </c>
      <c r="AF12" s="149">
        <f t="shared" si="1"/>
        <v>61.290000000000013</v>
      </c>
      <c r="AG12" s="106">
        <f>IF(C12='Table 1.1 complete'!A8,AE12-'Table 1.1 complete'!E8,"error")</f>
        <v>3.0000000000015348E-2</v>
      </c>
      <c r="AH12" s="113">
        <f>IF(C12='Table 1.2 complete'!A8,AE12-'Table 1.2 complete'!K8,"error")</f>
        <v>1.4210854715202004E-14</v>
      </c>
      <c r="AI12" s="106">
        <f>'Table 1.2 complete'!K8-'Table 1.1 complete'!E8</f>
        <v>3.0000000000001137E-2</v>
      </c>
    </row>
    <row r="13" spans="2:35" x14ac:dyDescent="0.25">
      <c r="C13" s="179" t="str">
        <f>GEP_add1!P12</f>
        <v>Switzerland</v>
      </c>
      <c r="D13" s="210">
        <f>GEP_add1!Q12</f>
        <v>30</v>
      </c>
      <c r="E13" s="179" t="str">
        <f>GEP_add1!R12</f>
        <v>SWZ</v>
      </c>
      <c r="F13" s="138">
        <f>GEP_add1!S12</f>
        <v>4</v>
      </c>
      <c r="G13" s="267">
        <f>IF(GEP!F12="-",,GEP!F12)</f>
        <v>27.93</v>
      </c>
      <c r="H13" s="322">
        <f>IF(GEP!G12="-",,GEP!G12/2)</f>
        <v>18.37</v>
      </c>
      <c r="I13" s="322">
        <f>IF(GEP!G12="-",,GEP!G12/2)</f>
        <v>18.37</v>
      </c>
      <c r="J13" s="267">
        <f>IF(GEP!H12="-",,GEP!H12)</f>
        <v>0</v>
      </c>
      <c r="K13" s="321">
        <f>IF(GEP!I12="-",,GEP!I12/2)</f>
        <v>0.02</v>
      </c>
      <c r="L13" s="321">
        <f>IF(GEP!I12="-",,GEP!I12/2)</f>
        <v>0.02</v>
      </c>
      <c r="M13" s="113">
        <f>IF(GEP!J12="-",,GEP!J12/2)</f>
        <v>0</v>
      </c>
      <c r="N13" s="113">
        <f>IF(GEP!J12="-",,GEP!J12/2)</f>
        <v>0</v>
      </c>
      <c r="O13" s="267">
        <f>IF(GEP!K12="-",,GEP!K12)</f>
        <v>0</v>
      </c>
      <c r="P13" s="445">
        <f>IF(GEP!N12="-",,GEP!N12/3)</f>
        <v>6.3333333333333339E-2</v>
      </c>
      <c r="Q13" s="445">
        <f>IF(GEP!N12="-",,GEP!N12/3)</f>
        <v>6.3333333333333339E-2</v>
      </c>
      <c r="R13" s="445">
        <f>IF(GEP!N12="-",,GEP!N12/3)</f>
        <v>6.3333333333333339E-2</v>
      </c>
      <c r="S13" s="449">
        <f>IF(GEP!O12="-",,GEP!O12/3)</f>
        <v>0.25</v>
      </c>
      <c r="T13" s="449">
        <f>IF(GEP!O12="-",,GEP!O12/3)</f>
        <v>0.25</v>
      </c>
      <c r="U13" s="449">
        <f>IF(GEP!O12="-",,GEP!O12/3)</f>
        <v>0.25</v>
      </c>
      <c r="V13" s="267">
        <f>IF(GEP!P12="-",IF(GEP!S12="-",,GEP!S12),IF(GEP!S12="-",GEP!P12,GEP!P12+GEP!S12))</f>
        <v>0.30000000000000004</v>
      </c>
      <c r="W13" s="427">
        <v>0</v>
      </c>
      <c r="X13" s="427">
        <v>0</v>
      </c>
      <c r="Y13" s="113">
        <f>IF(GEP!L12="-",,GEP!L12)</f>
        <v>0</v>
      </c>
      <c r="Z13" s="113">
        <f>IF(GEP!M12="-",,GEP!M12)</f>
        <v>0</v>
      </c>
      <c r="AA13" s="113">
        <f>IF(GEP!Q12="-",,GEP!Q12)</f>
        <v>0.23</v>
      </c>
      <c r="AB13" s="113">
        <f>IF(GEP!R12="-",,GEP!R12)</f>
        <v>1.78</v>
      </c>
      <c r="AC13" s="113">
        <f>IF(GEP!P12="-",,GEP!P12)</f>
        <v>0.13</v>
      </c>
      <c r="AD13" s="113">
        <f>IF(GEP!S12="-",,GEP!S12)</f>
        <v>0.17</v>
      </c>
      <c r="AE13" s="149">
        <f t="shared" si="0"/>
        <v>67.959999999999994</v>
      </c>
      <c r="AF13" s="149">
        <f t="shared" si="1"/>
        <v>65.949999999999989</v>
      </c>
      <c r="AG13" s="106">
        <f>IF(C13='Table 1.1 complete'!A9,AE13-'Table 1.1 complete'!E9,"error")</f>
        <v>-4.0000000000006253E-2</v>
      </c>
      <c r="AH13" s="113">
        <f>IF(C13='Table 1.2 complete'!A9,AE13-'Table 1.2 complete'!K9,"error")</f>
        <v>9.9999999999909051E-3</v>
      </c>
      <c r="AI13" s="106">
        <f>'Table 1.2 complete'!K9-'Table 1.1 complete'!E9</f>
        <v>-4.9999999999997158E-2</v>
      </c>
    </row>
    <row r="14" spans="2:35" x14ac:dyDescent="0.25">
      <c r="C14" s="157" t="str">
        <f>GEP_add1!P13</f>
        <v>Belgium</v>
      </c>
      <c r="D14" s="187">
        <f>GEP_add1!Q13</f>
        <v>6</v>
      </c>
      <c r="E14" s="157" t="str">
        <f>GEP_add1!R13</f>
        <v>EUN</v>
      </c>
      <c r="F14" s="117">
        <f>GEP_add1!S13</f>
        <v>5</v>
      </c>
      <c r="G14" s="267">
        <f>IF(GEP!F13="-",,GEP!F13)</f>
        <v>48.23</v>
      </c>
      <c r="H14" s="322">
        <f>IF(GEP!G13="-",,GEP!G13/2)</f>
        <v>0.84</v>
      </c>
      <c r="I14" s="322">
        <f>IF(GEP!G13="-",,GEP!G13/2)</f>
        <v>0.84</v>
      </c>
      <c r="J14" s="267">
        <f>IF(GEP!H13="-",,GEP!H13)</f>
        <v>0</v>
      </c>
      <c r="K14" s="321">
        <f>IF(GEP!I13="-",,GEP!I13/2)</f>
        <v>0.37</v>
      </c>
      <c r="L14" s="321">
        <f>IF(GEP!I13="-",,GEP!I13/2)</f>
        <v>0.37</v>
      </c>
      <c r="M14" s="113">
        <f>IF(GEP!J13="-",,GEP!J13/2)</f>
        <v>3.2349999999999999</v>
      </c>
      <c r="N14" s="113">
        <f>IF(GEP!J13="-",,GEP!J13/2)</f>
        <v>3.2349999999999999</v>
      </c>
      <c r="O14" s="267">
        <f>IF(GEP!K13="-",,GEP!K13)</f>
        <v>0</v>
      </c>
      <c r="P14" s="445">
        <f>IF(GEP!N13="-",,GEP!N13/3)</f>
        <v>0.27</v>
      </c>
      <c r="Q14" s="445">
        <f>IF(GEP!N13="-",,GEP!N13/3)</f>
        <v>0.27</v>
      </c>
      <c r="R14" s="445">
        <f>IF(GEP!N13="-",,GEP!N13/3)</f>
        <v>0.27</v>
      </c>
      <c r="S14" s="449">
        <f>IF(GEP!O13="-",,GEP!O13/3)</f>
        <v>8.4633333333333329</v>
      </c>
      <c r="T14" s="449">
        <f>IF(GEP!O13="-",,GEP!O13/3)</f>
        <v>8.4633333333333329</v>
      </c>
      <c r="U14" s="449">
        <f>IF(GEP!O13="-",,GEP!O13/3)</f>
        <v>8.4633333333333329</v>
      </c>
      <c r="V14" s="267">
        <f>IF(GEP!P13="-",IF(GEP!S13="-",,GEP!S13),IF(GEP!S13="-",GEP!P13,GEP!P13+GEP!S13))</f>
        <v>2.31</v>
      </c>
      <c r="W14" s="427">
        <v>0</v>
      </c>
      <c r="X14" s="427">
        <v>0</v>
      </c>
      <c r="Y14" s="113">
        <f>IF(GEP!L13="-",,GEP!L13)</f>
        <v>0</v>
      </c>
      <c r="Z14" s="113">
        <f>IF(GEP!M13="-",,GEP!M13)</f>
        <v>1.85</v>
      </c>
      <c r="AA14" s="113">
        <f>IF(GEP!Q13="-",,GEP!Q13)</f>
        <v>0.53</v>
      </c>
      <c r="AB14" s="113">
        <f>IF(GEP!R13="-",,GEP!R13)</f>
        <v>0.81</v>
      </c>
      <c r="AC14" s="113">
        <f>IF(GEP!P13="-",,GEP!P13)</f>
        <v>1.82</v>
      </c>
      <c r="AD14" s="113">
        <f>IF(GEP!S13="-",,GEP!S13)</f>
        <v>0.49</v>
      </c>
      <c r="AE14" s="149">
        <f t="shared" si="0"/>
        <v>88.820000000000022</v>
      </c>
      <c r="AF14" s="149">
        <f t="shared" si="1"/>
        <v>85.630000000000024</v>
      </c>
      <c r="AG14" s="106">
        <f>IF(C14='Table 1.1 complete'!A10,AE14-'Table 1.1 complete'!E10,"error")</f>
        <v>2.0000000000024443E-2</v>
      </c>
      <c r="AH14" s="113">
        <f>IF(C14='Table 1.2 complete'!A10,AE14-'Table 1.2 complete'!K10,"error")</f>
        <v>2.8421709430404007E-14</v>
      </c>
      <c r="AI14" s="106">
        <f>'Table 1.2 complete'!K10-'Table 1.1 complete'!E10</f>
        <v>1.9999999999996021E-2</v>
      </c>
    </row>
    <row r="15" spans="2:35" x14ac:dyDescent="0.25">
      <c r="C15" s="157" t="str">
        <f>GEP_add1!P14</f>
        <v>Denmark</v>
      </c>
      <c r="D15" s="187">
        <f>GEP_add1!Q14</f>
        <v>9</v>
      </c>
      <c r="E15" s="157" t="str">
        <f>GEP_add1!R14</f>
        <v>EUN</v>
      </c>
      <c r="F15" s="117">
        <f>GEP_add1!S14</f>
        <v>5</v>
      </c>
      <c r="G15" s="267">
        <f>IF(GEP!F14="-",,GEP!F14)</f>
        <v>0</v>
      </c>
      <c r="H15" s="322">
        <f>IF(GEP!G14="-",,GEP!G14/2)</f>
        <v>1.4999999999999999E-2</v>
      </c>
      <c r="I15" s="322">
        <f>IF(GEP!G14="-",,GEP!G14/2)</f>
        <v>1.4999999999999999E-2</v>
      </c>
      <c r="J15" s="267">
        <f>IF(GEP!H14="-",,GEP!H14)</f>
        <v>0</v>
      </c>
      <c r="K15" s="321">
        <f>IF(GEP!I14="-",,GEP!I14/2)</f>
        <v>3.59</v>
      </c>
      <c r="L15" s="321">
        <f>IF(GEP!I14="-",,GEP!I14/2)</f>
        <v>3.59</v>
      </c>
      <c r="M15" s="113">
        <f>IF(GEP!J14="-",,GEP!J14/2)</f>
        <v>9.9499999999999993</v>
      </c>
      <c r="N15" s="113">
        <f>IF(GEP!J14="-",,GEP!J14/2)</f>
        <v>9.9499999999999993</v>
      </c>
      <c r="O15" s="267">
        <f>IF(GEP!K14="-",,GEP!K14)</f>
        <v>0</v>
      </c>
      <c r="P15" s="445">
        <f>IF(GEP!N14="-",,GEP!N14/3)</f>
        <v>0.42666666666666669</v>
      </c>
      <c r="Q15" s="445">
        <f>IF(GEP!N14="-",,GEP!N14/3)</f>
        <v>0.42666666666666669</v>
      </c>
      <c r="R15" s="445">
        <f>IF(GEP!N14="-",,GEP!N14/3)</f>
        <v>0.42666666666666669</v>
      </c>
      <c r="S15" s="449">
        <f>IF(GEP!O14="-",,GEP!O14/3)</f>
        <v>2.3033333333333332</v>
      </c>
      <c r="T15" s="449">
        <f>IF(GEP!O14="-",,GEP!O14/3)</f>
        <v>2.3033333333333332</v>
      </c>
      <c r="U15" s="449">
        <f>IF(GEP!O14="-",,GEP!O14/3)</f>
        <v>2.3033333333333332</v>
      </c>
      <c r="V15" s="267">
        <f>IF(GEP!P14="-",IF(GEP!S14="-",,GEP!S14),IF(GEP!S14="-",GEP!P14,GEP!P14+GEP!S14))</f>
        <v>2.1</v>
      </c>
      <c r="W15" s="427">
        <v>0</v>
      </c>
      <c r="X15" s="427">
        <v>0</v>
      </c>
      <c r="Y15" s="113">
        <f>IF(GEP!L14="-",,GEP!L14)</f>
        <v>0</v>
      </c>
      <c r="Z15" s="113">
        <f>IF(GEP!M14="-",,GEP!M14)</f>
        <v>0</v>
      </c>
      <c r="AA15" s="113">
        <f>IF(GEP!Q14="-",,GEP!Q14)</f>
        <v>0</v>
      </c>
      <c r="AB15" s="113">
        <f>IF(GEP!R14="-",,GEP!R14)</f>
        <v>1.76</v>
      </c>
      <c r="AC15" s="113">
        <f>IF(GEP!P14="-",,GEP!P14)</f>
        <v>1.83</v>
      </c>
      <c r="AD15" s="113">
        <f>IF(GEP!S14="-",,GEP!S14)</f>
        <v>0.27</v>
      </c>
      <c r="AE15" s="149">
        <f t="shared" si="0"/>
        <v>39.159999999999997</v>
      </c>
      <c r="AF15" s="149">
        <f t="shared" si="1"/>
        <v>37.4</v>
      </c>
      <c r="AG15" s="106">
        <f>IF(C15='Table 1.1 complete'!A11,AE15-'Table 1.1 complete'!E11,"error")</f>
        <v>-4.0000000000006253E-2</v>
      </c>
      <c r="AH15" s="113">
        <f>IF(C15='Table 1.2 complete'!A11,AE15-'Table 1.2 complete'!K11,"error")</f>
        <v>9.9999999999980105E-3</v>
      </c>
      <c r="AI15" s="106">
        <f>'Table 1.2 complete'!K11-'Table 1.1 complete'!E11</f>
        <v>-5.0000000000004263E-2</v>
      </c>
    </row>
    <row r="16" spans="2:35" x14ac:dyDescent="0.25">
      <c r="C16" s="157" t="str">
        <f>GEP_add1!P15</f>
        <v>Estonia</v>
      </c>
      <c r="D16" s="187">
        <f>GEP_add1!Q15</f>
        <v>128</v>
      </c>
      <c r="E16" s="157" t="str">
        <f>GEP_add1!R15</f>
        <v>EUN</v>
      </c>
      <c r="F16" s="117">
        <f>GEP_add1!S15</f>
        <v>5</v>
      </c>
      <c r="G16" s="267">
        <f>IF(GEP!F15="-",,GEP!F15)</f>
        <v>0</v>
      </c>
      <c r="H16" s="322">
        <f>IF(GEP!G15="-",,GEP!G15/2)</f>
        <v>0.01</v>
      </c>
      <c r="I16" s="322">
        <f>IF(GEP!G15="-",,GEP!G15/2)</f>
        <v>0.01</v>
      </c>
      <c r="J16" s="267">
        <f>IF(GEP!H15="-",,GEP!H15)</f>
        <v>0</v>
      </c>
      <c r="K16" s="321">
        <f>IF(GEP!I15="-",,GEP!I15/2)</f>
        <v>4.4999999999999998E-2</v>
      </c>
      <c r="L16" s="321">
        <f>IF(GEP!I15="-",,GEP!I15/2)</f>
        <v>4.4999999999999998E-2</v>
      </c>
      <c r="M16" s="113">
        <f>IF(GEP!J15="-",,GEP!J15/2)</f>
        <v>0</v>
      </c>
      <c r="N16" s="113">
        <f>IF(GEP!J15="-",,GEP!J15/2)</f>
        <v>0</v>
      </c>
      <c r="O16" s="267">
        <f>IF(GEP!K15="-",,GEP!K15)</f>
        <v>11.4</v>
      </c>
      <c r="P16" s="445">
        <f>IF(GEP!N15="-",,GEP!N15/3)</f>
        <v>0.01</v>
      </c>
      <c r="Q16" s="445">
        <f>IF(GEP!N15="-",,GEP!N15/3)</f>
        <v>0.01</v>
      </c>
      <c r="R16" s="445">
        <f>IF(GEP!N15="-",,GEP!N15/3)</f>
        <v>0.01</v>
      </c>
      <c r="S16" s="449">
        <f>IF(GEP!O15="-",,GEP!O15/3)</f>
        <v>0.19666666666666666</v>
      </c>
      <c r="T16" s="449">
        <f>IF(GEP!O15="-",,GEP!O15/3)</f>
        <v>0.19666666666666666</v>
      </c>
      <c r="U16" s="449">
        <f>IF(GEP!O15="-",,GEP!O15/3)</f>
        <v>0.19666666666666666</v>
      </c>
      <c r="V16" s="267">
        <f>IF(GEP!P15="-",IF(GEP!S15="-",,GEP!S15),IF(GEP!S15="-",GEP!P15,GEP!P15+GEP!S15))</f>
        <v>0.03</v>
      </c>
      <c r="W16" s="427">
        <v>0</v>
      </c>
      <c r="X16" s="427">
        <v>0</v>
      </c>
      <c r="Y16" s="113">
        <f>IF(GEP!L15="-",,GEP!L15)</f>
        <v>0.02</v>
      </c>
      <c r="Z16" s="113">
        <f>IF(GEP!M15="-",,GEP!M15)</f>
        <v>0</v>
      </c>
      <c r="AA16" s="113">
        <f>IF(GEP!Q15="-",,GEP!Q15)</f>
        <v>0</v>
      </c>
      <c r="AB16" s="113">
        <f>IF(GEP!R15="-",,GEP!R15)</f>
        <v>0</v>
      </c>
      <c r="AC16" s="113">
        <f>IF(GEP!P15="-",,GEP!P15)</f>
        <v>0.02</v>
      </c>
      <c r="AD16" s="113">
        <f>IF(GEP!S15="-",,GEP!S15)</f>
        <v>0.01</v>
      </c>
      <c r="AE16" s="149">
        <f t="shared" si="0"/>
        <v>12.18</v>
      </c>
      <c r="AF16" s="149">
        <f t="shared" si="1"/>
        <v>12.16</v>
      </c>
      <c r="AG16" s="106">
        <f>IF(C16='Table 1.1 complete'!A12,AE16-'Table 1.1 complete'!E12,"error")</f>
        <v>-1.9999999999999574E-2</v>
      </c>
      <c r="AH16" s="113">
        <f>IF(C16='Table 1.2 complete'!A12,AE16-'Table 1.2 complete'!K12,"error")</f>
        <v>-9.9999999999997868E-3</v>
      </c>
      <c r="AI16" s="106">
        <f>'Table 1.2 complete'!K12-'Table 1.1 complete'!E12</f>
        <v>-9.9999999999997868E-3</v>
      </c>
    </row>
    <row r="17" spans="3:35" x14ac:dyDescent="0.25">
      <c r="C17" s="261" t="str">
        <f>GEP_add1!P16</f>
        <v>Finland</v>
      </c>
      <c r="D17" s="262">
        <f>GEP_add1!Q16</f>
        <v>10</v>
      </c>
      <c r="E17" s="261" t="str">
        <f>GEP_add1!R16</f>
        <v>EUN</v>
      </c>
      <c r="F17" s="263">
        <f>GEP_add1!S16</f>
        <v>5</v>
      </c>
      <c r="G17" s="267">
        <f>IF(GEP!F16="-",,GEP!F16)</f>
        <v>23.42</v>
      </c>
      <c r="H17" s="322">
        <f>IF(GEP!G16="-",,GEP!G16/2)</f>
        <v>7.09</v>
      </c>
      <c r="I17" s="322">
        <f>IF(GEP!G16="-",,GEP!G16/2)</f>
        <v>7.09</v>
      </c>
      <c r="J17" s="267">
        <f>IF(GEP!H16="-",,GEP!H16)</f>
        <v>0</v>
      </c>
      <c r="K17" s="321">
        <f>IF(GEP!I16="-",,GEP!I16/2)</f>
        <v>0.28999999999999998</v>
      </c>
      <c r="L17" s="321">
        <f>IF(GEP!I16="-",,GEP!I16/2)</f>
        <v>0.28999999999999998</v>
      </c>
      <c r="M17" s="113">
        <f>IF(GEP!J16="-",,GEP!J16/2)</f>
        <v>6.98</v>
      </c>
      <c r="N17" s="113">
        <f>IF(GEP!J16="-",,GEP!J16/2)</f>
        <v>6.98</v>
      </c>
      <c r="O17" s="267">
        <f>IF(GEP!K16="-",,GEP!K16)</f>
        <v>0.01</v>
      </c>
      <c r="P17" s="445">
        <f>IF(GEP!N16="-",,GEP!N16/3)</f>
        <v>0.15666666666666665</v>
      </c>
      <c r="Q17" s="445">
        <f>IF(GEP!N16="-",,GEP!N16/3)</f>
        <v>0.15666666666666665</v>
      </c>
      <c r="R17" s="445">
        <f>IF(GEP!N16="-",,GEP!N16/3)</f>
        <v>0.15666666666666665</v>
      </c>
      <c r="S17" s="449">
        <f>IF(GEP!O16="-",,GEP!O16/3)</f>
        <v>3.5133333333333332</v>
      </c>
      <c r="T17" s="449">
        <f>IF(GEP!O16="-",,GEP!O16/3)</f>
        <v>3.5133333333333332</v>
      </c>
      <c r="U17" s="449">
        <f>IF(GEP!O16="-",,GEP!O16/3)</f>
        <v>3.5133333333333332</v>
      </c>
      <c r="V17" s="267">
        <f>IF(GEP!P16="-",IF(GEP!S16="-",,GEP!S16),IF(GEP!S16="-",GEP!P16,GEP!P16+GEP!S16))</f>
        <v>9.69</v>
      </c>
      <c r="W17" s="427">
        <v>0</v>
      </c>
      <c r="X17" s="427">
        <v>0</v>
      </c>
      <c r="Y17" s="113">
        <f>IF(GEP!L16="-",,GEP!L16)</f>
        <v>7.4</v>
      </c>
      <c r="Z17" s="113">
        <f>IF(GEP!M16="-",,GEP!M16)</f>
        <v>0.59</v>
      </c>
      <c r="AA17" s="113">
        <f>IF(GEP!Q16="-",,GEP!Q16)</f>
        <v>0.04</v>
      </c>
      <c r="AB17" s="113">
        <f>IF(GEP!R16="-",,GEP!R16)</f>
        <v>0.37</v>
      </c>
      <c r="AC17" s="113">
        <f>IF(GEP!P16="-",,GEP!P16)</f>
        <v>9.66</v>
      </c>
      <c r="AD17" s="113">
        <f>IF(GEP!S16="-",,GEP!S16)</f>
        <v>0.03</v>
      </c>
      <c r="AE17" s="149">
        <f t="shared" si="0"/>
        <v>81.250000000000028</v>
      </c>
      <c r="AF17" s="149">
        <f t="shared" si="1"/>
        <v>72.850000000000009</v>
      </c>
      <c r="AG17" s="106">
        <f>IF(C17='Table 1.1 complete'!A13,AE17-'Table 1.1 complete'!E13,"error")</f>
        <v>5.000000000002558E-2</v>
      </c>
      <c r="AH17" s="113">
        <f>IF(C17='Table 1.2 complete'!A13,AE17-'Table 1.2 complete'!K13,"error")</f>
        <v>2.8421709430404007E-14</v>
      </c>
      <c r="AI17" s="106">
        <f>'Table 1.2 complete'!K13-'Table 1.1 complete'!E13</f>
        <v>4.9999999999997158E-2</v>
      </c>
    </row>
    <row r="18" spans="3:35" x14ac:dyDescent="0.25">
      <c r="C18" s="180" t="str">
        <f>GEP_add1!P17</f>
        <v>Gibraltar</v>
      </c>
      <c r="D18" s="211">
        <f>GEP_add1!Q17</f>
        <v>119</v>
      </c>
      <c r="E18" s="180" t="str">
        <f>GEP_add1!R17</f>
        <v>EUN</v>
      </c>
      <c r="F18" s="139">
        <f>GEP_add1!S17</f>
        <v>5</v>
      </c>
      <c r="G18" s="267">
        <f>IF(GEP!F17="-",,GEP!F17)</f>
        <v>0</v>
      </c>
      <c r="H18" s="322">
        <f>IF(GEP!G17="-",,GEP!G17/2)</f>
        <v>0</v>
      </c>
      <c r="I18" s="322">
        <f>IF(GEP!G17="-",,GEP!G17/2)</f>
        <v>0</v>
      </c>
      <c r="J18" s="267">
        <f>IF(GEP!H17="-",,GEP!H17)</f>
        <v>0</v>
      </c>
      <c r="K18" s="321">
        <f>IF(GEP!I17="-",,GEP!I17/2)</f>
        <v>0</v>
      </c>
      <c r="L18" s="321">
        <f>IF(GEP!I17="-",,GEP!I17/2)</f>
        <v>0</v>
      </c>
      <c r="M18" s="113">
        <f>IF(GEP!J17="-",,GEP!J17/2)</f>
        <v>0</v>
      </c>
      <c r="N18" s="113">
        <f>IF(GEP!J17="-",,GEP!J17/2)</f>
        <v>0</v>
      </c>
      <c r="O18" s="267">
        <f>IF(GEP!K17="-",,GEP!K17)</f>
        <v>0</v>
      </c>
      <c r="P18" s="445">
        <f>IF(GEP!N17="-",,GEP!N17/3)</f>
        <v>5.3333333333333337E-2</v>
      </c>
      <c r="Q18" s="445">
        <f>IF(GEP!N17="-",,GEP!N17/3)</f>
        <v>5.3333333333333337E-2</v>
      </c>
      <c r="R18" s="445">
        <f>IF(GEP!N17="-",,GEP!N17/3)</f>
        <v>5.3333333333333337E-2</v>
      </c>
      <c r="S18" s="449">
        <f>IF(GEP!O17="-",,GEP!O17/3)</f>
        <v>0</v>
      </c>
      <c r="T18" s="449">
        <f>IF(GEP!O17="-",,GEP!O17/3)</f>
        <v>0</v>
      </c>
      <c r="U18" s="449">
        <f>IF(GEP!O17="-",,GEP!O17/3)</f>
        <v>0</v>
      </c>
      <c r="V18" s="267">
        <f>IF(GEP!P17="-",IF(GEP!S17="-",,GEP!S17),IF(GEP!S17="-",GEP!P17,GEP!P17+GEP!S17))</f>
        <v>0</v>
      </c>
      <c r="W18" s="427">
        <v>0</v>
      </c>
      <c r="X18" s="427">
        <v>0</v>
      </c>
      <c r="Y18" s="113">
        <f>IF(GEP!L17="-",,GEP!L17)</f>
        <v>0</v>
      </c>
      <c r="Z18" s="113">
        <f>IF(GEP!M17="-",,GEP!M17)</f>
        <v>0</v>
      </c>
      <c r="AA18" s="113">
        <f>IF(GEP!Q17="-",,GEP!Q17)</f>
        <v>0</v>
      </c>
      <c r="AB18" s="113">
        <f>IF(GEP!R17="-",,GEP!R17)</f>
        <v>0</v>
      </c>
      <c r="AC18" s="113">
        <f>IF(GEP!P17="-",,GEP!P17)</f>
        <v>0</v>
      </c>
      <c r="AD18" s="113">
        <f>IF(GEP!S17="-",,GEP!S17)</f>
        <v>0</v>
      </c>
      <c r="AE18" s="149">
        <f t="shared" si="0"/>
        <v>0.16</v>
      </c>
      <c r="AF18" s="149">
        <f t="shared" si="1"/>
        <v>0.16</v>
      </c>
      <c r="AG18" s="106">
        <f>IF(C18='Table 1.1 complete'!A14,AE18-'Table 1.1 complete'!E14,"error")</f>
        <v>-4.0000000000000008E-2</v>
      </c>
      <c r="AH18" s="113">
        <f>IF(C18='Table 1.2 complete'!A14,AE18-'Table 1.2 complete'!K14,"error")</f>
        <v>0</v>
      </c>
      <c r="AI18" s="106">
        <f>'Table 1.2 complete'!K14-'Table 1.1 complete'!E14</f>
        <v>-4.0000000000000008E-2</v>
      </c>
    </row>
    <row r="19" spans="3:35" x14ac:dyDescent="0.25">
      <c r="C19" s="180" t="str">
        <f>GEP_add1!P18</f>
        <v>Ireland</v>
      </c>
      <c r="D19" s="211">
        <f>GEP_add1!Q18</f>
        <v>16</v>
      </c>
      <c r="E19" s="180" t="str">
        <f>GEP_add1!R18</f>
        <v>EUN</v>
      </c>
      <c r="F19" s="139">
        <f>GEP_add1!S18</f>
        <v>5</v>
      </c>
      <c r="G19" s="267">
        <f>IF(GEP!F18="-",,GEP!F18)</f>
        <v>0</v>
      </c>
      <c r="H19" s="322">
        <f>IF(GEP!G18="-",,GEP!G18/2)</f>
        <v>0.51</v>
      </c>
      <c r="I19" s="322">
        <f>IF(GEP!G18="-",,GEP!G18/2)</f>
        <v>0.51</v>
      </c>
      <c r="J19" s="267">
        <f>IF(GEP!H18="-",,GEP!H18)</f>
        <v>0</v>
      </c>
      <c r="K19" s="321">
        <f>IF(GEP!I18="-",,GEP!I18/2)</f>
        <v>0.98</v>
      </c>
      <c r="L19" s="321">
        <f>IF(GEP!I18="-",,GEP!I18/2)</f>
        <v>0.98</v>
      </c>
      <c r="M19" s="113">
        <f>IF(GEP!J18="-",,GEP!J18/2)</f>
        <v>2.75</v>
      </c>
      <c r="N19" s="113">
        <f>IF(GEP!J18="-",,GEP!J18/2)</f>
        <v>2.75</v>
      </c>
      <c r="O19" s="267">
        <f>IF(GEP!K18="-",,GEP!K18)</f>
        <v>0</v>
      </c>
      <c r="P19" s="445">
        <f>IF(GEP!N18="-",,GEP!N18/3)</f>
        <v>0.66</v>
      </c>
      <c r="Q19" s="445">
        <f>IF(GEP!N18="-",,GEP!N18/3)</f>
        <v>0.66</v>
      </c>
      <c r="R19" s="445">
        <f>IF(GEP!N18="-",,GEP!N18/3)</f>
        <v>0.66</v>
      </c>
      <c r="S19" s="449">
        <f>IF(GEP!O18="-",,GEP!O18/3)</f>
        <v>5.1566666666666672</v>
      </c>
      <c r="T19" s="449">
        <f>IF(GEP!O18="-",,GEP!O18/3)</f>
        <v>5.1566666666666672</v>
      </c>
      <c r="U19" s="449">
        <f>IF(GEP!O18="-",,GEP!O18/3)</f>
        <v>5.1566666666666672</v>
      </c>
      <c r="V19" s="267">
        <f>IF(GEP!P18="-",IF(GEP!S18="-",,GEP!S18),IF(GEP!S18="-",GEP!P18,GEP!P18+GEP!S18))</f>
        <v>0.13</v>
      </c>
      <c r="W19" s="427">
        <v>0</v>
      </c>
      <c r="X19" s="427">
        <v>0</v>
      </c>
      <c r="Y19" s="113">
        <f>IF(GEP!L18="-",,GEP!L18)</f>
        <v>2.17</v>
      </c>
      <c r="Z19" s="113">
        <f>IF(GEP!M18="-",,GEP!M18)</f>
        <v>0</v>
      </c>
      <c r="AA19" s="113">
        <f>IF(GEP!Q18="-",,GEP!Q18)</f>
        <v>0</v>
      </c>
      <c r="AB19" s="113">
        <f>IF(GEP!R18="-",,GEP!R18)</f>
        <v>0</v>
      </c>
      <c r="AC19" s="113">
        <f>IF(GEP!P18="-",,GEP!P18)</f>
        <v>0.01</v>
      </c>
      <c r="AD19" s="113">
        <f>IF(GEP!S18="-",,GEP!S18)</f>
        <v>0.12</v>
      </c>
      <c r="AE19" s="149">
        <f t="shared" si="0"/>
        <v>28.229999999999997</v>
      </c>
      <c r="AF19" s="149">
        <f t="shared" si="1"/>
        <v>26.06</v>
      </c>
      <c r="AG19" s="106">
        <f>IF(C19='Table 1.1 complete'!A15,AE19-'Table 1.1 complete'!E15,"error")</f>
        <v>2.9999999999997584E-2</v>
      </c>
      <c r="AH19" s="113">
        <f>IF(C19='Table 1.2 complete'!A15,AE19-'Table 1.2 complete'!K15,"error")</f>
        <v>-3.5527136788005009E-15</v>
      </c>
      <c r="AI19" s="106">
        <f>'Table 1.2 complete'!K15-'Table 1.1 complete'!E15</f>
        <v>3.0000000000001137E-2</v>
      </c>
    </row>
    <row r="20" spans="3:35" x14ac:dyDescent="0.25">
      <c r="C20" s="163" t="str">
        <f>GEP_add1!P19</f>
        <v>Latvia</v>
      </c>
      <c r="D20" s="193">
        <f>GEP_add1!Q19</f>
        <v>132</v>
      </c>
      <c r="E20" s="163" t="str">
        <f>GEP_add1!R19</f>
        <v>EUN</v>
      </c>
      <c r="F20" s="123">
        <f>GEP_add1!S19</f>
        <v>5</v>
      </c>
      <c r="G20" s="267">
        <f>IF(GEP!F19="-",,GEP!F19)</f>
        <v>0</v>
      </c>
      <c r="H20" s="322">
        <f>IF(GEP!G19="-",,GEP!G19/2)</f>
        <v>1.365</v>
      </c>
      <c r="I20" s="322">
        <f>IF(GEP!G19="-",,GEP!G19/2)</f>
        <v>1.365</v>
      </c>
      <c r="J20" s="267">
        <f>IF(GEP!H19="-",,GEP!H19)</f>
        <v>0</v>
      </c>
      <c r="K20" s="321">
        <f>IF(GEP!I19="-",,GEP!I19/2)</f>
        <v>2.5000000000000001E-2</v>
      </c>
      <c r="L20" s="321">
        <f>IF(GEP!I19="-",,GEP!I19/2)</f>
        <v>2.5000000000000001E-2</v>
      </c>
      <c r="M20" s="113">
        <f>IF(GEP!J19="-",,GEP!J19/2)</f>
        <v>0</v>
      </c>
      <c r="N20" s="113">
        <f>IF(GEP!J19="-",,GEP!J19/2)</f>
        <v>0</v>
      </c>
      <c r="O20" s="267">
        <f>IF(GEP!K19="-",,GEP!K19)</f>
        <v>0</v>
      </c>
      <c r="P20" s="445">
        <f>IF(GEP!N19="-",,GEP!N19/3)</f>
        <v>6.6666666666666671E-3</v>
      </c>
      <c r="Q20" s="445">
        <f>IF(GEP!N19="-",,GEP!N19/3)</f>
        <v>6.6666666666666671E-3</v>
      </c>
      <c r="R20" s="445">
        <f>IF(GEP!N19="-",,GEP!N19/3)</f>
        <v>6.6666666666666671E-3</v>
      </c>
      <c r="S20" s="449">
        <f>IF(GEP!O19="-",,GEP!O19/3)</f>
        <v>0.64333333333333331</v>
      </c>
      <c r="T20" s="449">
        <f>IF(GEP!O19="-",,GEP!O19/3)</f>
        <v>0.64333333333333331</v>
      </c>
      <c r="U20" s="449">
        <f>IF(GEP!O19="-",,GEP!O19/3)</f>
        <v>0.64333333333333331</v>
      </c>
      <c r="V20" s="267">
        <f>IF(GEP!P19="-",IF(GEP!S19="-",,GEP!S19),IF(GEP!S19="-",GEP!P19,GEP!P19+GEP!S19))</f>
        <v>0.05</v>
      </c>
      <c r="W20" s="427">
        <v>0</v>
      </c>
      <c r="X20" s="427">
        <v>0</v>
      </c>
      <c r="Y20" s="113">
        <f>IF(GEP!L19="-",,GEP!L19)</f>
        <v>0</v>
      </c>
      <c r="Z20" s="113">
        <f>IF(GEP!M19="-",,GEP!M19)</f>
        <v>0</v>
      </c>
      <c r="AA20" s="113">
        <f>IF(GEP!Q19="-",,GEP!Q19)</f>
        <v>0</v>
      </c>
      <c r="AB20" s="113">
        <f>IF(GEP!R19="-",,GEP!R19)</f>
        <v>0</v>
      </c>
      <c r="AC20" s="113">
        <f>IF(GEP!P19="-",,GEP!P19)</f>
        <v>0.01</v>
      </c>
      <c r="AD20" s="113">
        <f>IF(GEP!S19="-",,GEP!S19)</f>
        <v>0.04</v>
      </c>
      <c r="AE20" s="149">
        <f t="shared" si="0"/>
        <v>4.78</v>
      </c>
      <c r="AF20" s="149">
        <f t="shared" si="1"/>
        <v>4.78</v>
      </c>
      <c r="AG20" s="106">
        <f>IF(C20='Table 1.1 complete'!A16,AE20-'Table 1.1 complete'!E16,"error")</f>
        <v>-1.9999999999999574E-2</v>
      </c>
      <c r="AH20" s="113">
        <f>IF(C20='Table 1.2 complete'!A16,AE20-'Table 1.2 complete'!K16,"error")</f>
        <v>1.0000000000000675E-2</v>
      </c>
      <c r="AI20" s="106">
        <f>'Table 1.2 complete'!K16-'Table 1.1 complete'!E16</f>
        <v>-3.0000000000000249E-2</v>
      </c>
    </row>
    <row r="21" spans="3:35" x14ac:dyDescent="0.25">
      <c r="C21" s="163" t="str">
        <f>GEP_add1!P20</f>
        <v>Lithuania</v>
      </c>
      <c r="D21" s="193">
        <f>GEP_add1!Q20</f>
        <v>133</v>
      </c>
      <c r="E21" s="163" t="str">
        <f>GEP_add1!R20</f>
        <v>EUN</v>
      </c>
      <c r="F21" s="123">
        <f>GEP_add1!S20</f>
        <v>5</v>
      </c>
      <c r="G21" s="267">
        <f>IF(GEP!F20="-",,GEP!F20)</f>
        <v>9.83</v>
      </c>
      <c r="H21" s="322">
        <f>IF(GEP!G20="-",,GEP!G20/2)</f>
        <v>0.48</v>
      </c>
      <c r="I21" s="322">
        <f>IF(GEP!G20="-",,GEP!G20/2)</f>
        <v>0.48</v>
      </c>
      <c r="J21" s="267">
        <f>IF(GEP!H20="-",,GEP!H20)</f>
        <v>0</v>
      </c>
      <c r="K21" s="321">
        <f>IF(GEP!I20="-",,GEP!I20/2)</f>
        <v>0.17</v>
      </c>
      <c r="L21" s="321">
        <f>IF(GEP!I20="-",,GEP!I20/2)</f>
        <v>0.17</v>
      </c>
      <c r="M21" s="113">
        <f>IF(GEP!J20="-",,GEP!J20/2)</f>
        <v>0</v>
      </c>
      <c r="N21" s="113">
        <f>IF(GEP!J20="-",,GEP!J20/2)</f>
        <v>0</v>
      </c>
      <c r="O21" s="267">
        <f>IF(GEP!K20="-",,GEP!K20)</f>
        <v>0</v>
      </c>
      <c r="P21" s="445">
        <f>IF(GEP!N20="-",,GEP!N20/3)</f>
        <v>0.13666666666666666</v>
      </c>
      <c r="Q21" s="445">
        <f>IF(GEP!N20="-",,GEP!N20/3)</f>
        <v>0.13666666666666666</v>
      </c>
      <c r="R21" s="445">
        <f>IF(GEP!N20="-",,GEP!N20/3)</f>
        <v>0.13666666666666666</v>
      </c>
      <c r="S21" s="449">
        <f>IF(GEP!O20="-",,GEP!O20/3)</f>
        <v>0.80333333333333334</v>
      </c>
      <c r="T21" s="449">
        <f>IF(GEP!O20="-",,GEP!O20/3)</f>
        <v>0.80333333333333334</v>
      </c>
      <c r="U21" s="449">
        <f>IF(GEP!O20="-",,GEP!O20/3)</f>
        <v>0.80333333333333334</v>
      </c>
      <c r="V21" s="267">
        <f>IF(GEP!P20="-",IF(GEP!S20="-",,GEP!S20),IF(GEP!S20="-",GEP!P20,GEP!P20+GEP!S20))</f>
        <v>6.0000000000000005E-2</v>
      </c>
      <c r="W21" s="427">
        <v>0</v>
      </c>
      <c r="X21" s="427">
        <v>0</v>
      </c>
      <c r="Y21" s="113">
        <f>IF(GEP!L20="-",,GEP!L20)</f>
        <v>0.01</v>
      </c>
      <c r="Z21" s="113">
        <f>IF(GEP!M20="-",,GEP!M20)</f>
        <v>0</v>
      </c>
      <c r="AA21" s="113">
        <f>IF(GEP!Q20="-",,GEP!Q20)</f>
        <v>0</v>
      </c>
      <c r="AB21" s="113">
        <f>IF(GEP!R20="-",,GEP!R20)</f>
        <v>0</v>
      </c>
      <c r="AC21" s="113">
        <f>IF(GEP!P20="-",,GEP!P20)</f>
        <v>0.05</v>
      </c>
      <c r="AD21" s="113">
        <f>IF(GEP!S20="-",,GEP!S20)</f>
        <v>0.01</v>
      </c>
      <c r="AE21" s="149">
        <f t="shared" si="0"/>
        <v>14.02</v>
      </c>
      <c r="AF21" s="149">
        <f t="shared" si="1"/>
        <v>14.01</v>
      </c>
      <c r="AG21" s="106">
        <f>IF(C21='Table 1.1 complete'!A17,AE21-'Table 1.1 complete'!E17,"error")</f>
        <v>1.9999999999999574E-2</v>
      </c>
      <c r="AH21" s="113">
        <f>IF(C21='Table 1.2 complete'!A17,AE21-'Table 1.2 complete'!K17,"error")</f>
        <v>9.9999999999997868E-3</v>
      </c>
      <c r="AI21" s="106">
        <f>'Table 1.2 complete'!K17-'Table 1.1 complete'!E17</f>
        <v>9.9999999999997868E-3</v>
      </c>
    </row>
    <row r="22" spans="3:35" x14ac:dyDescent="0.25">
      <c r="C22" s="163" t="str">
        <f>GEP_add1!P21</f>
        <v>Luxembourg</v>
      </c>
      <c r="D22" s="193">
        <f>GEP_add1!Q21</f>
        <v>20</v>
      </c>
      <c r="E22" s="163" t="str">
        <f>GEP_add1!R21</f>
        <v>EUN</v>
      </c>
      <c r="F22" s="123">
        <f>GEP_add1!S21</f>
        <v>5</v>
      </c>
      <c r="G22" s="267">
        <f>IF(GEP!F21="-",,GEP!F21)</f>
        <v>0</v>
      </c>
      <c r="H22" s="322">
        <f>IF(GEP!G21="-",,GEP!G21/2)</f>
        <v>0.46</v>
      </c>
      <c r="I22" s="322">
        <f>IF(GEP!G21="-",,GEP!G21/2)</f>
        <v>0.46</v>
      </c>
      <c r="J22" s="267">
        <f>IF(GEP!H21="-",,GEP!H21)</f>
        <v>0</v>
      </c>
      <c r="K22" s="321">
        <f>IF(GEP!I21="-",,GEP!I21/2)</f>
        <v>4.4999999999999998E-2</v>
      </c>
      <c r="L22" s="321">
        <f>IF(GEP!I21="-",,GEP!I21/2)</f>
        <v>4.4999999999999998E-2</v>
      </c>
      <c r="M22" s="113">
        <f>IF(GEP!J21="-",,GEP!J21/2)</f>
        <v>0</v>
      </c>
      <c r="N22" s="113">
        <f>IF(GEP!J21="-",,GEP!J21/2)</f>
        <v>0</v>
      </c>
      <c r="O22" s="267">
        <f>IF(GEP!K21="-",,GEP!K21)</f>
        <v>0</v>
      </c>
      <c r="P22" s="445">
        <f>IF(GEP!N21="-",,GEP!N21/3)</f>
        <v>0</v>
      </c>
      <c r="Q22" s="445">
        <f>IF(GEP!N21="-",,GEP!N21/3)</f>
        <v>0</v>
      </c>
      <c r="R22" s="445">
        <f>IF(GEP!N21="-",,GEP!N21/3)</f>
        <v>0</v>
      </c>
      <c r="S22" s="449">
        <f>IF(GEP!O21="-",,GEP!O21/3)</f>
        <v>0.96666666666666667</v>
      </c>
      <c r="T22" s="449">
        <f>IF(GEP!O21="-",,GEP!O21/3)</f>
        <v>0.96666666666666667</v>
      </c>
      <c r="U22" s="449">
        <f>IF(GEP!O21="-",,GEP!O21/3)</f>
        <v>0.96666666666666667</v>
      </c>
      <c r="V22" s="267">
        <f>IF(GEP!P21="-",IF(GEP!S21="-",,GEP!S21),IF(GEP!S21="-",GEP!P21,GEP!P21+GEP!S21))</f>
        <v>0.04</v>
      </c>
      <c r="W22" s="427">
        <v>0</v>
      </c>
      <c r="X22" s="427">
        <v>0</v>
      </c>
      <c r="Y22" s="113">
        <f>IF(GEP!L21="-",,GEP!L21)</f>
        <v>0</v>
      </c>
      <c r="Z22" s="113">
        <f>IF(GEP!M21="-",,GEP!M21)</f>
        <v>0</v>
      </c>
      <c r="AA22" s="113">
        <f>IF(GEP!Q21="-",,GEP!Q21)</f>
        <v>0</v>
      </c>
      <c r="AB22" s="113">
        <f>IF(GEP!R21="-",,GEP!R21)</f>
        <v>7.0000000000000007E-2</v>
      </c>
      <c r="AC22" s="113">
        <f>IF(GEP!P21="-",,GEP!P21)</f>
        <v>0</v>
      </c>
      <c r="AD22" s="113">
        <f>IF(GEP!S21="-",,GEP!S21)</f>
        <v>0.04</v>
      </c>
      <c r="AE22" s="149">
        <f t="shared" si="0"/>
        <v>4.0200000000000005</v>
      </c>
      <c r="AF22" s="149">
        <f t="shared" si="1"/>
        <v>3.95</v>
      </c>
      <c r="AG22" s="106">
        <f>IF(C22='Table 1.1 complete'!A18,AE22-'Table 1.1 complete'!E18,"error")</f>
        <v>2.0000000000000462E-2</v>
      </c>
      <c r="AH22" s="113">
        <f>IF(C22='Table 1.2 complete'!A18,AE22-'Table 1.2 complete'!K18,"error")</f>
        <v>2.0000000000000462E-2</v>
      </c>
      <c r="AI22" s="106">
        <f>'Table 1.2 complete'!K18-'Table 1.1 complete'!E18</f>
        <v>0</v>
      </c>
    </row>
    <row r="23" spans="3:35" x14ac:dyDescent="0.25">
      <c r="C23" s="163" t="str">
        <f>GEP_add1!P22</f>
        <v>Netherlands</v>
      </c>
      <c r="D23" s="193">
        <f>GEP_add1!Q22</f>
        <v>22</v>
      </c>
      <c r="E23" s="163" t="str">
        <f>GEP_add1!R22</f>
        <v>EUN</v>
      </c>
      <c r="F23" s="123">
        <f>GEP_add1!S22</f>
        <v>5</v>
      </c>
      <c r="G23" s="267">
        <f>IF(GEP!F22="-",,GEP!F22)</f>
        <v>4.2</v>
      </c>
      <c r="H23" s="322">
        <f>IF(GEP!G22="-",,GEP!G22/2)</f>
        <v>5.5E-2</v>
      </c>
      <c r="I23" s="322">
        <f>IF(GEP!G22="-",,GEP!G22/2)</f>
        <v>5.5E-2</v>
      </c>
      <c r="J23" s="267">
        <f>IF(GEP!H22="-",,GEP!H22)</f>
        <v>0</v>
      </c>
      <c r="K23" s="321">
        <f>IF(GEP!I22="-",,GEP!I22/2)</f>
        <v>1.825</v>
      </c>
      <c r="L23" s="321">
        <f>IF(GEP!I22="-",,GEP!I22/2)</f>
        <v>1.825</v>
      </c>
      <c r="M23" s="113">
        <f>IF(GEP!J22="-",,GEP!J22/2)</f>
        <v>12.46</v>
      </c>
      <c r="N23" s="113">
        <f>IF(GEP!J22="-",,GEP!J22/2)</f>
        <v>12.46</v>
      </c>
      <c r="O23" s="267">
        <f>IF(GEP!K22="-",,GEP!K22)</f>
        <v>0</v>
      </c>
      <c r="P23" s="445">
        <f>IF(GEP!N22="-",,GEP!N22/3)</f>
        <v>0.7400000000000001</v>
      </c>
      <c r="Q23" s="445">
        <f>IF(GEP!N22="-",,GEP!N22/3)</f>
        <v>0.7400000000000001</v>
      </c>
      <c r="R23" s="445">
        <f>IF(GEP!N22="-",,GEP!N22/3)</f>
        <v>0.7400000000000001</v>
      </c>
      <c r="S23" s="449">
        <f>IF(GEP!O22="-",,GEP!O22/3)</f>
        <v>19.68</v>
      </c>
      <c r="T23" s="449">
        <f>IF(GEP!O22="-",,GEP!O22/3)</f>
        <v>19.68</v>
      </c>
      <c r="U23" s="449">
        <f>IF(GEP!O22="-",,GEP!O22/3)</f>
        <v>19.68</v>
      </c>
      <c r="V23" s="267">
        <f>IF(GEP!P22="-",IF(GEP!S22="-",,GEP!S22),IF(GEP!S22="-",GEP!P22,GEP!P22+GEP!S22))</f>
        <v>2.61</v>
      </c>
      <c r="W23" s="427">
        <v>0</v>
      </c>
      <c r="X23" s="427">
        <v>0</v>
      </c>
      <c r="Y23" s="113">
        <f>IF(GEP!L22="-",,GEP!L22)</f>
        <v>0</v>
      </c>
      <c r="Z23" s="113">
        <f>IF(GEP!M22="-",,GEP!M22)</f>
        <v>3.55</v>
      </c>
      <c r="AA23" s="113">
        <f>IF(GEP!Q22="-",,GEP!Q22)</f>
        <v>0</v>
      </c>
      <c r="AB23" s="113">
        <f>IF(GEP!R22="-",,GEP!R22)</f>
        <v>2.96</v>
      </c>
      <c r="AC23" s="113">
        <f>IF(GEP!P22="-",,GEP!P22)</f>
        <v>1.97</v>
      </c>
      <c r="AD23" s="113">
        <f>IF(GEP!S22="-",,GEP!S22)</f>
        <v>0.64</v>
      </c>
      <c r="AE23" s="149">
        <f t="shared" si="0"/>
        <v>103.26</v>
      </c>
      <c r="AF23" s="149">
        <f t="shared" si="1"/>
        <v>96.750000000000014</v>
      </c>
      <c r="AG23" s="106">
        <f>IF(C23='Table 1.1 complete'!A19,AE23-'Table 1.1 complete'!E19,"error")</f>
        <v>6.0000000000002274E-2</v>
      </c>
      <c r="AH23" s="113">
        <f>IF(C23='Table 1.2 complete'!A19,AE23-'Table 1.2 complete'!K19,"error")</f>
        <v>2.0000000000010232E-2</v>
      </c>
      <c r="AI23" s="106">
        <f>'Table 1.2 complete'!K19-'Table 1.1 complete'!E19</f>
        <v>3.9999999999992042E-2</v>
      </c>
    </row>
    <row r="24" spans="3:35" x14ac:dyDescent="0.25">
      <c r="C24" s="163" t="str">
        <f>GEP_add1!P23</f>
        <v>Sweden</v>
      </c>
      <c r="D24" s="193">
        <f>GEP_add1!Q23</f>
        <v>29</v>
      </c>
      <c r="E24" s="163" t="str">
        <f>GEP_add1!R23</f>
        <v>EUN</v>
      </c>
      <c r="F24" s="123">
        <f>GEP_add1!S23</f>
        <v>5</v>
      </c>
      <c r="G24" s="267">
        <f>IF(GEP!F23="-",,GEP!F23)</f>
        <v>66.97</v>
      </c>
      <c r="H24" s="322">
        <f>IF(GEP!G23="-",,GEP!G23/2)</f>
        <v>33.094999999999999</v>
      </c>
      <c r="I24" s="322">
        <f>IF(GEP!G23="-",,GEP!G23/2)</f>
        <v>33.094999999999999</v>
      </c>
      <c r="J24" s="267">
        <f>IF(GEP!H23="-",,GEP!H23)</f>
        <v>0</v>
      </c>
      <c r="K24" s="321">
        <f>IF(GEP!I23="-",,GEP!I23/2)</f>
        <v>0.71499999999999997</v>
      </c>
      <c r="L24" s="321">
        <f>IF(GEP!I23="-",,GEP!I23/2)</f>
        <v>0.71499999999999997</v>
      </c>
      <c r="M24" s="113">
        <f>IF(GEP!J23="-",,GEP!J23/2)</f>
        <v>0.32500000000000001</v>
      </c>
      <c r="N24" s="113">
        <f>IF(GEP!J23="-",,GEP!J23/2)</f>
        <v>0.32500000000000001</v>
      </c>
      <c r="O24" s="267">
        <f>IF(GEP!K23="-",,GEP!K23)</f>
        <v>0</v>
      </c>
      <c r="P24" s="445">
        <f>IF(GEP!N23="-",,GEP!N23/3)</f>
        <v>0.36000000000000004</v>
      </c>
      <c r="Q24" s="445">
        <f>IF(GEP!N23="-",,GEP!N23/3)</f>
        <v>0.36000000000000004</v>
      </c>
      <c r="R24" s="445">
        <f>IF(GEP!N23="-",,GEP!N23/3)</f>
        <v>0.36000000000000004</v>
      </c>
      <c r="S24" s="449">
        <f>IF(GEP!O23="-",,GEP!O23/3)</f>
        <v>0.27333333333333332</v>
      </c>
      <c r="T24" s="449">
        <f>IF(GEP!O23="-",,GEP!O23/3)</f>
        <v>0.27333333333333332</v>
      </c>
      <c r="U24" s="449">
        <f>IF(GEP!O23="-",,GEP!O23/3)</f>
        <v>0.27333333333333332</v>
      </c>
      <c r="V24" s="267">
        <f>IF(GEP!P23="-",IF(GEP!S23="-",,GEP!S23),IF(GEP!S23="-",GEP!P23,GEP!P23+GEP!S23))</f>
        <v>8.73</v>
      </c>
      <c r="W24" s="427">
        <v>0</v>
      </c>
      <c r="X24" s="427">
        <v>0</v>
      </c>
      <c r="Y24" s="113">
        <f>IF(GEP!L23="-",,GEP!L23)</f>
        <v>0.36</v>
      </c>
      <c r="Z24" s="113">
        <f>IF(GEP!M23="-",,GEP!M23)</f>
        <v>0.7</v>
      </c>
      <c r="AA24" s="113">
        <f>IF(GEP!Q23="-",,GEP!Q23)</f>
        <v>0.08</v>
      </c>
      <c r="AB24" s="113">
        <f>IF(GEP!R23="-",,GEP!R23)</f>
        <v>1.85</v>
      </c>
      <c r="AC24" s="113">
        <f>IF(GEP!P23="-",,GEP!P23)</f>
        <v>8.5</v>
      </c>
      <c r="AD24" s="113">
        <f>IF(GEP!S23="-",,GEP!S23)</f>
        <v>0.23</v>
      </c>
      <c r="AE24" s="149">
        <f t="shared" si="0"/>
        <v>148.86000000000004</v>
      </c>
      <c r="AF24" s="149">
        <f t="shared" si="1"/>
        <v>145.87000000000003</v>
      </c>
      <c r="AG24" s="106">
        <f>IF(C24='Table 1.1 complete'!A20,AE24-'Table 1.1 complete'!E20,"error")</f>
        <v>6.0000000000030695E-2</v>
      </c>
      <c r="AH24" s="113">
        <f>IF(C24='Table 1.2 complete'!A20,AE24-'Table 1.2 complete'!K20,"error")</f>
        <v>1.0000000000047748E-2</v>
      </c>
      <c r="AI24" s="106">
        <f>'Table 1.2 complete'!K20-'Table 1.1 complete'!E20</f>
        <v>4.9999999999982947E-2</v>
      </c>
    </row>
    <row r="25" spans="3:35" x14ac:dyDescent="0.25">
      <c r="C25" s="163" t="str">
        <f>GEP_add1!P24</f>
        <v>United Kingdom</v>
      </c>
      <c r="D25" s="193">
        <f>GEP_add1!Q24</f>
        <v>32</v>
      </c>
      <c r="E25" s="163" t="str">
        <f>GEP_add1!R24</f>
        <v>EUN</v>
      </c>
      <c r="F25" s="123">
        <f>GEP_add1!S24</f>
        <v>5</v>
      </c>
      <c r="G25" s="267">
        <f>IF(GEP!F24="-",,GEP!F24)</f>
        <v>63.03</v>
      </c>
      <c r="H25" s="322">
        <f>IF(GEP!G24="-",,GEP!G24/2)</f>
        <v>4.4749999999999996</v>
      </c>
      <c r="I25" s="322">
        <f>IF(GEP!G24="-",,GEP!G24/2)</f>
        <v>4.4749999999999996</v>
      </c>
      <c r="J25" s="267">
        <f>IF(GEP!H24="-",,GEP!H24)</f>
        <v>0</v>
      </c>
      <c r="K25" s="321">
        <f>IF(GEP!I24="-",,GEP!I24/2)</f>
        <v>2.645</v>
      </c>
      <c r="L25" s="321">
        <f>IF(GEP!I24="-",,GEP!I24/2)</f>
        <v>2.645</v>
      </c>
      <c r="M25" s="113">
        <f>IF(GEP!J24="-",,GEP!J24/2)</f>
        <v>68.344999999999999</v>
      </c>
      <c r="N25" s="113">
        <f>IF(GEP!J24="-",,GEP!J24/2)</f>
        <v>68.344999999999999</v>
      </c>
      <c r="O25" s="267">
        <f>IF(GEP!K24="-",,GEP!K24)</f>
        <v>0</v>
      </c>
      <c r="P25" s="445">
        <f>IF(GEP!N24="-",,GEP!N24/3)</f>
        <v>1.5633333333333335</v>
      </c>
      <c r="Q25" s="445">
        <f>IF(GEP!N24="-",,GEP!N24/3)</f>
        <v>1.5633333333333335</v>
      </c>
      <c r="R25" s="445">
        <f>IF(GEP!N24="-",,GEP!N24/3)</f>
        <v>1.5633333333333335</v>
      </c>
      <c r="S25" s="449">
        <f>IF(GEP!O24="-",,GEP!O24/3)</f>
        <v>54.823333333333331</v>
      </c>
      <c r="T25" s="449">
        <f>IF(GEP!O24="-",,GEP!O24/3)</f>
        <v>54.823333333333331</v>
      </c>
      <c r="U25" s="449">
        <f>IF(GEP!O24="-",,GEP!O24/3)</f>
        <v>54.823333333333331</v>
      </c>
      <c r="V25" s="267">
        <f>IF(GEP!P24="-",IF(GEP!S24="-",,GEP!S24),IF(GEP!S24="-",GEP!P24,GEP!P24+GEP!S24))</f>
        <v>8.11</v>
      </c>
      <c r="W25" s="427">
        <v>0</v>
      </c>
      <c r="X25" s="427">
        <v>0</v>
      </c>
      <c r="Y25" s="113">
        <f>IF(GEP!L24="-",,GEP!L24)</f>
        <v>0</v>
      </c>
      <c r="Z25" s="113">
        <f>IF(GEP!M24="-",,GEP!M24)</f>
        <v>1.64</v>
      </c>
      <c r="AA25" s="113">
        <f>IF(GEP!Q24="-",,GEP!Q24)</f>
        <v>1.4</v>
      </c>
      <c r="AB25" s="113">
        <f>IF(GEP!R24="-",,GEP!R24)</f>
        <v>1.88</v>
      </c>
      <c r="AC25" s="113">
        <f>IF(GEP!P24="-",,GEP!P24)</f>
        <v>2.92</v>
      </c>
      <c r="AD25" s="113">
        <f>IF(GEP!S24="-",,GEP!S24)</f>
        <v>5.19</v>
      </c>
      <c r="AE25" s="149">
        <f t="shared" si="0"/>
        <v>396.14999999999992</v>
      </c>
      <c r="AF25" s="149">
        <f t="shared" si="1"/>
        <v>391.22999999999996</v>
      </c>
      <c r="AG25" s="106">
        <f>IF(C25='Table 1.1 complete'!A21,AE25-'Table 1.1 complete'!E21,"error")</f>
        <v>4.9999999999897682E-2</v>
      </c>
      <c r="AH25" s="113">
        <f>IF(C25='Table 1.2 complete'!A21,AE25-'Table 1.2 complete'!K21,"error")</f>
        <v>9.9999999999340616E-3</v>
      </c>
      <c r="AI25" s="106">
        <f>'Table 1.2 complete'!K21-'Table 1.1 complete'!E21</f>
        <v>3.999999999996362E-2</v>
      </c>
    </row>
    <row r="26" spans="3:35" x14ac:dyDescent="0.25">
      <c r="C26" s="164" t="str">
        <f>GEP_add1!P25</f>
        <v>Croatia</v>
      </c>
      <c r="D26" s="194">
        <f>GEP_add1!Q25</f>
        <v>116</v>
      </c>
      <c r="E26" s="164" t="str">
        <f>GEP_add1!R25</f>
        <v>EUS</v>
      </c>
      <c r="F26" s="124">
        <f>GEP_add1!S25</f>
        <v>6</v>
      </c>
      <c r="G26" s="267">
        <f>IF(GEP!F25="-",,GEP!F25)</f>
        <v>0</v>
      </c>
      <c r="H26" s="322">
        <f>IF(GEP!G25="-",,GEP!G25/2)</f>
        <v>2.2000000000000002</v>
      </c>
      <c r="I26" s="322">
        <f>IF(GEP!G25="-",,GEP!G25/2)</f>
        <v>2.2000000000000002</v>
      </c>
      <c r="J26" s="267">
        <f>IF(GEP!H25="-",,GEP!H25)</f>
        <v>0</v>
      </c>
      <c r="K26" s="321">
        <f>IF(GEP!I25="-",,GEP!I25/2)</f>
        <v>0.02</v>
      </c>
      <c r="L26" s="321">
        <f>IF(GEP!I25="-",,GEP!I25/2)</f>
        <v>0.02</v>
      </c>
      <c r="M26" s="113">
        <f>IF(GEP!J25="-",,GEP!J25/2)</f>
        <v>1.2</v>
      </c>
      <c r="N26" s="113">
        <f>IF(GEP!J25="-",,GEP!J25/2)</f>
        <v>1.2</v>
      </c>
      <c r="O26" s="267">
        <f>IF(GEP!K25="-",,GEP!K25)</f>
        <v>0.02</v>
      </c>
      <c r="P26" s="445">
        <f>IF(GEP!N25="-",,GEP!N25/3)</f>
        <v>0.77333333333333332</v>
      </c>
      <c r="Q26" s="445">
        <f>IF(GEP!N25="-",,GEP!N25/3)</f>
        <v>0.77333333333333332</v>
      </c>
      <c r="R26" s="445">
        <f>IF(GEP!N25="-",,GEP!N25/3)</f>
        <v>0.77333333333333332</v>
      </c>
      <c r="S26" s="449">
        <f>IF(GEP!O25="-",,GEP!O25/3)</f>
        <v>1.02</v>
      </c>
      <c r="T26" s="449">
        <f>IF(GEP!O25="-",,GEP!O25/3)</f>
        <v>1.02</v>
      </c>
      <c r="U26" s="449">
        <f>IF(GEP!O25="-",,GEP!O25/3)</f>
        <v>1.02</v>
      </c>
      <c r="V26" s="267">
        <f>IF(GEP!P25="-",IF(GEP!S25="-",,GEP!S25),IF(GEP!S25="-",GEP!P25,GEP!P25+GEP!S25))</f>
        <v>0.01</v>
      </c>
      <c r="W26" s="427">
        <v>0</v>
      </c>
      <c r="X26" s="427">
        <v>0</v>
      </c>
      <c r="Y26" s="113">
        <f>IF(GEP!L25="-",,GEP!L25)</f>
        <v>0</v>
      </c>
      <c r="Z26" s="113">
        <f>IF(GEP!M25="-",,GEP!M25)</f>
        <v>0</v>
      </c>
      <c r="AA26" s="113">
        <f>IF(GEP!Q25="-",,GEP!Q25)</f>
        <v>0</v>
      </c>
      <c r="AB26" s="113">
        <f>IF(GEP!R25="-",,GEP!R25)</f>
        <v>0</v>
      </c>
      <c r="AC26" s="113">
        <f>IF(GEP!P25="-",,GEP!P25)</f>
        <v>0</v>
      </c>
      <c r="AD26" s="113">
        <f>IF(GEP!S25="-",,GEP!S25)</f>
        <v>0.01</v>
      </c>
      <c r="AE26" s="149">
        <f t="shared" si="0"/>
        <v>12.249999999999998</v>
      </c>
      <c r="AF26" s="149">
        <f t="shared" si="1"/>
        <v>12.249999999999998</v>
      </c>
      <c r="AG26" s="106">
        <f>IF(C26='Table 1.1 complete'!A22,AE26-'Table 1.1 complete'!E22,"error")</f>
        <v>4.9999999999998934E-2</v>
      </c>
      <c r="AH26" s="113">
        <f>IF(C26='Table 1.2 complete'!A22,AE26-'Table 1.2 complete'!K22,"error")</f>
        <v>-1.7763568394002505E-15</v>
      </c>
      <c r="AI26" s="106">
        <f>'Table 1.2 complete'!K22-'Table 1.1 complete'!E22</f>
        <v>5.0000000000000711E-2</v>
      </c>
    </row>
    <row r="27" spans="3:35" x14ac:dyDescent="0.25">
      <c r="C27" s="164" t="str">
        <f>GEP_add1!P26</f>
        <v>Cyprus</v>
      </c>
      <c r="D27" s="194">
        <f>GEP_add1!Q26</f>
        <v>117</v>
      </c>
      <c r="E27" s="164" t="str">
        <f>GEP_add1!R26</f>
        <v>EUS</v>
      </c>
      <c r="F27" s="124">
        <f>GEP_add1!S26</f>
        <v>6</v>
      </c>
      <c r="G27" s="267">
        <f>IF(GEP!F26="-",,GEP!F26)</f>
        <v>0</v>
      </c>
      <c r="H27" s="322">
        <f>IF(GEP!G26="-",,GEP!G26/2)</f>
        <v>0</v>
      </c>
      <c r="I27" s="322">
        <f>IF(GEP!G26="-",,GEP!G26/2)</f>
        <v>0</v>
      </c>
      <c r="J27" s="267">
        <f>IF(GEP!H26="-",,GEP!H26)</f>
        <v>0</v>
      </c>
      <c r="K27" s="321">
        <f>IF(GEP!I26="-",,GEP!I26/2)</f>
        <v>0</v>
      </c>
      <c r="L27" s="321">
        <f>IF(GEP!I26="-",,GEP!I26/2)</f>
        <v>0</v>
      </c>
      <c r="M27" s="113">
        <f>IF(GEP!J26="-",,GEP!J26/2)</f>
        <v>0</v>
      </c>
      <c r="N27" s="113">
        <f>IF(GEP!J26="-",,GEP!J26/2)</f>
        <v>0</v>
      </c>
      <c r="O27" s="267">
        <f>IF(GEP!K26="-",,GEP!K26)</f>
        <v>0</v>
      </c>
      <c r="P27" s="445">
        <f>IF(GEP!N26="-",,GEP!N26/3)</f>
        <v>1.6233333333333333</v>
      </c>
      <c r="Q27" s="445">
        <f>IF(GEP!N26="-",,GEP!N26/3)</f>
        <v>1.6233333333333333</v>
      </c>
      <c r="R27" s="445">
        <f>IF(GEP!N26="-",,GEP!N26/3)</f>
        <v>1.6233333333333333</v>
      </c>
      <c r="S27" s="449">
        <f>IF(GEP!O26="-",,GEP!O26/3)</f>
        <v>0</v>
      </c>
      <c r="T27" s="449">
        <f>IF(GEP!O26="-",,GEP!O26/3)</f>
        <v>0</v>
      </c>
      <c r="U27" s="449">
        <f>IF(GEP!O26="-",,GEP!O26/3)</f>
        <v>0</v>
      </c>
      <c r="V27" s="267">
        <f>IF(GEP!P26="-",IF(GEP!S26="-",,GEP!S26),IF(GEP!S26="-",GEP!P26,GEP!P26+GEP!S26))</f>
        <v>0</v>
      </c>
      <c r="W27" s="427">
        <v>0</v>
      </c>
      <c r="X27" s="427">
        <v>0</v>
      </c>
      <c r="Y27" s="113">
        <f>IF(GEP!L26="-",,GEP!L26)</f>
        <v>0</v>
      </c>
      <c r="Z27" s="113">
        <f>IF(GEP!M26="-",,GEP!M26)</f>
        <v>0</v>
      </c>
      <c r="AA27" s="113">
        <f>IF(GEP!Q26="-",,GEP!Q26)</f>
        <v>0</v>
      </c>
      <c r="AB27" s="113">
        <f>IF(GEP!R26="-",,GEP!R26)</f>
        <v>0</v>
      </c>
      <c r="AC27" s="113">
        <f>IF(GEP!P26="-",,GEP!P26)</f>
        <v>0</v>
      </c>
      <c r="AD27" s="113">
        <f>IF(GEP!S26="-",,GEP!S26)</f>
        <v>0</v>
      </c>
      <c r="AE27" s="149">
        <f t="shared" si="0"/>
        <v>4.87</v>
      </c>
      <c r="AF27" s="149">
        <f t="shared" si="1"/>
        <v>4.87</v>
      </c>
      <c r="AG27" s="106">
        <f>IF(C27='Table 1.1 complete'!A23,AE27-'Table 1.1 complete'!E23,"error")</f>
        <v>-3.0000000000000249E-2</v>
      </c>
      <c r="AH27" s="113">
        <f>IF(C27='Table 1.2 complete'!A23,AE27-'Table 1.2 complete'!K23,"error")</f>
        <v>0</v>
      </c>
      <c r="AI27" s="106">
        <f>'Table 1.2 complete'!K23-'Table 1.1 complete'!E23</f>
        <v>-3.0000000000000249E-2</v>
      </c>
    </row>
    <row r="28" spans="3:35" x14ac:dyDescent="0.25">
      <c r="C28" s="164" t="str">
        <f>GEP_add1!P27</f>
        <v>Greece</v>
      </c>
      <c r="D28" s="194">
        <f>GEP_add1!Q27</f>
        <v>13</v>
      </c>
      <c r="E28" s="164" t="str">
        <f>GEP_add1!R27</f>
        <v>EUS</v>
      </c>
      <c r="F28" s="124">
        <f>GEP_add1!S27</f>
        <v>6</v>
      </c>
      <c r="G28" s="267">
        <f>IF(GEP!F27="-",,GEP!F27)</f>
        <v>0</v>
      </c>
      <c r="H28" s="322">
        <f>IF(GEP!G27="-",,GEP!G27/2)</f>
        <v>1.69</v>
      </c>
      <c r="I28" s="322">
        <f>IF(GEP!G27="-",,GEP!G27/2)</f>
        <v>1.69</v>
      </c>
      <c r="J28" s="267">
        <f>IF(GEP!H27="-",,GEP!H27)</f>
        <v>0</v>
      </c>
      <c r="K28" s="321">
        <f>IF(GEP!I27="-",,GEP!I27/2)</f>
        <v>0.91</v>
      </c>
      <c r="L28" s="321">
        <f>IF(GEP!I27="-",,GEP!I27/2)</f>
        <v>0.91</v>
      </c>
      <c r="M28" s="113">
        <f>IF(GEP!J27="-",,GEP!J27/2)</f>
        <v>0</v>
      </c>
      <c r="N28" s="113">
        <f>IF(GEP!J27="-",,GEP!J27/2)</f>
        <v>0</v>
      </c>
      <c r="O28" s="267">
        <f>IF(GEP!K27="-",,GEP!K27)</f>
        <v>34.68</v>
      </c>
      <c r="P28" s="445">
        <f>IF(GEP!N27="-",,GEP!N27/3)</f>
        <v>3.2133333333333334</v>
      </c>
      <c r="Q28" s="445">
        <f>IF(GEP!N27="-",,GEP!N27/3)</f>
        <v>3.2133333333333334</v>
      </c>
      <c r="R28" s="445">
        <f>IF(GEP!N27="-",,GEP!N27/3)</f>
        <v>3.2133333333333334</v>
      </c>
      <c r="S28" s="449">
        <f>IF(GEP!O27="-",,GEP!O27/3)</f>
        <v>4.59</v>
      </c>
      <c r="T28" s="449">
        <f>IF(GEP!O27="-",,GEP!O27/3)</f>
        <v>4.59</v>
      </c>
      <c r="U28" s="449">
        <f>IF(GEP!O27="-",,GEP!O27/3)</f>
        <v>4.59</v>
      </c>
      <c r="V28" s="267">
        <f>IF(GEP!P27="-",IF(GEP!S27="-",,GEP!S27),IF(GEP!S27="-",GEP!P27,GEP!P27+GEP!S27))</f>
        <v>0.18</v>
      </c>
      <c r="W28" s="427">
        <v>0</v>
      </c>
      <c r="X28" s="427">
        <v>0</v>
      </c>
      <c r="Y28" s="113">
        <f>IF(GEP!L27="-",,GEP!L27)</f>
        <v>0</v>
      </c>
      <c r="Z28" s="113">
        <f>IF(GEP!M27="-",,GEP!M27)</f>
        <v>0</v>
      </c>
      <c r="AA28" s="113">
        <f>IF(GEP!Q27="-",,GEP!Q27)</f>
        <v>0.03</v>
      </c>
      <c r="AB28" s="113">
        <f>IF(GEP!R27="-",,GEP!R27)</f>
        <v>0</v>
      </c>
      <c r="AC28" s="113">
        <f>IF(GEP!P27="-",,GEP!P27)</f>
        <v>0</v>
      </c>
      <c r="AD28" s="113">
        <f>IF(GEP!S27="-",,GEP!S27)</f>
        <v>0.18</v>
      </c>
      <c r="AE28" s="149">
        <f t="shared" si="0"/>
        <v>63.500000000000007</v>
      </c>
      <c r="AF28" s="149">
        <f t="shared" si="1"/>
        <v>63.470000000000006</v>
      </c>
      <c r="AG28" s="106">
        <f>IF(C28='Table 1.1 complete'!A24,AE28-'Table 1.1 complete'!E24,"error")</f>
        <v>7.1054273576010019E-15</v>
      </c>
      <c r="AH28" s="113">
        <f>IF(C28='Table 1.2 complete'!A24,AE28-'Table 1.2 complete'!K24,"error")</f>
        <v>7.1054273576010019E-15</v>
      </c>
      <c r="AI28" s="106">
        <f>'Table 1.2 complete'!K24-'Table 1.1 complete'!E24</f>
        <v>0</v>
      </c>
    </row>
    <row r="29" spans="3:35" x14ac:dyDescent="0.25">
      <c r="C29" s="164" t="str">
        <f>GEP_add1!P28</f>
        <v>Italy</v>
      </c>
      <c r="D29" s="194">
        <f>GEP_add1!Q28</f>
        <v>17</v>
      </c>
      <c r="E29" s="164" t="str">
        <f>GEP_add1!R28</f>
        <v>EUS</v>
      </c>
      <c r="F29" s="124">
        <f>GEP_add1!S28</f>
        <v>6</v>
      </c>
      <c r="G29" s="267">
        <f>IF(GEP!F28="-",,GEP!F28)</f>
        <v>0</v>
      </c>
      <c r="H29" s="322">
        <f>IF(GEP!G28="-",,GEP!G28/2)</f>
        <v>19.239999999999998</v>
      </c>
      <c r="I29" s="322">
        <f>IF(GEP!G28="-",,GEP!G28/2)</f>
        <v>19.239999999999998</v>
      </c>
      <c r="J29" s="267">
        <f>IF(GEP!H28="-",,GEP!H28)</f>
        <v>5.57</v>
      </c>
      <c r="K29" s="321">
        <f>IF(GEP!I28="-",,GEP!I28/2)</f>
        <v>2.5449999999999999</v>
      </c>
      <c r="L29" s="321">
        <f>IF(GEP!I28="-",,GEP!I28/2)</f>
        <v>2.5449999999999999</v>
      </c>
      <c r="M29" s="113">
        <f>IF(GEP!J28="-",,GEP!J28/2)</f>
        <v>22.055</v>
      </c>
      <c r="N29" s="113">
        <f>IF(GEP!J28="-",,GEP!J28/2)</f>
        <v>22.055</v>
      </c>
      <c r="O29" s="267">
        <f>IF(GEP!K28="-",,GEP!K28)</f>
        <v>0</v>
      </c>
      <c r="P29" s="445">
        <f>IF(GEP!N28="-",,GEP!N28/3)</f>
        <v>11.803333333333333</v>
      </c>
      <c r="Q29" s="445">
        <f>IF(GEP!N28="-",,GEP!N28/3)</f>
        <v>11.803333333333333</v>
      </c>
      <c r="R29" s="445">
        <f>IF(GEP!N28="-",,GEP!N28/3)</f>
        <v>11.803333333333333</v>
      </c>
      <c r="S29" s="449">
        <f>IF(GEP!O28="-",,GEP!O28/3)</f>
        <v>57.550000000000004</v>
      </c>
      <c r="T29" s="449">
        <f>IF(GEP!O28="-",,GEP!O28/3)</f>
        <v>57.550000000000004</v>
      </c>
      <c r="U29" s="449">
        <f>IF(GEP!O28="-",,GEP!O28/3)</f>
        <v>57.550000000000004</v>
      </c>
      <c r="V29" s="267">
        <f>IF(GEP!P28="-",IF(GEP!S28="-",,GEP!S28),IF(GEP!S28="-",GEP!P28,GEP!P28+GEP!S28))</f>
        <v>3.75</v>
      </c>
      <c r="W29" s="427">
        <v>0</v>
      </c>
      <c r="X29" s="427">
        <v>0</v>
      </c>
      <c r="Y29" s="113">
        <f>IF(GEP!L28="-",,GEP!L28)</f>
        <v>0</v>
      </c>
      <c r="Z29" s="113">
        <f>IF(GEP!M28="-",,GEP!M28)</f>
        <v>5.62</v>
      </c>
      <c r="AA29" s="113">
        <f>IF(GEP!Q28="-",,GEP!Q28)</f>
        <v>0.18</v>
      </c>
      <c r="AB29" s="113">
        <f>IF(GEP!R28="-",,GEP!R28)</f>
        <v>3.02</v>
      </c>
      <c r="AC29" s="113">
        <f>IF(GEP!P28="-",,GEP!P28)</f>
        <v>2.2999999999999998</v>
      </c>
      <c r="AD29" s="113">
        <f>IF(GEP!S28="-",,GEP!S28)</f>
        <v>1.45</v>
      </c>
      <c r="AE29" s="149">
        <f t="shared" si="0"/>
        <v>313.88</v>
      </c>
      <c r="AF29" s="149">
        <f t="shared" si="1"/>
        <v>305.06</v>
      </c>
      <c r="AG29" s="106">
        <f>IF(C29='Table 1.1 complete'!A25,AE29-'Table 1.1 complete'!E25,"error")</f>
        <v>-1.999999999998181E-2</v>
      </c>
      <c r="AH29" s="113">
        <f>IF(C29='Table 1.2 complete'!A25,AE29-'Table 1.2 complete'!K25,"error")</f>
        <v>-9.9999999999909051E-3</v>
      </c>
      <c r="AI29" s="106">
        <f>'Table 1.2 complete'!K25-'Table 1.1 complete'!E25</f>
        <v>-9.9999999999909051E-3</v>
      </c>
    </row>
    <row r="30" spans="3:35" x14ac:dyDescent="0.25">
      <c r="C30" s="164" t="str">
        <f>GEP_add1!P29</f>
        <v>Malta</v>
      </c>
      <c r="D30" s="194">
        <f>GEP_add1!Q29</f>
        <v>120</v>
      </c>
      <c r="E30" s="164" t="str">
        <f>GEP_add1!R29</f>
        <v>EUS</v>
      </c>
      <c r="F30" s="124">
        <f>GEP_add1!S29</f>
        <v>6</v>
      </c>
      <c r="G30" s="267">
        <f>IF(GEP!F29="-",,GEP!F29)</f>
        <v>0</v>
      </c>
      <c r="H30" s="322">
        <f>IF(GEP!G29="-",,GEP!G29/2)</f>
        <v>0</v>
      </c>
      <c r="I30" s="322">
        <f>IF(GEP!G29="-",,GEP!G29/2)</f>
        <v>0</v>
      </c>
      <c r="J30" s="267">
        <f>IF(GEP!H29="-",,GEP!H29)</f>
        <v>0</v>
      </c>
      <c r="K30" s="321">
        <f>IF(GEP!I29="-",,GEP!I29/2)</f>
        <v>0</v>
      </c>
      <c r="L30" s="321">
        <f>IF(GEP!I29="-",,GEP!I29/2)</f>
        <v>0</v>
      </c>
      <c r="M30" s="113">
        <f>IF(GEP!J29="-",,GEP!J29/2)</f>
        <v>0</v>
      </c>
      <c r="N30" s="113">
        <f>IF(GEP!J29="-",,GEP!J29/2)</f>
        <v>0</v>
      </c>
      <c r="O30" s="267">
        <f>IF(GEP!K29="-",,GEP!K29)</f>
        <v>0</v>
      </c>
      <c r="P30" s="445">
        <f>IF(GEP!N29="-",,GEP!N29/3)</f>
        <v>0.76666666666666661</v>
      </c>
      <c r="Q30" s="445">
        <f>IF(GEP!N29="-",,GEP!N29/3)</f>
        <v>0.76666666666666661</v>
      </c>
      <c r="R30" s="445">
        <f>IF(GEP!N29="-",,GEP!N29/3)</f>
        <v>0.76666666666666661</v>
      </c>
      <c r="S30" s="449">
        <f>IF(GEP!O29="-",,GEP!O29/3)</f>
        <v>0</v>
      </c>
      <c r="T30" s="449">
        <f>IF(GEP!O29="-",,GEP!O29/3)</f>
        <v>0</v>
      </c>
      <c r="U30" s="449">
        <f>IF(GEP!O29="-",,GEP!O29/3)</f>
        <v>0</v>
      </c>
      <c r="V30" s="267">
        <f>IF(GEP!P29="-",IF(GEP!S29="-",,GEP!S29),IF(GEP!S29="-",GEP!P29,GEP!P29+GEP!S29))</f>
        <v>0</v>
      </c>
      <c r="W30" s="427">
        <v>0</v>
      </c>
      <c r="X30" s="427">
        <v>0</v>
      </c>
      <c r="Y30" s="113">
        <f>IF(GEP!L29="-",,GEP!L29)</f>
        <v>0</v>
      </c>
      <c r="Z30" s="113">
        <f>IF(GEP!M29="-",,GEP!M29)</f>
        <v>0</v>
      </c>
      <c r="AA30" s="113">
        <f>IF(GEP!Q29="-",,GEP!Q29)</f>
        <v>0</v>
      </c>
      <c r="AB30" s="113">
        <f>IF(GEP!R29="-",,GEP!R29)</f>
        <v>0</v>
      </c>
      <c r="AC30" s="113">
        <f>IF(GEP!P29="-",,GEP!P29)</f>
        <v>0</v>
      </c>
      <c r="AD30" s="113">
        <f>IF(GEP!S29="-",,GEP!S29)</f>
        <v>0</v>
      </c>
      <c r="AE30" s="149">
        <f t="shared" si="0"/>
        <v>2.2999999999999998</v>
      </c>
      <c r="AF30" s="149">
        <f t="shared" si="1"/>
        <v>2.2999999999999998</v>
      </c>
      <c r="AG30" s="106">
        <f>IF(C30='Table 1.1 complete'!A26,AE30-'Table 1.1 complete'!E26,"error")</f>
        <v>0</v>
      </c>
      <c r="AH30" s="113">
        <f>IF(C30='Table 1.2 complete'!A26,AE30-'Table 1.2 complete'!K26,"error")</f>
        <v>0</v>
      </c>
      <c r="AI30" s="106">
        <f>'Table 1.2 complete'!K26-'Table 1.1 complete'!E26</f>
        <v>0</v>
      </c>
    </row>
    <row r="31" spans="3:35" x14ac:dyDescent="0.25">
      <c r="C31" s="164" t="str">
        <f>GEP_add1!P30</f>
        <v>Portugal</v>
      </c>
      <c r="D31" s="194">
        <f>GEP_add1!Q30</f>
        <v>26</v>
      </c>
      <c r="E31" s="164" t="str">
        <f>GEP_add1!R30</f>
        <v>EUS</v>
      </c>
      <c r="F31" s="124">
        <f>GEP_add1!S30</f>
        <v>6</v>
      </c>
      <c r="G31" s="267">
        <f>IF(GEP!F30="-",,GEP!F30)</f>
        <v>0</v>
      </c>
      <c r="H31" s="322">
        <f>IF(GEP!G30="-",,GEP!G30/2)</f>
        <v>5.2249999999999996</v>
      </c>
      <c r="I31" s="322">
        <f>IF(GEP!G30="-",,GEP!G30/2)</f>
        <v>5.2249999999999996</v>
      </c>
      <c r="J31" s="267">
        <f>IF(GEP!H30="-",,GEP!H30)</f>
        <v>0.2</v>
      </c>
      <c r="K31" s="321">
        <f>IF(GEP!I30="-",,GEP!I30/2)</f>
        <v>2.0299999999999998</v>
      </c>
      <c r="L31" s="321">
        <f>IF(GEP!I30="-",,GEP!I30/2)</f>
        <v>2.0299999999999998</v>
      </c>
      <c r="M31" s="113">
        <f>IF(GEP!J30="-",,GEP!J30/2)</f>
        <v>6.2</v>
      </c>
      <c r="N31" s="113">
        <f>IF(GEP!J30="-",,GEP!J30/2)</f>
        <v>6.2</v>
      </c>
      <c r="O31" s="267">
        <f>IF(GEP!K30="-",,GEP!K30)</f>
        <v>0</v>
      </c>
      <c r="P31" s="445">
        <f>IF(GEP!N30="-",,GEP!N30/3)</f>
        <v>1.6233333333333333</v>
      </c>
      <c r="Q31" s="445">
        <f>IF(GEP!N30="-",,GEP!N30/3)</f>
        <v>1.6233333333333333</v>
      </c>
      <c r="R31" s="445">
        <f>IF(GEP!N30="-",,GEP!N30/3)</f>
        <v>1.6233333333333333</v>
      </c>
      <c r="S31" s="449">
        <f>IF(GEP!O30="-",,GEP!O30/3)</f>
        <v>4.3733333333333331</v>
      </c>
      <c r="T31" s="449">
        <f>IF(GEP!O30="-",,GEP!O30/3)</f>
        <v>4.3733333333333331</v>
      </c>
      <c r="U31" s="449">
        <f>IF(GEP!O30="-",,GEP!O30/3)</f>
        <v>4.3733333333333331</v>
      </c>
      <c r="V31" s="267">
        <f>IF(GEP!P30="-",IF(GEP!S30="-",,GEP!S30),IF(GEP!S30="-",GEP!P30,GEP!P30+GEP!S30))</f>
        <v>1.59</v>
      </c>
      <c r="W31" s="427">
        <v>0</v>
      </c>
      <c r="X31" s="427">
        <v>0</v>
      </c>
      <c r="Y31" s="113">
        <f>IF(GEP!L30="-",,GEP!L30)</f>
        <v>0</v>
      </c>
      <c r="Z31" s="113">
        <f>IF(GEP!M30="-",,GEP!M30)</f>
        <v>0</v>
      </c>
      <c r="AA31" s="113">
        <f>IF(GEP!Q30="-",,GEP!Q30)</f>
        <v>0.01</v>
      </c>
      <c r="AB31" s="113">
        <f>IF(GEP!R30="-",,GEP!R30)</f>
        <v>0.55000000000000004</v>
      </c>
      <c r="AC31" s="113">
        <f>IF(GEP!P30="-",,GEP!P30)</f>
        <v>1.53</v>
      </c>
      <c r="AD31" s="113">
        <f>IF(GEP!S30="-",,GEP!S30)</f>
        <v>0.06</v>
      </c>
      <c r="AE31" s="149">
        <f t="shared" si="0"/>
        <v>47.25</v>
      </c>
      <c r="AF31" s="149">
        <f t="shared" si="1"/>
        <v>46.690000000000005</v>
      </c>
      <c r="AG31" s="106">
        <f>IF(C31='Table 1.1 complete'!A27,AE31-'Table 1.1 complete'!E27,"error")</f>
        <v>-4.9999999999997158E-2</v>
      </c>
      <c r="AH31" s="113">
        <f>IF(C31='Table 1.2 complete'!A27,AE31-'Table 1.2 complete'!K27,"error")</f>
        <v>0</v>
      </c>
      <c r="AI31" s="106">
        <f>'Table 1.2 complete'!K27-'Table 1.1 complete'!E27</f>
        <v>-4.9999999999997158E-2</v>
      </c>
    </row>
    <row r="32" spans="3:35" x14ac:dyDescent="0.25">
      <c r="C32" s="162" t="str">
        <f>GEP_add1!P31</f>
        <v>Slovenia</v>
      </c>
      <c r="D32" s="192">
        <f>GEP_add1!Q31</f>
        <v>123</v>
      </c>
      <c r="E32" s="162" t="str">
        <f>GEP_add1!R31</f>
        <v>EUS</v>
      </c>
      <c r="F32" s="122">
        <f>GEP_add1!S31</f>
        <v>6</v>
      </c>
      <c r="G32" s="267">
        <f>IF(GEP!F31="-",,GEP!F31)</f>
        <v>5.7</v>
      </c>
      <c r="H32" s="322">
        <f>IF(GEP!G31="-",,GEP!G31/2)</f>
        <v>1.635</v>
      </c>
      <c r="I32" s="322">
        <f>IF(GEP!G31="-",,GEP!G31/2)</f>
        <v>1.635</v>
      </c>
      <c r="J32" s="267">
        <f>IF(GEP!H31="-",,GEP!H31)</f>
        <v>0</v>
      </c>
      <c r="K32" s="321">
        <f>IF(GEP!I31="-",,GEP!I31/2)</f>
        <v>0</v>
      </c>
      <c r="L32" s="321">
        <f>IF(GEP!I31="-",,GEP!I31/2)</f>
        <v>0</v>
      </c>
      <c r="M32" s="113">
        <f>IF(GEP!J31="-",,GEP!J31/2)</f>
        <v>0.27</v>
      </c>
      <c r="N32" s="113">
        <f>IF(GEP!J31="-",,GEP!J31/2)</f>
        <v>0.27</v>
      </c>
      <c r="O32" s="267">
        <f>IF(GEP!K31="-",,GEP!K31)</f>
        <v>4.9400000000000004</v>
      </c>
      <c r="P32" s="445">
        <f>IF(GEP!N31="-",,GEP!N31/3)</f>
        <v>0.01</v>
      </c>
      <c r="Q32" s="445">
        <f>IF(GEP!N31="-",,GEP!N31/3)</f>
        <v>0.01</v>
      </c>
      <c r="R32" s="445">
        <f>IF(GEP!N31="-",,GEP!N31/3)</f>
        <v>0.01</v>
      </c>
      <c r="S32" s="449">
        <f>IF(GEP!O31="-",,GEP!O31/3)</f>
        <v>0.15</v>
      </c>
      <c r="T32" s="449">
        <f>IF(GEP!O31="-",,GEP!O31/3)</f>
        <v>0.15</v>
      </c>
      <c r="U32" s="449">
        <f>IF(GEP!O31="-",,GEP!O31/3)</f>
        <v>0.15</v>
      </c>
      <c r="V32" s="267">
        <f>IF(GEP!P31="-",IF(GEP!S31="-",,GEP!S31),IF(GEP!S31="-",GEP!P31,GEP!P31+GEP!S31))</f>
        <v>0.11</v>
      </c>
      <c r="W32" s="427">
        <v>0</v>
      </c>
      <c r="X32" s="427">
        <v>0</v>
      </c>
      <c r="Y32" s="113">
        <f>IF(GEP!L31="-",,GEP!L31)</f>
        <v>0</v>
      </c>
      <c r="Z32" s="113">
        <f>IF(GEP!M31="-",,GEP!M31)</f>
        <v>0</v>
      </c>
      <c r="AA32" s="113">
        <f>IF(GEP!Q31="-",,GEP!Q31)</f>
        <v>0.01</v>
      </c>
      <c r="AB32" s="113">
        <f>IF(GEP!R31="-",,GEP!R31)</f>
        <v>0</v>
      </c>
      <c r="AC32" s="113">
        <f>IF(GEP!P31="-",,GEP!P31)</f>
        <v>0.06</v>
      </c>
      <c r="AD32" s="113">
        <f>IF(GEP!S31="-",,GEP!S31)</f>
        <v>0.05</v>
      </c>
      <c r="AE32" s="149">
        <f t="shared" si="0"/>
        <v>15.049999999999999</v>
      </c>
      <c r="AF32" s="149">
        <f t="shared" si="1"/>
        <v>15.04</v>
      </c>
      <c r="AG32" s="106">
        <f>IF(C32='Table 1.1 complete'!A28,AE32-'Table 1.1 complete'!E28,"error")</f>
        <v>4.9999999999998934E-2</v>
      </c>
      <c r="AH32" s="113">
        <f>IF(C32='Table 1.2 complete'!A28,AE32-'Table 1.2 complete'!K28,"error")</f>
        <v>9.9999999999997868E-3</v>
      </c>
      <c r="AI32" s="106">
        <f>'Table 1.2 complete'!K28-'Table 1.1 complete'!E28</f>
        <v>3.9999999999999147E-2</v>
      </c>
    </row>
    <row r="33" spans="1:36" x14ac:dyDescent="0.25">
      <c r="C33" s="162" t="str">
        <f>GEP_add1!P32</f>
        <v>Spain</v>
      </c>
      <c r="D33" s="192">
        <f>GEP_add1!Q32</f>
        <v>28</v>
      </c>
      <c r="E33" s="162" t="str">
        <f>GEP_add1!R32</f>
        <v>EUS</v>
      </c>
      <c r="F33" s="122">
        <f>GEP_add1!S32</f>
        <v>6</v>
      </c>
      <c r="G33" s="267">
        <f>IF(GEP!F32="-",,GEP!F32)</f>
        <v>55.1</v>
      </c>
      <c r="H33" s="322">
        <f>IF(GEP!G32="-",,GEP!G32/2)</f>
        <v>15.404999999999999</v>
      </c>
      <c r="I33" s="322">
        <f>IF(GEP!G32="-",,GEP!G32/2)</f>
        <v>15.404999999999999</v>
      </c>
      <c r="J33" s="267">
        <f>IF(GEP!H32="-",,GEP!H32)</f>
        <v>0</v>
      </c>
      <c r="K33" s="321">
        <f>IF(GEP!I32="-",,GEP!I32/2)</f>
        <v>14.17</v>
      </c>
      <c r="L33" s="321">
        <f>IF(GEP!I32="-",,GEP!I32/2)</f>
        <v>14.17</v>
      </c>
      <c r="M33" s="113">
        <f>IF(GEP!J32="-",,GEP!J32/2)</f>
        <v>32.365000000000002</v>
      </c>
      <c r="N33" s="113">
        <f>IF(GEP!J32="-",,GEP!J32/2)</f>
        <v>32.365000000000002</v>
      </c>
      <c r="O33" s="267">
        <f>IF(GEP!K32="-",,GEP!K32)</f>
        <v>8.3699999999999992</v>
      </c>
      <c r="P33" s="445">
        <f>IF(GEP!N32="-",,GEP!N32/3)</f>
        <v>6.1700000000000008</v>
      </c>
      <c r="Q33" s="445">
        <f>IF(GEP!N32="-",,GEP!N32/3)</f>
        <v>6.1700000000000008</v>
      </c>
      <c r="R33" s="445">
        <f>IF(GEP!N32="-",,GEP!N32/3)</f>
        <v>6.1700000000000008</v>
      </c>
      <c r="S33" s="449">
        <f>IF(GEP!O32="-",,GEP!O32/3)</f>
        <v>30.83666666666667</v>
      </c>
      <c r="T33" s="449">
        <f>IF(GEP!O32="-",,GEP!O32/3)</f>
        <v>30.83666666666667</v>
      </c>
      <c r="U33" s="449">
        <f>IF(GEP!O32="-",,GEP!O32/3)</f>
        <v>30.83666666666667</v>
      </c>
      <c r="V33" s="267">
        <f>IF(GEP!P32="-",IF(GEP!S32="-",,GEP!S32),IF(GEP!S32="-",GEP!P32,GEP!P32+GEP!S32))</f>
        <v>2.16</v>
      </c>
      <c r="W33" s="427">
        <v>0</v>
      </c>
      <c r="X33" s="427">
        <v>0</v>
      </c>
      <c r="Y33" s="113">
        <f>IF(GEP!L32="-",,GEP!L32)</f>
        <v>0</v>
      </c>
      <c r="Z33" s="113">
        <f>IF(GEP!M32="-",,GEP!M32)</f>
        <v>1.29</v>
      </c>
      <c r="AA33" s="113">
        <f>IF(GEP!Q32="-",,GEP!Q32)</f>
        <v>0</v>
      </c>
      <c r="AB33" s="113">
        <f>IF(GEP!R32="-",,GEP!R32)</f>
        <v>1.47</v>
      </c>
      <c r="AC33" s="113">
        <f>IF(GEP!P32="-",,GEP!P32)</f>
        <v>1.55</v>
      </c>
      <c r="AD33" s="113">
        <f>IF(GEP!S32="-",,GEP!S32)</f>
        <v>0.61</v>
      </c>
      <c r="AE33" s="149">
        <f t="shared" si="0"/>
        <v>303.29000000000002</v>
      </c>
      <c r="AF33" s="149">
        <f t="shared" si="1"/>
        <v>300.52999999999997</v>
      </c>
      <c r="AG33" s="106">
        <f>IF(C33='Table 1.1 complete'!A29,AE33-'Table 1.1 complete'!E29,"error")</f>
        <v>-9.9999999999909051E-3</v>
      </c>
      <c r="AH33" s="113">
        <f>IF(C33='Table 1.2 complete'!A29,AE33-'Table 1.2 complete'!K29,"error")</f>
        <v>0</v>
      </c>
      <c r="AI33" s="106">
        <f>'Table 1.2 complete'!K29-'Table 1.1 complete'!E29</f>
        <v>-9.9999999999909051E-3</v>
      </c>
    </row>
    <row r="34" spans="1:36" x14ac:dyDescent="0.25">
      <c r="C34" s="162" t="str">
        <f>GEP_add1!P33</f>
        <v>Bulgaria</v>
      </c>
      <c r="D34" s="192">
        <f>GEP_add1!Q33</f>
        <v>115</v>
      </c>
      <c r="E34" s="162" t="str">
        <f>GEP_add1!R33</f>
        <v>EUE</v>
      </c>
      <c r="F34" s="122">
        <f>GEP_add1!S33</f>
        <v>7</v>
      </c>
      <c r="G34" s="267">
        <f>IF(GEP!F33="-",,GEP!F33)</f>
        <v>14.64</v>
      </c>
      <c r="H34" s="322">
        <f>IF(GEP!G33="-",,GEP!G33/2)</f>
        <v>1.615</v>
      </c>
      <c r="I34" s="322">
        <f>IF(GEP!G33="-",,GEP!G33/2)</f>
        <v>1.615</v>
      </c>
      <c r="J34" s="267">
        <f>IF(GEP!H33="-",,GEP!H33)</f>
        <v>0</v>
      </c>
      <c r="K34" s="321">
        <f>IF(GEP!I33="-",,GEP!I33/2)</f>
        <v>2.5000000000000001E-2</v>
      </c>
      <c r="L34" s="321">
        <f>IF(GEP!I33="-",,GEP!I33/2)</f>
        <v>2.5000000000000001E-2</v>
      </c>
      <c r="M34" s="113">
        <f>IF(GEP!J33="-",,GEP!J33/2)</f>
        <v>2.96</v>
      </c>
      <c r="N34" s="113">
        <f>IF(GEP!J33="-",,GEP!J33/2)</f>
        <v>2.96</v>
      </c>
      <c r="O34" s="267">
        <f>IF(GEP!K33="-",,GEP!K33)</f>
        <v>16.45</v>
      </c>
      <c r="P34" s="445">
        <f>IF(GEP!N33="-",,GEP!N33/3)</f>
        <v>0.18999999999999997</v>
      </c>
      <c r="Q34" s="445">
        <f>IF(GEP!N33="-",,GEP!N33/3)</f>
        <v>0.18999999999999997</v>
      </c>
      <c r="R34" s="445">
        <f>IF(GEP!N33="-",,GEP!N33/3)</f>
        <v>0.18999999999999997</v>
      </c>
      <c r="S34" s="449">
        <f>IF(GEP!O33="-",,GEP!O33/3)</f>
        <v>0.77999999999999992</v>
      </c>
      <c r="T34" s="449">
        <f>IF(GEP!O33="-",,GEP!O33/3)</f>
        <v>0.77999999999999992</v>
      </c>
      <c r="U34" s="449">
        <f>IF(GEP!O33="-",,GEP!O33/3)</f>
        <v>0.77999999999999992</v>
      </c>
      <c r="V34" s="267">
        <f>IF(GEP!P33="-",IF(GEP!S33="-",,GEP!S33),IF(GEP!S33="-",GEP!P33,GEP!P33+GEP!S33))</f>
        <v>0</v>
      </c>
      <c r="W34" s="427">
        <v>0</v>
      </c>
      <c r="X34" s="427">
        <v>0</v>
      </c>
      <c r="Y34" s="113">
        <f>IF(GEP!L33="-",,GEP!L33)</f>
        <v>0</v>
      </c>
      <c r="Z34" s="113">
        <f>IF(GEP!M33="-",,GEP!M33)</f>
        <v>0.1</v>
      </c>
      <c r="AA34" s="113">
        <f>IF(GEP!Q33="-",,GEP!Q33)</f>
        <v>0.01</v>
      </c>
      <c r="AB34" s="113">
        <f>IF(GEP!R33="-",,GEP!R33)</f>
        <v>0</v>
      </c>
      <c r="AC34" s="113">
        <f>IF(GEP!P33="-",,GEP!P33)</f>
        <v>0</v>
      </c>
      <c r="AD34" s="113">
        <f>IF(GEP!S33="-",,GEP!S33)</f>
        <v>0</v>
      </c>
      <c r="AE34" s="149">
        <f t="shared" si="0"/>
        <v>43.309999999999988</v>
      </c>
      <c r="AF34" s="149">
        <f t="shared" si="1"/>
        <v>43.199999999999989</v>
      </c>
      <c r="AG34" s="106">
        <f>IF(C34='Table 1.1 complete'!A30,AE34-'Table 1.1 complete'!E30,"error")</f>
        <v>9.9999999999909051E-3</v>
      </c>
      <c r="AH34" s="113">
        <f>IF(C34='Table 1.2 complete'!A30,AE34-'Table 1.2 complete'!K30,"error")</f>
        <v>9.9999999999909051E-3</v>
      </c>
      <c r="AI34" s="106">
        <f>'Table 1.2 complete'!K30-'Table 1.1 complete'!E30</f>
        <v>0</v>
      </c>
    </row>
    <row r="35" spans="1:36" x14ac:dyDescent="0.25">
      <c r="C35" s="162" t="str">
        <f>GEP_add1!P34</f>
        <v>Czech Republic</v>
      </c>
      <c r="D35" s="192">
        <f>GEP_add1!Q34</f>
        <v>8</v>
      </c>
      <c r="E35" s="162" t="str">
        <f>GEP_add1!R34</f>
        <v>EUE</v>
      </c>
      <c r="F35" s="122">
        <f>GEP_add1!S34</f>
        <v>7</v>
      </c>
      <c r="G35" s="267">
        <f>IF(GEP!F34="-",,GEP!F34)</f>
        <v>26.17</v>
      </c>
      <c r="H35" s="322">
        <f>IF(GEP!G34="-",,GEP!G34/2)</f>
        <v>1.26</v>
      </c>
      <c r="I35" s="322">
        <f>IF(GEP!G34="-",,GEP!G34/2)</f>
        <v>1.26</v>
      </c>
      <c r="J35" s="267">
        <f>IF(GEP!H34="-",,GEP!H34)</f>
        <v>0</v>
      </c>
      <c r="K35" s="321">
        <f>IF(GEP!I34="-",,GEP!I34/2)</f>
        <v>6.5000000000000002E-2</v>
      </c>
      <c r="L35" s="321">
        <f>IF(GEP!I34="-",,GEP!I34/2)</f>
        <v>6.5000000000000002E-2</v>
      </c>
      <c r="M35" s="113">
        <f>IF(GEP!J34="-",,GEP!J34/2)</f>
        <v>0</v>
      </c>
      <c r="N35" s="113">
        <f>IF(GEP!J34="-",,GEP!J34/2)</f>
        <v>0</v>
      </c>
      <c r="O35" s="267">
        <f>IF(GEP!K34="-",,GEP!K34)</f>
        <v>53.79</v>
      </c>
      <c r="P35" s="445">
        <f>IF(GEP!N34="-",,GEP!N34/3)</f>
        <v>0.04</v>
      </c>
      <c r="Q35" s="445">
        <f>IF(GEP!N34="-",,GEP!N34/3)</f>
        <v>0.04</v>
      </c>
      <c r="R35" s="445">
        <f>IF(GEP!N34="-",,GEP!N34/3)</f>
        <v>0.04</v>
      </c>
      <c r="S35" s="449">
        <f>IF(GEP!O34="-",,GEP!O34/3)</f>
        <v>1.06</v>
      </c>
      <c r="T35" s="449">
        <f>IF(GEP!O34="-",,GEP!O34/3)</f>
        <v>1.06</v>
      </c>
      <c r="U35" s="449">
        <f>IF(GEP!O34="-",,GEP!O34/3)</f>
        <v>1.06</v>
      </c>
      <c r="V35" s="267">
        <f>IF(GEP!P34="-",IF(GEP!S34="-",,GEP!S34),IF(GEP!S34="-",GEP!P34,GEP!P34+GEP!S34))</f>
        <v>1.19</v>
      </c>
      <c r="W35" s="427">
        <v>0</v>
      </c>
      <c r="X35" s="427">
        <v>0</v>
      </c>
      <c r="Y35" s="113">
        <f>IF(GEP!L34="-",,GEP!L34)</f>
        <v>0</v>
      </c>
      <c r="Z35" s="113">
        <f>IF(GEP!M34="-",,GEP!M34)</f>
        <v>1.0900000000000001</v>
      </c>
      <c r="AA35" s="113">
        <f>IF(GEP!Q34="-",,GEP!Q34)</f>
        <v>0</v>
      </c>
      <c r="AB35" s="113">
        <f>IF(GEP!R34="-",,GEP!R34)</f>
        <v>0.02</v>
      </c>
      <c r="AC35" s="113">
        <f>IF(GEP!P34="-",,GEP!P34)</f>
        <v>0.97</v>
      </c>
      <c r="AD35" s="113">
        <f>IF(GEP!S34="-",,GEP!S34)</f>
        <v>0.22</v>
      </c>
      <c r="AE35" s="149">
        <f t="shared" si="0"/>
        <v>88.210000000000036</v>
      </c>
      <c r="AF35" s="149">
        <f t="shared" si="1"/>
        <v>87.100000000000037</v>
      </c>
      <c r="AG35" s="106">
        <f>IF(C35='Table 1.1 complete'!A31,AE35-'Table 1.1 complete'!E31,"error")</f>
        <v>1.0000000000033538E-2</v>
      </c>
      <c r="AH35" s="113">
        <f>IF(C35='Table 1.2 complete'!A31,AE35-'Table 1.2 complete'!K31,"error")</f>
        <v>1.0000000000033538E-2</v>
      </c>
      <c r="AI35" s="106">
        <f>'Table 1.2 complete'!K31-'Table 1.1 complete'!E31</f>
        <v>0</v>
      </c>
    </row>
    <row r="36" spans="1:36" x14ac:dyDescent="0.25">
      <c r="C36" s="162" t="str">
        <f>GEP_add1!P35</f>
        <v>Hungary</v>
      </c>
      <c r="D36" s="192">
        <f>GEP_add1!Q35</f>
        <v>14</v>
      </c>
      <c r="E36" s="162" t="str">
        <f>GEP_add1!R35</f>
        <v>EUE</v>
      </c>
      <c r="F36" s="122">
        <f>GEP_add1!S35</f>
        <v>7</v>
      </c>
      <c r="G36" s="267">
        <f>IF(GEP!F35="-",,GEP!F35)</f>
        <v>14.68</v>
      </c>
      <c r="H36" s="322">
        <f>IF(GEP!G35="-",,GEP!G35/2)</f>
        <v>0.105</v>
      </c>
      <c r="I36" s="322">
        <f>IF(GEP!G35="-",,GEP!G35/2)</f>
        <v>0.105</v>
      </c>
      <c r="J36" s="267">
        <f>IF(GEP!H35="-",,GEP!H35)</f>
        <v>0</v>
      </c>
      <c r="K36" s="321">
        <f>IF(GEP!I35="-",,GEP!I35/2)</f>
        <v>5.5E-2</v>
      </c>
      <c r="L36" s="321">
        <f>IF(GEP!I35="-",,GEP!I35/2)</f>
        <v>5.5E-2</v>
      </c>
      <c r="M36" s="113">
        <f>IF(GEP!J35="-",,GEP!J35/2)</f>
        <v>0.17</v>
      </c>
      <c r="N36" s="113">
        <f>IF(GEP!J35="-",,GEP!J35/2)</f>
        <v>0.17</v>
      </c>
      <c r="O36" s="267">
        <f>IF(GEP!K35="-",,GEP!K35)</f>
        <v>7.04</v>
      </c>
      <c r="P36" s="445">
        <f>IF(GEP!N35="-",,GEP!N35/3)</f>
        <v>0.18000000000000002</v>
      </c>
      <c r="Q36" s="445">
        <f>IF(GEP!N35="-",,GEP!N35/3)</f>
        <v>0.18000000000000002</v>
      </c>
      <c r="R36" s="445">
        <f>IF(GEP!N35="-",,GEP!N35/3)</f>
        <v>0.18000000000000002</v>
      </c>
      <c r="S36" s="449">
        <f>IF(GEP!O35="-",,GEP!O35/3)</f>
        <v>5.0766666666666671</v>
      </c>
      <c r="T36" s="449">
        <f>IF(GEP!O35="-",,GEP!O35/3)</f>
        <v>5.0766666666666671</v>
      </c>
      <c r="U36" s="449">
        <f>IF(GEP!O35="-",,GEP!O35/3)</f>
        <v>5.0766666666666671</v>
      </c>
      <c r="V36" s="267">
        <f>IF(GEP!P35="-",IF(GEP!S35="-",,GEP!S35),IF(GEP!S35="-",GEP!P35,GEP!P35+GEP!S35))</f>
        <v>1.4200000000000002</v>
      </c>
      <c r="W36" s="427">
        <v>0</v>
      </c>
      <c r="X36" s="427">
        <v>0</v>
      </c>
      <c r="Y36" s="113">
        <f>IF(GEP!L35="-",,GEP!L35)</f>
        <v>0</v>
      </c>
      <c r="Z36" s="113">
        <f>IF(GEP!M35="-",,GEP!M35)</f>
        <v>0.11</v>
      </c>
      <c r="AA36" s="113">
        <f>IF(GEP!Q35="-",,GEP!Q35)</f>
        <v>0.01</v>
      </c>
      <c r="AB36" s="113">
        <f>IF(GEP!R35="-",,GEP!R35)</f>
        <v>0.28000000000000003</v>
      </c>
      <c r="AC36" s="113">
        <f>IF(GEP!P35="-",,GEP!P35)</f>
        <v>1.37</v>
      </c>
      <c r="AD36" s="113">
        <f>IF(GEP!S35="-",,GEP!S35)</f>
        <v>0.05</v>
      </c>
      <c r="AE36" s="149">
        <f t="shared" si="0"/>
        <v>39.97</v>
      </c>
      <c r="AF36" s="149">
        <f t="shared" si="1"/>
        <v>39.57</v>
      </c>
      <c r="AG36" s="106">
        <f>IF(C36='Table 1.1 complete'!A32,AE36-'Table 1.1 complete'!E32,"error")</f>
        <v>-3.0000000000001137E-2</v>
      </c>
      <c r="AH36" s="113">
        <f>IF(C36='Table 1.2 complete'!A32,AE36-'Table 1.2 complete'!K32,"error")</f>
        <v>9.9999999999980105E-3</v>
      </c>
      <c r="AI36" s="106">
        <f>'Table 1.2 complete'!K32-'Table 1.1 complete'!E32</f>
        <v>-3.9999999999999147E-2</v>
      </c>
    </row>
    <row r="37" spans="1:36" x14ac:dyDescent="0.25">
      <c r="C37" s="162" t="str">
        <f>GEP_add1!P36</f>
        <v>Poland</v>
      </c>
      <c r="D37" s="192">
        <f>GEP_add1!Q36</f>
        <v>25</v>
      </c>
      <c r="E37" s="162" t="str">
        <f>GEP_add1!R36</f>
        <v>EUE</v>
      </c>
      <c r="F37" s="122">
        <f>GEP_add1!S36</f>
        <v>7</v>
      </c>
      <c r="G37" s="267">
        <f>IF(GEP!F36="-",,GEP!F36)</f>
        <v>0</v>
      </c>
      <c r="H37" s="322">
        <f>IF(GEP!G36="-",,GEP!G36/2)</f>
        <v>1.47</v>
      </c>
      <c r="I37" s="322">
        <f>IF(GEP!G36="-",,GEP!G36/2)</f>
        <v>1.47</v>
      </c>
      <c r="J37" s="267">
        <f>IF(GEP!H36="-",,GEP!H36)</f>
        <v>0</v>
      </c>
      <c r="K37" s="321">
        <f>IF(GEP!I36="-",,GEP!I36/2)</f>
        <v>0.26</v>
      </c>
      <c r="L37" s="321">
        <f>IF(GEP!I36="-",,GEP!I36/2)</f>
        <v>0.26</v>
      </c>
      <c r="M37" s="113">
        <f>IF(GEP!J36="-",,GEP!J36/2)</f>
        <v>45.405000000000001</v>
      </c>
      <c r="N37" s="113">
        <f>IF(GEP!J36="-",,GEP!J36/2)</f>
        <v>45.405000000000001</v>
      </c>
      <c r="O37" s="267">
        <f>IF(GEP!K36="-",,GEP!K36)</f>
        <v>54.76</v>
      </c>
      <c r="P37" s="445">
        <f>IF(GEP!N36="-",,GEP!N36/3)</f>
        <v>0.76666666666666661</v>
      </c>
      <c r="Q37" s="445">
        <f>IF(GEP!N36="-",,GEP!N36/3)</f>
        <v>0.76666666666666661</v>
      </c>
      <c r="R37" s="445">
        <f>IF(GEP!N36="-",,GEP!N36/3)</f>
        <v>0.76666666666666661</v>
      </c>
      <c r="S37" s="449">
        <f>IF(GEP!O36="-",,GEP!O36/3)</f>
        <v>1.02</v>
      </c>
      <c r="T37" s="449">
        <f>IF(GEP!O36="-",,GEP!O36/3)</f>
        <v>1.02</v>
      </c>
      <c r="U37" s="449">
        <f>IF(GEP!O36="-",,GEP!O36/3)</f>
        <v>1.02</v>
      </c>
      <c r="V37" s="267">
        <f>IF(GEP!P36="-",IF(GEP!S36="-",,GEP!S36),IF(GEP!S36="-",GEP!P36,GEP!P36+GEP!S36))</f>
        <v>2.56</v>
      </c>
      <c r="W37" s="427">
        <v>0</v>
      </c>
      <c r="X37" s="427">
        <v>0</v>
      </c>
      <c r="Y37" s="113">
        <f>IF(GEP!L36="-",,GEP!L36)</f>
        <v>0</v>
      </c>
      <c r="Z37" s="113">
        <f>IF(GEP!M36="-",,GEP!M36)</f>
        <v>2.06</v>
      </c>
      <c r="AA37" s="113">
        <f>IF(GEP!Q36="-",,GEP!Q36)</f>
        <v>0.34</v>
      </c>
      <c r="AB37" s="113">
        <f>IF(GEP!R36="-",,GEP!R36)</f>
        <v>0</v>
      </c>
      <c r="AC37" s="113">
        <f>IF(GEP!P36="-",,GEP!P36)</f>
        <v>2.36</v>
      </c>
      <c r="AD37" s="113">
        <f>IF(GEP!S36="-",,GEP!S36)</f>
        <v>0.2</v>
      </c>
      <c r="AE37" s="149">
        <f t="shared" si="0"/>
        <v>159.35000000000008</v>
      </c>
      <c r="AF37" s="149">
        <f t="shared" si="1"/>
        <v>156.95000000000007</v>
      </c>
      <c r="AG37" s="106">
        <f>IF(C37='Table 1.1 complete'!A33,AE37-'Table 1.1 complete'!E33,"error")</f>
        <v>5.0000000000068212E-2</v>
      </c>
      <c r="AH37" s="113">
        <f>IF(C37='Table 1.2 complete'!A33,AE37-'Table 1.2 complete'!K33,"error")</f>
        <v>8.5265128291212022E-14</v>
      </c>
      <c r="AI37" s="106">
        <f>'Table 1.2 complete'!K33-'Table 1.1 complete'!E33</f>
        <v>4.9999999999982947E-2</v>
      </c>
    </row>
    <row r="38" spans="1:36" x14ac:dyDescent="0.25">
      <c r="C38" s="162" t="str">
        <f>GEP_add1!P37</f>
        <v>Romania</v>
      </c>
      <c r="D38" s="192">
        <f>GEP_add1!Q37</f>
        <v>121</v>
      </c>
      <c r="E38" s="162" t="str">
        <f>GEP_add1!R37</f>
        <v>EUE</v>
      </c>
      <c r="F38" s="122">
        <f>GEP_add1!S37</f>
        <v>7</v>
      </c>
      <c r="G38" s="267">
        <f>IF(GEP!F37="-",,GEP!F37)</f>
        <v>7.71</v>
      </c>
      <c r="H38" s="322">
        <f>IF(GEP!G37="-",,GEP!G37/2)</f>
        <v>7.9850000000000003</v>
      </c>
      <c r="I38" s="322">
        <f>IF(GEP!G37="-",,GEP!G37/2)</f>
        <v>7.9850000000000003</v>
      </c>
      <c r="J38" s="267">
        <f>IF(GEP!H37="-",,GEP!H37)</f>
        <v>0</v>
      </c>
      <c r="K38" s="321">
        <f>IF(GEP!I37="-",,GEP!I37/2)</f>
        <v>0</v>
      </c>
      <c r="L38" s="321">
        <f>IF(GEP!I37="-",,GEP!I37/2)</f>
        <v>0</v>
      </c>
      <c r="M38" s="113">
        <f>IF(GEP!J37="-",,GEP!J37/2)</f>
        <v>0.94499999999999995</v>
      </c>
      <c r="N38" s="113">
        <f>IF(GEP!J37="-",,GEP!J37/2)</f>
        <v>0.94499999999999995</v>
      </c>
      <c r="O38" s="267">
        <f>IF(GEP!K37="-",,GEP!K37)</f>
        <v>23.21</v>
      </c>
      <c r="P38" s="445">
        <f>IF(GEP!N37="-",,GEP!N37/3)</f>
        <v>0.3666666666666667</v>
      </c>
      <c r="Q38" s="445">
        <f>IF(GEP!N37="-",,GEP!N37/3)</f>
        <v>0.3666666666666667</v>
      </c>
      <c r="R38" s="445">
        <f>IF(GEP!N37="-",,GEP!N37/3)</f>
        <v>0.3666666666666667</v>
      </c>
      <c r="S38" s="449">
        <f>IF(GEP!O37="-",,GEP!O37/3)</f>
        <v>3.8533333333333335</v>
      </c>
      <c r="T38" s="449">
        <f>IF(GEP!O37="-",,GEP!O37/3)</f>
        <v>3.8533333333333335</v>
      </c>
      <c r="U38" s="449">
        <f>IF(GEP!O37="-",,GEP!O37/3)</f>
        <v>3.8533333333333335</v>
      </c>
      <c r="V38" s="267">
        <f>IF(GEP!P37="-",IF(GEP!S37="-",,GEP!S37),IF(GEP!S37="-",GEP!P37,GEP!P37+GEP!S37))</f>
        <v>0.03</v>
      </c>
      <c r="W38" s="427">
        <v>0</v>
      </c>
      <c r="X38" s="427">
        <v>0</v>
      </c>
      <c r="Y38" s="113">
        <f>IF(GEP!L37="-",,GEP!L37)</f>
        <v>0</v>
      </c>
      <c r="Z38" s="113">
        <f>IF(GEP!M37="-",,GEP!M37)</f>
        <v>0.21</v>
      </c>
      <c r="AA38" s="113">
        <f>IF(GEP!Q37="-",,GEP!Q37)</f>
        <v>0</v>
      </c>
      <c r="AB38" s="113">
        <f>IF(GEP!R37="-",,GEP!R37)</f>
        <v>0</v>
      </c>
      <c r="AC38" s="113">
        <f>IF(GEP!P37="-",,GEP!P37)</f>
        <v>0.03</v>
      </c>
      <c r="AD38" s="113">
        <f>IF(GEP!S37="-",,GEP!S37)</f>
        <v>0</v>
      </c>
      <c r="AE38" s="149">
        <f t="shared" si="0"/>
        <v>61.68</v>
      </c>
      <c r="AF38" s="149">
        <f t="shared" si="1"/>
        <v>61.47</v>
      </c>
      <c r="AG38" s="106">
        <f>IF(C38='Table 1.1 complete'!A34,AE38-'Table 1.1 complete'!E34,"error")</f>
        <v>-2.0000000000003126E-2</v>
      </c>
      <c r="AH38" s="113">
        <f>IF(C38='Table 1.2 complete'!A34,AE38-'Table 1.2 complete'!K34,"error")</f>
        <v>9.9999999999980105E-3</v>
      </c>
      <c r="AI38" s="106">
        <f>'Table 1.2 complete'!K34-'Table 1.1 complete'!E34</f>
        <v>-3.0000000000001137E-2</v>
      </c>
    </row>
    <row r="39" spans="1:36" x14ac:dyDescent="0.25">
      <c r="C39" s="162" t="str">
        <f>GEP_add1!P38</f>
        <v>Slovak Republic</v>
      </c>
      <c r="D39" s="192">
        <f>GEP_add1!Q38</f>
        <v>27</v>
      </c>
      <c r="E39" s="162" t="str">
        <f>GEP_add1!R38</f>
        <v>EUE</v>
      </c>
      <c r="F39" s="122">
        <f>GEP_add1!S38</f>
        <v>7</v>
      </c>
      <c r="G39" s="267">
        <f>IF(GEP!F38="-",,GEP!F38)</f>
        <v>15.33</v>
      </c>
      <c r="H39" s="322">
        <f>IF(GEP!G38="-",,GEP!G38/2)</f>
        <v>2.31</v>
      </c>
      <c r="I39" s="322">
        <f>IF(GEP!G38="-",,GEP!G38/2)</f>
        <v>2.31</v>
      </c>
      <c r="J39" s="267">
        <f>IF(GEP!H38="-",,GEP!H38)</f>
        <v>0</v>
      </c>
      <c r="K39" s="321">
        <f>IF(GEP!I38="-",,GEP!I38/2)</f>
        <v>0.03</v>
      </c>
      <c r="L39" s="321">
        <f>IF(GEP!I38="-",,GEP!I38/2)</f>
        <v>0.03</v>
      </c>
      <c r="M39" s="113">
        <f>IF(GEP!J38="-",,GEP!J38/2)</f>
        <v>1.4450000000000001</v>
      </c>
      <c r="N39" s="113">
        <f>IF(GEP!J38="-",,GEP!J38/2)</f>
        <v>1.4450000000000001</v>
      </c>
      <c r="O39" s="267">
        <f>IF(GEP!K38="-",,GEP!K38)</f>
        <v>1.91</v>
      </c>
      <c r="P39" s="445">
        <f>IF(GEP!N38="-",,GEP!N38/3)</f>
        <v>0.23666666666666666</v>
      </c>
      <c r="Q39" s="445">
        <f>IF(GEP!N38="-",,GEP!N38/3)</f>
        <v>0.23666666666666666</v>
      </c>
      <c r="R39" s="445">
        <f>IF(GEP!N38="-",,GEP!N38/3)</f>
        <v>0.23666666666666666</v>
      </c>
      <c r="S39" s="449">
        <f>IF(GEP!O38="-",,GEP!O38/3)</f>
        <v>0.54</v>
      </c>
      <c r="T39" s="449">
        <f>IF(GEP!O38="-",,GEP!O38/3)</f>
        <v>0.54</v>
      </c>
      <c r="U39" s="449">
        <f>IF(GEP!O38="-",,GEP!O38/3)</f>
        <v>0.54</v>
      </c>
      <c r="V39" s="267">
        <f>IF(GEP!P38="-",IF(GEP!S38="-",,GEP!S38),IF(GEP!S38="-",GEP!P38,GEP!P38+GEP!S38))</f>
        <v>0.45</v>
      </c>
      <c r="W39" s="427">
        <v>0</v>
      </c>
      <c r="X39" s="427">
        <v>0</v>
      </c>
      <c r="Y39" s="113">
        <f>IF(GEP!L38="-",,GEP!L38)</f>
        <v>0</v>
      </c>
      <c r="Z39" s="113">
        <f>IF(GEP!M38="-",,GEP!M38)</f>
        <v>0.42</v>
      </c>
      <c r="AA39" s="113">
        <f>IF(GEP!Q38="-",,GEP!Q38)</f>
        <v>0</v>
      </c>
      <c r="AB39" s="113">
        <f>IF(GEP!R38="-",,GEP!R38)</f>
        <v>0.05</v>
      </c>
      <c r="AC39" s="113">
        <f>IF(GEP!P38="-",,GEP!P38)</f>
        <v>0.44</v>
      </c>
      <c r="AD39" s="113">
        <f>IF(GEP!S38="-",,GEP!S38)</f>
        <v>0.01</v>
      </c>
      <c r="AE39" s="149">
        <f t="shared" si="0"/>
        <v>28.060000000000006</v>
      </c>
      <c r="AF39" s="149">
        <f t="shared" si="1"/>
        <v>27.590000000000003</v>
      </c>
      <c r="AG39" s="106">
        <f>IF(C39='Table 1.1 complete'!A35,AE39-'Table 1.1 complete'!E35,"error")</f>
        <v>-3.9999999999995595E-2</v>
      </c>
      <c r="AH39" s="113">
        <f>IF(C39='Table 1.2 complete'!A35,AE39-'Table 1.2 complete'!K35,"error")</f>
        <v>7.1054273576010019E-15</v>
      </c>
      <c r="AI39" s="106">
        <f>'Table 1.2 complete'!K35-'Table 1.1 complete'!E35</f>
        <v>-4.00000000000027E-2</v>
      </c>
    </row>
    <row r="40" spans="1:36" x14ac:dyDescent="0.25">
      <c r="C40" s="161" t="str">
        <f>GEP_add1!P39</f>
        <v>Australia</v>
      </c>
      <c r="D40" s="191">
        <f>GEP_add1!Q39</f>
        <v>4</v>
      </c>
      <c r="E40" s="161" t="str">
        <f>GEP_add1!R39</f>
        <v>OEC</v>
      </c>
      <c r="F40" s="121">
        <f>GEP_add1!S39</f>
        <v>8</v>
      </c>
      <c r="G40" s="267">
        <f>IF(GEP!F39="-",,GEP!F39)</f>
        <v>0</v>
      </c>
      <c r="H40" s="322">
        <f>IF(GEP!G39="-",,GEP!G39/2)</f>
        <v>7.36</v>
      </c>
      <c r="I40" s="322">
        <f>IF(GEP!G39="-",,GEP!G39/2)</f>
        <v>7.36</v>
      </c>
      <c r="J40" s="267">
        <f>IF(GEP!H39="-",,GEP!H39)</f>
        <v>0</v>
      </c>
      <c r="K40" s="321">
        <f>IF(GEP!I39="-",,GEP!I39/2)</f>
        <v>1.31</v>
      </c>
      <c r="L40" s="321">
        <f>IF(GEP!I39="-",,GEP!I39/2)</f>
        <v>1.31</v>
      </c>
      <c r="M40" s="113">
        <f>IF(GEP!J39="-",,GEP!J39/2)</f>
        <v>67.31</v>
      </c>
      <c r="N40" s="113">
        <f>IF(GEP!J39="-",,GEP!J39/2)</f>
        <v>67.31</v>
      </c>
      <c r="O40" s="267">
        <f>IF(GEP!K39="-",,GEP!K39)</f>
        <v>57.5</v>
      </c>
      <c r="P40" s="445">
        <f>IF(GEP!N39="-",,GEP!N39/3)</f>
        <v>0.72666666666666668</v>
      </c>
      <c r="Q40" s="445">
        <f>IF(GEP!N39="-",,GEP!N39/3)</f>
        <v>0.72666666666666668</v>
      </c>
      <c r="R40" s="445">
        <f>IF(GEP!N39="-",,GEP!N39/3)</f>
        <v>0.72666666666666668</v>
      </c>
      <c r="S40" s="449">
        <f>IF(GEP!O39="-",,GEP!O39/3)</f>
        <v>13.056666666666667</v>
      </c>
      <c r="T40" s="449">
        <f>IF(GEP!O39="-",,GEP!O39/3)</f>
        <v>13.056666666666667</v>
      </c>
      <c r="U40" s="449">
        <f>IF(GEP!O39="-",,GEP!O39/3)</f>
        <v>13.056666666666667</v>
      </c>
      <c r="V40" s="267">
        <f>IF(GEP!P39="-",IF(GEP!S39="-",,GEP!S39),IF(GEP!S39="-",GEP!P39,GEP!P39+GEP!S39))</f>
        <v>2.0300000000000002</v>
      </c>
      <c r="W40" s="427">
        <v>0</v>
      </c>
      <c r="X40" s="427">
        <v>0</v>
      </c>
      <c r="Y40" s="113">
        <f>IF(GEP!L39="-",,GEP!L39)</f>
        <v>0</v>
      </c>
      <c r="Z40" s="113">
        <f>IF(GEP!M39="-",,GEP!M39)</f>
        <v>2.12</v>
      </c>
      <c r="AA40" s="113">
        <f>IF(GEP!Q39="-",,GEP!Q39)</f>
        <v>0</v>
      </c>
      <c r="AB40" s="113">
        <f>IF(GEP!R39="-",,GEP!R39)</f>
        <v>0</v>
      </c>
      <c r="AC40" s="113">
        <f>IF(GEP!P39="-",,GEP!P39)</f>
        <v>1.1000000000000001</v>
      </c>
      <c r="AD40" s="113">
        <f>IF(GEP!S39="-",,GEP!S39)</f>
        <v>0.93</v>
      </c>
      <c r="AE40" s="149">
        <f t="shared" si="0"/>
        <v>254.96</v>
      </c>
      <c r="AF40" s="149">
        <f t="shared" si="1"/>
        <v>252.84</v>
      </c>
      <c r="AG40" s="106">
        <f>IF(C40='Table 1.1 complete'!A36,AE40-'Table 1.1 complete'!E36,"error")</f>
        <v>-3.9999999999992042E-2</v>
      </c>
      <c r="AH40" s="113">
        <f>IF(C40='Table 1.2 complete'!A36,AE40-'Table 1.2 complete'!K36,"error")</f>
        <v>-9.9999999999909051E-3</v>
      </c>
      <c r="AI40" s="106">
        <f>'Table 1.2 complete'!K36-'Table 1.1 complete'!E36</f>
        <v>-3.0000000000001137E-2</v>
      </c>
    </row>
    <row r="41" spans="1:36" s="372" customFormat="1" x14ac:dyDescent="0.25">
      <c r="A41" s="392"/>
      <c r="B41" s="392"/>
      <c r="C41" s="369" t="str">
        <f>GEP_add1!P40</f>
        <v>Canada</v>
      </c>
      <c r="D41" s="370">
        <f>GEP_add1!Q40</f>
        <v>7</v>
      </c>
      <c r="E41" s="369" t="str">
        <f>GEP_add1!R40</f>
        <v>OEC</v>
      </c>
      <c r="F41" s="371">
        <f>GEP_add1!S40</f>
        <v>8</v>
      </c>
      <c r="G41" s="268">
        <f>IF(GEP!F40="-",,GEP!F40)</f>
        <v>93.49</v>
      </c>
      <c r="H41" s="363">
        <f>IF(GEP!G40="-",,GEP!G40/2)</f>
        <v>184.26</v>
      </c>
      <c r="I41" s="363">
        <f>IF(GEP!G40="-",,GEP!G40/2)</f>
        <v>184.26</v>
      </c>
      <c r="J41" s="268">
        <f>IF(GEP!H40="-",,GEP!H40)</f>
        <v>0</v>
      </c>
      <c r="K41" s="364">
        <f>IF(GEP!I40="-",,GEP!I40/2)</f>
        <v>1.54</v>
      </c>
      <c r="L41" s="364">
        <f>IF(GEP!I40="-",,GEP!I40/2)</f>
        <v>1.54</v>
      </c>
      <c r="M41" s="225">
        <f>IF(GEP!J40="-",,GEP!J40/2)</f>
        <v>22.945</v>
      </c>
      <c r="N41" s="225">
        <f>IF(GEP!J40="-",,GEP!J40/2)</f>
        <v>22.945</v>
      </c>
      <c r="O41" s="268">
        <f>IF(GEP!K40="-",,GEP!K40)</f>
        <v>69.75</v>
      </c>
      <c r="P41" s="446">
        <f>IF(GEP!N40="-",,GEP!N40/3)</f>
        <v>3.2833333333333332</v>
      </c>
      <c r="Q41" s="446">
        <f>IF(GEP!N40="-",,GEP!N40/3)</f>
        <v>3.2833333333333332</v>
      </c>
      <c r="R41" s="446">
        <f>IF(GEP!N40="-",,GEP!N40/3)</f>
        <v>3.2833333333333332</v>
      </c>
      <c r="S41" s="450">
        <f>IF(GEP!O40="-",,GEP!O40/3)</f>
        <v>13.566666666666668</v>
      </c>
      <c r="T41" s="450">
        <f>IF(GEP!O40="-",,GEP!O40/3)</f>
        <v>13.566666666666668</v>
      </c>
      <c r="U41" s="450">
        <f>IF(GEP!O40="-",,GEP!O40/3)</f>
        <v>13.566666666666668</v>
      </c>
      <c r="V41" s="268">
        <f>IF(GEP!P40="-",IF(GEP!S40="-",,GEP!S40),IF(GEP!S40="-",GEP!P40,GEP!P40+GEP!S40))</f>
        <v>8.3000000000000007</v>
      </c>
      <c r="W41" s="435">
        <v>0</v>
      </c>
      <c r="X41" s="435">
        <v>0</v>
      </c>
      <c r="Y41" s="225">
        <f>IF(GEP!L40="-",,GEP!L40)</f>
        <v>0</v>
      </c>
      <c r="Z41" s="225">
        <f>IF(GEP!M40="-",,GEP!M40)</f>
        <v>0.11</v>
      </c>
      <c r="AA41" s="225">
        <f>IF(GEP!Q40="-",,GEP!Q40)</f>
        <v>0</v>
      </c>
      <c r="AB41" s="225">
        <f>IF(GEP!R40="-",,GEP!R40)</f>
        <v>0.16</v>
      </c>
      <c r="AC41" s="225">
        <f>IF(GEP!P40="-",,GEP!P40)</f>
        <v>7.53</v>
      </c>
      <c r="AD41" s="225">
        <f>IF(GEP!S40="-",,GEP!S40)</f>
        <v>0.77</v>
      </c>
      <c r="AE41" s="223">
        <f t="shared" si="0"/>
        <v>639.85</v>
      </c>
      <c r="AF41" s="223">
        <f t="shared" si="1"/>
        <v>639.58000000000004</v>
      </c>
      <c r="AG41" s="224">
        <f>IF(C41='Table 1.1 complete'!A37,AE41-'Table 1.1 complete'!E37,"error")</f>
        <v>5.0000000000068212E-2</v>
      </c>
      <c r="AH41" s="225">
        <f>IF(C41='Table 1.2 complete'!A37,AE41-'Table 1.2 complete'!K37,"error")</f>
        <v>9.9999999999909051E-3</v>
      </c>
      <c r="AI41" s="224">
        <f>'Table 1.2 complete'!K37-'Table 1.1 complete'!E37</f>
        <v>4.0000000000077307E-2</v>
      </c>
      <c r="AJ41" s="392"/>
    </row>
    <row r="42" spans="1:36" x14ac:dyDescent="0.25">
      <c r="C42" s="181" t="str">
        <f>GEP_add1!P41</f>
        <v>Iceland</v>
      </c>
      <c r="D42" s="212">
        <f>GEP_add1!Q41</f>
        <v>15</v>
      </c>
      <c r="E42" s="181" t="str">
        <f>GEP_add1!R41</f>
        <v>OEC</v>
      </c>
      <c r="F42" s="140">
        <f>GEP_add1!S41</f>
        <v>8</v>
      </c>
      <c r="G42" s="267">
        <f>IF(GEP!F41="-",,GEP!F41)</f>
        <v>0</v>
      </c>
      <c r="H42" s="322">
        <f>IF(GEP!G41="-",,GEP!G41/2)</f>
        <v>4.1950000000000003</v>
      </c>
      <c r="I42" s="322">
        <f>IF(GEP!G41="-",,GEP!G41/2)</f>
        <v>4.1950000000000003</v>
      </c>
      <c r="J42" s="267">
        <f>IF(GEP!H41="-",,GEP!H41)</f>
        <v>3.58</v>
      </c>
      <c r="K42" s="321">
        <f>IF(GEP!I41="-",,GEP!I41/2)</f>
        <v>0</v>
      </c>
      <c r="L42" s="321">
        <f>IF(GEP!I41="-",,GEP!I41/2)</f>
        <v>0</v>
      </c>
      <c r="M42" s="113">
        <f>IF(GEP!J41="-",,GEP!J41/2)</f>
        <v>0</v>
      </c>
      <c r="N42" s="113">
        <f>IF(GEP!J41="-",,GEP!J41/2)</f>
        <v>0</v>
      </c>
      <c r="O42" s="267">
        <f>IF(GEP!K41="-",,GEP!K41)</f>
        <v>0</v>
      </c>
      <c r="P42" s="445">
        <f>IF(GEP!N41="-",,GEP!N41/3)</f>
        <v>0</v>
      </c>
      <c r="Q42" s="445">
        <f>IF(GEP!N41="-",,GEP!N41/3)</f>
        <v>0</v>
      </c>
      <c r="R42" s="445">
        <f>IF(GEP!N41="-",,GEP!N41/3)</f>
        <v>0</v>
      </c>
      <c r="S42" s="449">
        <f>IF(GEP!O41="-",,GEP!O41/3)</f>
        <v>0</v>
      </c>
      <c r="T42" s="449">
        <f>IF(GEP!O41="-",,GEP!O41/3)</f>
        <v>0</v>
      </c>
      <c r="U42" s="449">
        <f>IF(GEP!O41="-",,GEP!O41/3)</f>
        <v>0</v>
      </c>
      <c r="V42" s="267">
        <f>IF(GEP!P41="-",IF(GEP!S41="-",,GEP!S41),IF(GEP!S41="-",GEP!P41,GEP!P41+GEP!S41))</f>
        <v>0</v>
      </c>
      <c r="W42" s="427">
        <v>0</v>
      </c>
      <c r="X42" s="427">
        <v>0</v>
      </c>
      <c r="Y42" s="113">
        <f>IF(GEP!L41="-",,GEP!L41)</f>
        <v>0</v>
      </c>
      <c r="Z42" s="113">
        <f>IF(GEP!M41="-",,GEP!M41)</f>
        <v>0</v>
      </c>
      <c r="AA42" s="113">
        <f>IF(GEP!Q41="-",,GEP!Q41)</f>
        <v>0</v>
      </c>
      <c r="AB42" s="113">
        <f>IF(GEP!R41="-",,GEP!R41)</f>
        <v>0</v>
      </c>
      <c r="AC42" s="113">
        <f>IF(GEP!P41="-",,GEP!P41)</f>
        <v>0</v>
      </c>
      <c r="AD42" s="113">
        <f>IF(GEP!S41="-",,GEP!S41)</f>
        <v>0</v>
      </c>
      <c r="AE42" s="149">
        <f t="shared" si="0"/>
        <v>11.97</v>
      </c>
      <c r="AF42" s="149">
        <f t="shared" si="1"/>
        <v>11.97</v>
      </c>
      <c r="AG42" s="106">
        <f>IF(C42='Table 1.1 complete'!A38,AE42-'Table 1.1 complete'!E38,"error")</f>
        <v>-2.9999999999999361E-2</v>
      </c>
      <c r="AH42" s="113">
        <f>IF(C42='Table 1.2 complete'!A38,AE42-'Table 1.2 complete'!K38,"error")</f>
        <v>-9.9999999999997868E-3</v>
      </c>
      <c r="AI42" s="106">
        <f>'Table 1.2 complete'!K38-'Table 1.1 complete'!E38</f>
        <v>-1.9999999999999574E-2</v>
      </c>
    </row>
    <row r="43" spans="1:36" x14ac:dyDescent="0.25">
      <c r="C43" s="158" t="str">
        <f>GEP_add1!P42</f>
        <v>Japan</v>
      </c>
      <c r="D43" s="188">
        <f>GEP_add1!Q42</f>
        <v>18</v>
      </c>
      <c r="E43" s="158" t="str">
        <f>GEP_add1!R42</f>
        <v>OEC</v>
      </c>
      <c r="F43" s="118">
        <f>GEP_add1!S42</f>
        <v>8</v>
      </c>
      <c r="G43" s="267">
        <f>IF(GEP!F42="-",,GEP!F42)</f>
        <v>263.83</v>
      </c>
      <c r="H43" s="322">
        <f>IF(GEP!G42="-",,GEP!G42/2)</f>
        <v>42.115000000000002</v>
      </c>
      <c r="I43" s="322">
        <f>IF(GEP!G42="-",,GEP!G42/2)</f>
        <v>42.115000000000002</v>
      </c>
      <c r="J43" s="267">
        <f>IF(GEP!H42="-",,GEP!H42)</f>
        <v>3.04</v>
      </c>
      <c r="K43" s="321">
        <f>IF(GEP!I42="-",,GEP!I42/2)</f>
        <v>1.3149999999999999</v>
      </c>
      <c r="L43" s="321">
        <f>IF(GEP!I42="-",,GEP!I42/2)</f>
        <v>1.3149999999999999</v>
      </c>
      <c r="M43" s="113">
        <f>IF(GEP!J42="-",,GEP!J42/2)</f>
        <v>136.13499999999999</v>
      </c>
      <c r="N43" s="113">
        <f>IF(GEP!J42="-",,GEP!J42/2)</f>
        <v>136.13499999999999</v>
      </c>
      <c r="O43" s="267">
        <f>IF(GEP!K42="-",,GEP!K42)</f>
        <v>0</v>
      </c>
      <c r="P43" s="445">
        <f>IF(GEP!N42="-",,GEP!N42/3)</f>
        <v>52.093333333333334</v>
      </c>
      <c r="Q43" s="445">
        <f>IF(GEP!N42="-",,GEP!N42/3)</f>
        <v>52.093333333333334</v>
      </c>
      <c r="R43" s="445">
        <f>IF(GEP!N42="-",,GEP!N42/3)</f>
        <v>52.093333333333334</v>
      </c>
      <c r="S43" s="449">
        <f>IF(GEP!O42="-",,GEP!O42/3)</f>
        <v>96.626666666666665</v>
      </c>
      <c r="T43" s="449">
        <f>IF(GEP!O42="-",,GEP!O42/3)</f>
        <v>96.626666666666665</v>
      </c>
      <c r="U43" s="449">
        <f>IF(GEP!O42="-",,GEP!O42/3)</f>
        <v>96.626666666666665</v>
      </c>
      <c r="V43" s="267">
        <f>IF(GEP!P42="-",IF(GEP!S42="-",,GEP!S42),IF(GEP!S42="-",GEP!P42,GEP!P42+GEP!S42))</f>
        <v>15.76</v>
      </c>
      <c r="W43" s="427">
        <v>0</v>
      </c>
      <c r="X43" s="427">
        <v>0</v>
      </c>
      <c r="Y43" s="113">
        <f>IF(GEP!L42="-",,GEP!L42)</f>
        <v>0</v>
      </c>
      <c r="Z43" s="113">
        <f>IF(GEP!M42="-",,GEP!M42)</f>
        <v>38.53</v>
      </c>
      <c r="AA43" s="113">
        <f>IF(GEP!Q42="-",,GEP!Q42)</f>
        <v>0.43</v>
      </c>
      <c r="AB43" s="113">
        <f>IF(GEP!R42="-",,GEP!R42)</f>
        <v>6.84</v>
      </c>
      <c r="AC43" s="113">
        <f>IF(GEP!P42="-",,GEP!P42)</f>
        <v>15.76</v>
      </c>
      <c r="AD43" s="113">
        <f>IF(GEP!S42="-",,GEP!S42)</f>
        <v>0</v>
      </c>
      <c r="AE43" s="149">
        <f t="shared" si="0"/>
        <v>1133.72</v>
      </c>
      <c r="AF43" s="149">
        <f t="shared" si="1"/>
        <v>1087.92</v>
      </c>
      <c r="AG43" s="106">
        <f>IF(C43='Table 1.1 complete'!A39,AE43-'Table 1.1 complete'!E39,"error")</f>
        <v>1.999999999998181E-2</v>
      </c>
      <c r="AH43" s="113">
        <f>IF(C43='Table 1.2 complete'!A39,AE43-'Table 1.2 complete'!K39,"error")</f>
        <v>9.9999999999909051E-3</v>
      </c>
      <c r="AI43" s="106">
        <f>'Table 1.2 complete'!K39-'Table 1.1 complete'!E39</f>
        <v>9.9999999999909051E-3</v>
      </c>
    </row>
    <row r="44" spans="1:36" x14ac:dyDescent="0.25">
      <c r="C44" s="178" t="str">
        <f>GEP_add1!P43</f>
        <v>Korea</v>
      </c>
      <c r="D44" s="209">
        <f>GEP_add1!Q43</f>
        <v>19</v>
      </c>
      <c r="E44" s="178" t="str">
        <f>GEP_add1!R43</f>
        <v>OEC</v>
      </c>
      <c r="F44" s="137">
        <f>GEP_add1!S43</f>
        <v>8</v>
      </c>
      <c r="G44" s="267">
        <f>IF(GEP!F43="-",,GEP!F43)</f>
        <v>142.94</v>
      </c>
      <c r="H44" s="322">
        <f>IF(GEP!G43="-",,GEP!G43/2)</f>
        <v>2.52</v>
      </c>
      <c r="I44" s="322">
        <f>IF(GEP!G43="-",,GEP!G43/2)</f>
        <v>2.52</v>
      </c>
      <c r="J44" s="267">
        <f>IF(GEP!H43="-",,GEP!H43)</f>
        <v>0</v>
      </c>
      <c r="K44" s="321">
        <f>IF(GEP!I43="-",,GEP!I43/2)</f>
        <v>0.26</v>
      </c>
      <c r="L44" s="321">
        <f>IF(GEP!I43="-",,GEP!I43/2)</f>
        <v>0.26</v>
      </c>
      <c r="M44" s="113">
        <f>IF(GEP!J43="-",,GEP!J43/2)</f>
        <v>78.875</v>
      </c>
      <c r="N44" s="113">
        <f>IF(GEP!J43="-",,GEP!J43/2)</f>
        <v>78.875</v>
      </c>
      <c r="O44" s="267">
        <f>IF(GEP!K43="-",,GEP!K43)</f>
        <v>0</v>
      </c>
      <c r="P44" s="445">
        <f>IF(GEP!N43="-",,GEP!N43/3)</f>
        <v>8.3933333333333326</v>
      </c>
      <c r="Q44" s="445">
        <f>IF(GEP!N43="-",,GEP!N43/3)</f>
        <v>8.3933333333333326</v>
      </c>
      <c r="R44" s="445">
        <f>IF(GEP!N43="-",,GEP!N43/3)</f>
        <v>8.3933333333333326</v>
      </c>
      <c r="S44" s="449">
        <f>IF(GEP!O43="-",,GEP!O43/3)</f>
        <v>27.453333333333333</v>
      </c>
      <c r="T44" s="449">
        <f>IF(GEP!O43="-",,GEP!O43/3)</f>
        <v>27.453333333333333</v>
      </c>
      <c r="U44" s="449">
        <f>IF(GEP!O43="-",,GEP!O43/3)</f>
        <v>27.453333333333333</v>
      </c>
      <c r="V44" s="267">
        <f>IF(GEP!P43="-",IF(GEP!S43="-",,GEP!S43),IF(GEP!S43="-",GEP!P43,GEP!P43+GEP!S43))</f>
        <v>0.37</v>
      </c>
      <c r="W44" s="427">
        <v>0</v>
      </c>
      <c r="X44" s="427">
        <v>0</v>
      </c>
      <c r="Y44" s="113">
        <f>IF(GEP!L43="-",,GEP!L43)</f>
        <v>0</v>
      </c>
      <c r="Z44" s="113">
        <f>IF(GEP!M43="-",,GEP!M43)</f>
        <v>12.96</v>
      </c>
      <c r="AA44" s="113">
        <f>IF(GEP!Q43="-",,GEP!Q43)</f>
        <v>0.01</v>
      </c>
      <c r="AB44" s="113">
        <f>IF(GEP!R43="-",,GEP!R43)</f>
        <v>0.2</v>
      </c>
      <c r="AC44" s="113">
        <f>IF(GEP!P43="-",,GEP!P43)</f>
        <v>0.03</v>
      </c>
      <c r="AD44" s="113">
        <f>IF(GEP!S43="-",,GEP!S43)</f>
        <v>0.34</v>
      </c>
      <c r="AE44" s="149">
        <f t="shared" si="0"/>
        <v>427.32999999999987</v>
      </c>
      <c r="AF44" s="149">
        <f t="shared" si="1"/>
        <v>414.15999999999991</v>
      </c>
      <c r="AG44" s="106">
        <f>IF(C44='Table 1.1 complete'!A40,AE44-'Table 1.1 complete'!E40,"error")</f>
        <v>2.9999999999859028E-2</v>
      </c>
      <c r="AH44" s="113">
        <f>IF(C44='Table 1.2 complete'!A40,AE44-'Table 1.2 complete'!K40,"error")</f>
        <v>9.9999999998772182E-3</v>
      </c>
      <c r="AI44" s="106">
        <f>'Table 1.2 complete'!K40-'Table 1.1 complete'!E40</f>
        <v>1.999999999998181E-2</v>
      </c>
    </row>
    <row r="45" spans="1:36" x14ac:dyDescent="0.25">
      <c r="C45" s="166" t="str">
        <f>GEP_add1!P44</f>
        <v>Mexico</v>
      </c>
      <c r="D45" s="196">
        <f>GEP_add1!Q44</f>
        <v>21</v>
      </c>
      <c r="E45" s="166" t="str">
        <f>GEP_add1!R44</f>
        <v>OEC</v>
      </c>
      <c r="F45" s="126">
        <f>GEP_add1!S44</f>
        <v>8</v>
      </c>
      <c r="G45" s="267">
        <f>IF(GEP!F44="-",,GEP!F44)</f>
        <v>10.42</v>
      </c>
      <c r="H45" s="322">
        <f>IF(GEP!G44="-",,GEP!G44/2)</f>
        <v>13.64</v>
      </c>
      <c r="I45" s="322">
        <f>IF(GEP!G44="-",,GEP!G44/2)</f>
        <v>13.64</v>
      </c>
      <c r="J45" s="267">
        <f>IF(GEP!H44="-",,GEP!H44)</f>
        <v>7.4</v>
      </c>
      <c r="K45" s="321">
        <f>IF(GEP!I44="-",,GEP!I44/2)</f>
        <v>0.13500000000000001</v>
      </c>
      <c r="L45" s="321">
        <f>IF(GEP!I44="-",,GEP!I44/2)</f>
        <v>0.13500000000000001</v>
      </c>
      <c r="M45" s="113">
        <f>IF(GEP!J44="-",,GEP!J44/2)</f>
        <v>15.664999999999999</v>
      </c>
      <c r="N45" s="113">
        <f>IF(GEP!J44="-",,GEP!J44/2)</f>
        <v>15.664999999999999</v>
      </c>
      <c r="O45" s="267">
        <f>IF(GEP!K44="-",,GEP!K44)</f>
        <v>0</v>
      </c>
      <c r="P45" s="445">
        <f>IF(GEP!N44="-",,GEP!N44/3)</f>
        <v>17.419999999999998</v>
      </c>
      <c r="Q45" s="445">
        <f>IF(GEP!N44="-",,GEP!N44/3)</f>
        <v>17.419999999999998</v>
      </c>
      <c r="R45" s="445">
        <f>IF(GEP!N44="-",,GEP!N44/3)</f>
        <v>17.419999999999998</v>
      </c>
      <c r="S45" s="449">
        <f>IF(GEP!O44="-",,GEP!O44/3)</f>
        <v>41.87</v>
      </c>
      <c r="T45" s="449">
        <f>IF(GEP!O44="-",,GEP!O44/3)</f>
        <v>41.87</v>
      </c>
      <c r="U45" s="449">
        <f>IF(GEP!O44="-",,GEP!O44/3)</f>
        <v>41.87</v>
      </c>
      <c r="V45" s="267">
        <f>IF(GEP!P44="-",IF(GEP!S44="-",,GEP!S44),IF(GEP!S44="-",GEP!P44,GEP!P44+GEP!S44))</f>
        <v>2.65</v>
      </c>
      <c r="W45" s="427">
        <v>0</v>
      </c>
      <c r="X45" s="427">
        <v>0</v>
      </c>
      <c r="Y45" s="113">
        <f>IF(GEP!L44="-",,GEP!L44)</f>
        <v>0</v>
      </c>
      <c r="Z45" s="113">
        <f>IF(GEP!M44="-",,GEP!M44)</f>
        <v>0.23</v>
      </c>
      <c r="AA45" s="113">
        <f>IF(GEP!Q44="-",,GEP!Q44)</f>
        <v>0</v>
      </c>
      <c r="AB45" s="113">
        <f>IF(GEP!R44="-",,GEP!R44)</f>
        <v>0</v>
      </c>
      <c r="AC45" s="113">
        <f>IF(GEP!P44="-",,GEP!P44)</f>
        <v>2.62</v>
      </c>
      <c r="AD45" s="113">
        <f>IF(GEP!S44="-",,GEP!S44)</f>
        <v>0.03</v>
      </c>
      <c r="AE45" s="149">
        <f t="shared" si="0"/>
        <v>257.45</v>
      </c>
      <c r="AF45" s="149">
        <f t="shared" si="1"/>
        <v>257.21999999999997</v>
      </c>
      <c r="AG45" s="106">
        <f>IF(C45='Table 1.1 complete'!A41,AE45-'Table 1.1 complete'!E41,"error")</f>
        <v>-5.0000000000011369E-2</v>
      </c>
      <c r="AH45" s="113">
        <f>IF(C45='Table 1.2 complete'!A41,AE45-'Table 1.2 complete'!K41,"error")</f>
        <v>-9.9999999999909051E-3</v>
      </c>
      <c r="AI45" s="106">
        <f>'Table 1.2 complete'!K41-'Table 1.1 complete'!E41</f>
        <v>-4.0000000000020464E-2</v>
      </c>
    </row>
    <row r="46" spans="1:36" x14ac:dyDescent="0.25">
      <c r="C46" s="213" t="str">
        <f>GEP_add1!P45</f>
        <v>New Zealand</v>
      </c>
      <c r="D46" s="215">
        <f>GEP_add1!Q45</f>
        <v>23</v>
      </c>
      <c r="E46" s="213" t="str">
        <f>GEP_add1!R45</f>
        <v>OEC</v>
      </c>
      <c r="F46" s="217">
        <f>GEP_add1!S45</f>
        <v>8</v>
      </c>
      <c r="G46" s="267">
        <f>IF(GEP!F45="-",,GEP!F45)</f>
        <v>0</v>
      </c>
      <c r="H46" s="322">
        <f>IF(GEP!G45="-",,GEP!G45/2)</f>
        <v>11.76</v>
      </c>
      <c r="I46" s="322">
        <f>IF(GEP!G45="-",,GEP!G45/2)</f>
        <v>11.76</v>
      </c>
      <c r="J46" s="267">
        <f>IF(GEP!H45="-",,GEP!H45)</f>
        <v>3.46</v>
      </c>
      <c r="K46" s="321">
        <f>IF(GEP!I45="-",,GEP!I45/2)</f>
        <v>0.49</v>
      </c>
      <c r="L46" s="321">
        <f>IF(GEP!I45="-",,GEP!I45/2)</f>
        <v>0.49</v>
      </c>
      <c r="M46" s="113">
        <f>IF(GEP!J45="-",,GEP!J45/2)</f>
        <v>1.29</v>
      </c>
      <c r="N46" s="113">
        <f>IF(GEP!J45="-",,GEP!J45/2)</f>
        <v>1.29</v>
      </c>
      <c r="O46" s="267">
        <f>IF(GEP!K45="-",,GEP!K45)</f>
        <v>0</v>
      </c>
      <c r="P46" s="445">
        <f>IF(GEP!N45="-",,GEP!N45/3)</f>
        <v>0</v>
      </c>
      <c r="Q46" s="445">
        <f>IF(GEP!N45="-",,GEP!N45/3)</f>
        <v>0</v>
      </c>
      <c r="R46" s="445">
        <f>IF(GEP!N45="-",,GEP!N45/3)</f>
        <v>0</v>
      </c>
      <c r="S46" s="449">
        <f>IF(GEP!O45="-",,GEP!O45/3)</f>
        <v>3.9933333333333336</v>
      </c>
      <c r="T46" s="449">
        <f>IF(GEP!O45="-",,GEP!O45/3)</f>
        <v>3.9933333333333336</v>
      </c>
      <c r="U46" s="449">
        <f>IF(GEP!O45="-",,GEP!O45/3)</f>
        <v>3.9933333333333336</v>
      </c>
      <c r="V46" s="267">
        <f>IF(GEP!P45="-",IF(GEP!S45="-",,GEP!S45),IF(GEP!S45="-",GEP!P45,GEP!P45+GEP!S45))</f>
        <v>0.77999999999999992</v>
      </c>
      <c r="W46" s="427">
        <v>0</v>
      </c>
      <c r="X46" s="427">
        <v>0</v>
      </c>
      <c r="Y46" s="113">
        <f>IF(GEP!L45="-",,GEP!L45)</f>
        <v>0</v>
      </c>
      <c r="Z46" s="113">
        <f>IF(GEP!M45="-",,GEP!M45)</f>
        <v>0.55000000000000004</v>
      </c>
      <c r="AA46" s="113">
        <f>IF(GEP!Q45="-",,GEP!Q45)</f>
        <v>0</v>
      </c>
      <c r="AB46" s="113">
        <f>IF(GEP!R45="-",,GEP!R45)</f>
        <v>0</v>
      </c>
      <c r="AC46" s="113">
        <f>IF(GEP!P45="-",,GEP!P45)</f>
        <v>0.56999999999999995</v>
      </c>
      <c r="AD46" s="113">
        <f>IF(GEP!S45="-",,GEP!S45)</f>
        <v>0.21</v>
      </c>
      <c r="AE46" s="149">
        <f t="shared" si="0"/>
        <v>43.849999999999994</v>
      </c>
      <c r="AF46" s="149">
        <f t="shared" si="1"/>
        <v>43.3</v>
      </c>
      <c r="AG46" s="106">
        <f>IF(C46='Table 1.1 complete'!A42,AE46-'Table 1.1 complete'!E42,"error")</f>
        <v>4.9999999999997158E-2</v>
      </c>
      <c r="AH46" s="113">
        <f>IF(C46='Table 1.2 complete'!A42,AE46-'Table 1.2 complete'!K42,"error")</f>
        <v>-7.1054273576010019E-15</v>
      </c>
      <c r="AI46" s="106">
        <f>'Table 1.2 complete'!K42-'Table 1.1 complete'!E42</f>
        <v>5.0000000000004263E-2</v>
      </c>
    </row>
    <row r="47" spans="1:36" x14ac:dyDescent="0.25">
      <c r="C47" s="159" t="str">
        <f>GEP_add1!P46</f>
        <v>Norway</v>
      </c>
      <c r="D47" s="189">
        <f>GEP_add1!Q46</f>
        <v>24</v>
      </c>
      <c r="E47" s="159" t="str">
        <f>GEP_add1!R46</f>
        <v>OEC</v>
      </c>
      <c r="F47" s="119">
        <f>GEP_add1!S46</f>
        <v>8</v>
      </c>
      <c r="G47" s="267">
        <f>IF(GEP!F46="-",,GEP!F46)</f>
        <v>0</v>
      </c>
      <c r="H47" s="322">
        <f>IF(GEP!G46="-",,GEP!G46/2)</f>
        <v>67.525000000000006</v>
      </c>
      <c r="I47" s="322">
        <f>IF(GEP!G46="-",,GEP!G46/2)</f>
        <v>67.525000000000006</v>
      </c>
      <c r="J47" s="267">
        <f>IF(GEP!H46="-",,GEP!H46)</f>
        <v>0</v>
      </c>
      <c r="K47" s="321">
        <f>IF(GEP!I46="-",,GEP!I46/2)</f>
        <v>0.54</v>
      </c>
      <c r="L47" s="321">
        <f>IF(GEP!I46="-",,GEP!I46/2)</f>
        <v>0.54</v>
      </c>
      <c r="M47" s="113">
        <f>IF(GEP!J46="-",,GEP!J46/2)</f>
        <v>2.5000000000000001E-2</v>
      </c>
      <c r="N47" s="113">
        <f>IF(GEP!J46="-",,GEP!J46/2)</f>
        <v>2.5000000000000001E-2</v>
      </c>
      <c r="O47" s="267">
        <f>IF(GEP!K46="-",,GEP!K46)</f>
        <v>0</v>
      </c>
      <c r="P47" s="445">
        <f>IF(GEP!N46="-",,GEP!N46/3)</f>
        <v>0.01</v>
      </c>
      <c r="Q47" s="445">
        <f>IF(GEP!N46="-",,GEP!N46/3)</f>
        <v>0.01</v>
      </c>
      <c r="R47" s="445">
        <f>IF(GEP!N46="-",,GEP!N46/3)</f>
        <v>0.01</v>
      </c>
      <c r="S47" s="449">
        <f>IF(GEP!O46="-",,GEP!O46/3)</f>
        <v>0.24333333333333332</v>
      </c>
      <c r="T47" s="449">
        <f>IF(GEP!O46="-",,GEP!O46/3)</f>
        <v>0.24333333333333332</v>
      </c>
      <c r="U47" s="449">
        <f>IF(GEP!O46="-",,GEP!O46/3)</f>
        <v>0.24333333333333332</v>
      </c>
      <c r="V47" s="267">
        <f>IF(GEP!P46="-",IF(GEP!S46="-",,GEP!S46),IF(GEP!S46="-",GEP!P46,GEP!P46+GEP!S46))</f>
        <v>0.32</v>
      </c>
      <c r="W47" s="427">
        <v>0</v>
      </c>
      <c r="X47" s="427">
        <v>0</v>
      </c>
      <c r="Y47" s="113">
        <f>IF(GEP!L46="-",,GEP!L46)</f>
        <v>0</v>
      </c>
      <c r="Z47" s="113">
        <f>IF(GEP!M46="-",,GEP!M46)</f>
        <v>0.09</v>
      </c>
      <c r="AA47" s="113">
        <f>IF(GEP!Q46="-",,GEP!Q46)</f>
        <v>0.01</v>
      </c>
      <c r="AB47" s="113">
        <f>IF(GEP!R46="-",,GEP!R46)</f>
        <v>0.12</v>
      </c>
      <c r="AC47" s="113">
        <f>IF(GEP!P46="-",,GEP!P46)</f>
        <v>0.32</v>
      </c>
      <c r="AD47" s="113">
        <f>IF(GEP!S46="-",,GEP!S46)</f>
        <v>0</v>
      </c>
      <c r="AE47" s="149">
        <f t="shared" si="0"/>
        <v>137.47999999999999</v>
      </c>
      <c r="AF47" s="149">
        <f t="shared" si="1"/>
        <v>137.26</v>
      </c>
      <c r="AG47" s="106">
        <f>IF(C47='Table 1.1 complete'!A43,AE47-'Table 1.1 complete'!E43,"error")</f>
        <v>-2.0000000000010232E-2</v>
      </c>
      <c r="AH47" s="113">
        <f>IF(C47='Table 1.2 complete'!A43,AE47-'Table 1.2 complete'!K43,"error")</f>
        <v>9.9999999999909051E-3</v>
      </c>
      <c r="AI47" s="106">
        <f>'Table 1.2 complete'!K43-'Table 1.1 complete'!E43</f>
        <v>-3.0000000000001137E-2</v>
      </c>
    </row>
    <row r="48" spans="1:36" x14ac:dyDescent="0.25">
      <c r="C48" s="177" t="str">
        <f>GEP_add1!P47</f>
        <v>United States</v>
      </c>
      <c r="D48" s="208">
        <f>GEP_add1!Q47</f>
        <v>33</v>
      </c>
      <c r="E48" s="177" t="str">
        <f>GEP_add1!R47</f>
        <v>USA</v>
      </c>
      <c r="F48" s="136">
        <f>GEP_add1!S47</f>
        <v>9</v>
      </c>
      <c r="G48" s="267">
        <f>IF(GEP!F47="-",,GEP!F47)</f>
        <v>836.63</v>
      </c>
      <c r="H48" s="322">
        <f>IF(GEP!G47="-",,GEP!G47/2)</f>
        <v>137.77500000000001</v>
      </c>
      <c r="I48" s="322">
        <f>IF(GEP!G47="-",,GEP!G47/2)</f>
        <v>137.77500000000001</v>
      </c>
      <c r="J48" s="267">
        <f>IF(GEP!H47="-",,GEP!H47)</f>
        <v>16.8</v>
      </c>
      <c r="K48" s="321">
        <f>IF(GEP!I47="-",,GEP!I47/2)</f>
        <v>18.22</v>
      </c>
      <c r="L48" s="321">
        <f>IF(GEP!I47="-",,GEP!I47/2)</f>
        <v>18.22</v>
      </c>
      <c r="M48" s="113">
        <f>IF(GEP!J47="-",,GEP!J47/2)</f>
        <v>1012.115</v>
      </c>
      <c r="N48" s="113">
        <f>IF(GEP!J47="-",,GEP!J47/2)</f>
        <v>1012.115</v>
      </c>
      <c r="O48" s="267">
        <f>IF(GEP!K47="-",,GEP!K47)</f>
        <v>90.23</v>
      </c>
      <c r="P48" s="445">
        <f>IF(GEP!N47="-",,GEP!N47/3)</f>
        <v>26.046666666666667</v>
      </c>
      <c r="Q48" s="445">
        <f>IF(GEP!N47="-",,GEP!N47/3)</f>
        <v>26.046666666666667</v>
      </c>
      <c r="R48" s="445">
        <f>IF(GEP!N47="-",,GEP!N47/3)</f>
        <v>26.046666666666667</v>
      </c>
      <c r="S48" s="449">
        <f>IF(GEP!O47="-",,GEP!O47/3)</f>
        <v>305.06666666666666</v>
      </c>
      <c r="T48" s="449">
        <f>IF(GEP!O47="-",,GEP!O47/3)</f>
        <v>305.06666666666666</v>
      </c>
      <c r="U48" s="449">
        <f>IF(GEP!O47="-",,GEP!O47/3)</f>
        <v>305.06666666666666</v>
      </c>
      <c r="V48" s="267">
        <f>IF(GEP!P47="-",IF(GEP!S47="-",,GEP!S47),IF(GEP!S47="-",GEP!P47,GEP!P47+GEP!S47))</f>
        <v>49.54</v>
      </c>
      <c r="W48" s="427">
        <v>0</v>
      </c>
      <c r="X48" s="427">
        <v>0</v>
      </c>
      <c r="Y48" s="113">
        <f>IF(GEP!L47="-",,GEP!L47)</f>
        <v>0</v>
      </c>
      <c r="Z48" s="113">
        <f>IF(GEP!M47="-",,GEP!M47)</f>
        <v>3.99</v>
      </c>
      <c r="AA48" s="113">
        <f>IF(GEP!Q47="-",,GEP!Q47)</f>
        <v>5.01</v>
      </c>
      <c r="AB48" s="113">
        <f>IF(GEP!R47="-",,GEP!R47)</f>
        <v>17.100000000000001</v>
      </c>
      <c r="AC48" s="113">
        <f>IF(GEP!P47="-",,GEP!P47)</f>
        <v>41.99</v>
      </c>
      <c r="AD48" s="113">
        <f>IF(GEP!S47="-",,GEP!S47)</f>
        <v>7.55</v>
      </c>
      <c r="AE48" s="149">
        <f t="shared" si="0"/>
        <v>4348.8599999999997</v>
      </c>
      <c r="AF48" s="149">
        <f t="shared" si="1"/>
        <v>4322.7599999999993</v>
      </c>
      <c r="AG48" s="106">
        <f>IF(C48='Table 1.1 complete'!A44,AE48-'Table 1.1 complete'!E44,"error")</f>
        <v>-3.999999999996362E-2</v>
      </c>
      <c r="AH48" s="113">
        <f>IF(C48='Table 1.2 complete'!A44,AE48-'Table 1.2 complete'!K44,"error")</f>
        <v>0</v>
      </c>
      <c r="AI48" s="106">
        <f>'Table 1.2 complete'!K44-'Table 1.1 complete'!E44</f>
        <v>-3.999999999996362E-2</v>
      </c>
    </row>
    <row r="49" spans="3:35" x14ac:dyDescent="0.25">
      <c r="C49" s="99" t="str">
        <f>GEP_add1!P48</f>
        <v>Brazil</v>
      </c>
      <c r="D49" s="197">
        <f>GEP_add1!Q48</f>
        <v>69</v>
      </c>
      <c r="E49" s="99" t="str">
        <f>GEP_add1!R48</f>
        <v>BRZ</v>
      </c>
      <c r="F49" s="100">
        <f>GEP_add1!S48</f>
        <v>10</v>
      </c>
      <c r="G49" s="267">
        <f>IF(GEP!F48="-",,GEP!F48)</f>
        <v>12.35</v>
      </c>
      <c r="H49" s="322">
        <f>IF(GEP!G48="-",,GEP!G48/2)</f>
        <v>187.01</v>
      </c>
      <c r="I49" s="322">
        <f>IF(GEP!G48="-",,GEP!G48/2)</f>
        <v>187.01</v>
      </c>
      <c r="J49" s="267">
        <f>IF(GEP!H48="-",,GEP!H48)</f>
        <v>0</v>
      </c>
      <c r="K49" s="321">
        <f>IF(GEP!I48="-",,GEP!I48/2)</f>
        <v>1</v>
      </c>
      <c r="L49" s="321">
        <f>IF(GEP!I48="-",,GEP!I48/2)</f>
        <v>1</v>
      </c>
      <c r="M49" s="113">
        <f>IF(GEP!J48="-",,GEP!J48/2)</f>
        <v>0.05</v>
      </c>
      <c r="N49" s="113">
        <f>IF(GEP!J48="-",,GEP!J48/2)</f>
        <v>0.05</v>
      </c>
      <c r="O49" s="267">
        <f>IF(GEP!K48="-",,GEP!K48)</f>
        <v>5.96</v>
      </c>
      <c r="P49" s="445">
        <f>IF(GEP!N48="-",,GEP!N48/3)</f>
        <v>4.59</v>
      </c>
      <c r="Q49" s="445">
        <f>IF(GEP!N48="-",,GEP!N48/3)</f>
        <v>4.59</v>
      </c>
      <c r="R49" s="445">
        <f>IF(GEP!N48="-",,GEP!N48/3)</f>
        <v>4.59</v>
      </c>
      <c r="S49" s="449">
        <f>IF(GEP!O48="-",,GEP!O48/3)</f>
        <v>5.166666666666667</v>
      </c>
      <c r="T49" s="449">
        <f>IF(GEP!O48="-",,GEP!O48/3)</f>
        <v>5.166666666666667</v>
      </c>
      <c r="U49" s="449">
        <f>IF(GEP!O48="-",,GEP!O48/3)</f>
        <v>5.166666666666667</v>
      </c>
      <c r="V49" s="267">
        <f>IF(GEP!P48="-",IF(GEP!S48="-",,GEP!S48),IF(GEP!S48="-",GEP!P48,GEP!P48+GEP!S48))</f>
        <v>17.399999999999999</v>
      </c>
      <c r="W49" s="427">
        <v>0</v>
      </c>
      <c r="X49" s="427">
        <v>0</v>
      </c>
      <c r="Y49" s="113">
        <f>IF(GEP!L48="-",,GEP!L48)</f>
        <v>0</v>
      </c>
      <c r="Z49" s="113">
        <f>IF(GEP!M48="-",,GEP!M48)</f>
        <v>4.0599999999999996</v>
      </c>
      <c r="AA49" s="113">
        <f>IF(GEP!Q48="-",,GEP!Q48)</f>
        <v>0</v>
      </c>
      <c r="AB49" s="113">
        <f>IF(GEP!R48="-",,GEP!R48)</f>
        <v>0</v>
      </c>
      <c r="AC49" s="113">
        <f>IF(GEP!P48="-",,GEP!P48)</f>
        <v>17.399999999999999</v>
      </c>
      <c r="AD49" s="113">
        <f>IF(GEP!S48="-",,GEP!S48)</f>
        <v>0</v>
      </c>
      <c r="AE49" s="149">
        <f t="shared" si="0"/>
        <v>445.15999999999997</v>
      </c>
      <c r="AF49" s="149">
        <f t="shared" si="1"/>
        <v>441.09999999999997</v>
      </c>
      <c r="AG49" s="106">
        <f>IF(C49='Table 1.1 complete'!A45,AE49-'Table 1.1 complete'!E45,"error")</f>
        <v>5.999999999994543E-2</v>
      </c>
      <c r="AH49" s="113">
        <f>IF(C49='Table 1.2 complete'!A45,AE49-'Table 1.2 complete'!K45,"error")</f>
        <v>1.999999999998181E-2</v>
      </c>
      <c r="AI49" s="106">
        <f>'Table 1.2 complete'!K45-'Table 1.1 complete'!E45</f>
        <v>3.999999999996362E-2</v>
      </c>
    </row>
    <row r="50" spans="3:35" x14ac:dyDescent="0.25">
      <c r="C50" s="99" t="str">
        <f>GEP_add1!P49</f>
        <v>Russia</v>
      </c>
      <c r="D50" s="197">
        <f>GEP_add1!Q49</f>
        <v>135</v>
      </c>
      <c r="E50" s="99" t="str">
        <f>GEP_add1!R49</f>
        <v>RUS</v>
      </c>
      <c r="F50" s="100">
        <f>GEP_add1!S49</f>
        <v>11</v>
      </c>
      <c r="G50" s="267">
        <f>IF(GEP!F49="-",,GEP!F49)</f>
        <v>160.04</v>
      </c>
      <c r="H50" s="322">
        <f>IF(GEP!G49="-",,GEP!G49/2)</f>
        <v>89.49</v>
      </c>
      <c r="I50" s="322">
        <f>IF(GEP!G49="-",,GEP!G49/2)</f>
        <v>89.49</v>
      </c>
      <c r="J50" s="267">
        <f>IF(GEP!H49="-",,GEP!H49)</f>
        <v>0.49</v>
      </c>
      <c r="K50" s="321">
        <f>IF(GEP!I49="-",,GEP!I49/2)</f>
        <v>5.0000000000000001E-3</v>
      </c>
      <c r="L50" s="321">
        <f>IF(GEP!I49="-",,GEP!I49/2)</f>
        <v>5.0000000000000001E-3</v>
      </c>
      <c r="M50" s="113">
        <f>IF(GEP!J49="-",,GEP!J49/2)</f>
        <v>50.05</v>
      </c>
      <c r="N50" s="113">
        <f>IF(GEP!J49="-",,GEP!J49/2)</f>
        <v>50.05</v>
      </c>
      <c r="O50" s="267">
        <f>IF(GEP!K49="-",,GEP!K49)</f>
        <v>61.52</v>
      </c>
      <c r="P50" s="445">
        <f>IF(GEP!N49="-",,GEP!N49/3)</f>
        <v>5.7433333333333332</v>
      </c>
      <c r="Q50" s="445">
        <f>IF(GEP!N49="-",,GEP!N49/3)</f>
        <v>5.7433333333333332</v>
      </c>
      <c r="R50" s="445">
        <f>IF(GEP!N49="-",,GEP!N49/3)</f>
        <v>5.7433333333333332</v>
      </c>
      <c r="S50" s="449">
        <f>IF(GEP!O49="-",,GEP!O49/3)</f>
        <v>162.23666666666665</v>
      </c>
      <c r="T50" s="449">
        <f>IF(GEP!O49="-",,GEP!O49/3)</f>
        <v>162.23666666666665</v>
      </c>
      <c r="U50" s="449">
        <f>IF(GEP!O49="-",,GEP!O49/3)</f>
        <v>162.23666666666665</v>
      </c>
      <c r="V50" s="267">
        <f>IF(GEP!P49="-",IF(GEP!S49="-",,GEP!S49),IF(GEP!S49="-",GEP!P49,GEP!P49+GEP!S49))</f>
        <v>0.01</v>
      </c>
      <c r="W50" s="427">
        <v>0</v>
      </c>
      <c r="X50" s="427">
        <v>0</v>
      </c>
      <c r="Y50" s="113">
        <f>IF(GEP!L49="-",,GEP!L49)</f>
        <v>0.75</v>
      </c>
      <c r="Z50" s="113">
        <f>IF(GEP!M49="-",,GEP!M49)</f>
        <v>7.51</v>
      </c>
      <c r="AA50" s="113">
        <f>IF(GEP!Q49="-",,GEP!Q49)</f>
        <v>1.98</v>
      </c>
      <c r="AB50" s="113">
        <f>IF(GEP!R49="-",,GEP!R49)</f>
        <v>0</v>
      </c>
      <c r="AC50" s="113">
        <f>IF(GEP!P49="-",,GEP!P49)</f>
        <v>0.01</v>
      </c>
      <c r="AD50" s="113">
        <f>IF(GEP!S49="-",,GEP!S49)</f>
        <v>0</v>
      </c>
      <c r="AE50" s="149">
        <f t="shared" si="0"/>
        <v>1015.33</v>
      </c>
      <c r="AF50" s="149">
        <f t="shared" si="1"/>
        <v>1005.09</v>
      </c>
      <c r="AG50" s="106">
        <f>IF(C50='Table 1.1 complete'!A46,AE50-'Table 1.1 complete'!E46,"error")</f>
        <v>3.0000000000086402E-2</v>
      </c>
      <c r="AH50" s="113">
        <f>IF(C50='Table 1.2 complete'!A46,AE50-'Table 1.2 complete'!K46,"error")</f>
        <v>0</v>
      </c>
      <c r="AI50" s="106">
        <f>'Table 1.2 complete'!K46-'Table 1.1 complete'!E46</f>
        <v>3.0000000000086402E-2</v>
      </c>
    </row>
    <row r="51" spans="3:35" x14ac:dyDescent="0.25">
      <c r="C51" s="168" t="str">
        <f>GEP_add1!P50</f>
        <v>India</v>
      </c>
      <c r="D51" s="199">
        <f>GEP_add1!Q50</f>
        <v>94</v>
      </c>
      <c r="E51" s="168" t="str">
        <f>GEP_add1!R50</f>
        <v>IND</v>
      </c>
      <c r="F51" s="128">
        <f>GEP_add1!S50</f>
        <v>12</v>
      </c>
      <c r="G51" s="267">
        <f>IF(GEP!F50="-",,GEP!F50)</f>
        <v>16.78</v>
      </c>
      <c r="H51" s="322">
        <f>IF(GEP!G50="-",,GEP!G50/2)</f>
        <v>61.914999999999999</v>
      </c>
      <c r="I51" s="322">
        <f>IF(GEP!G50="-",,GEP!G50/2)</f>
        <v>61.914999999999999</v>
      </c>
      <c r="J51" s="267">
        <f>IF(GEP!H50="-",,GEP!H50)</f>
        <v>0</v>
      </c>
      <c r="K51" s="321">
        <f>IF(GEP!I50="-",,GEP!I50/2)</f>
        <v>5.835</v>
      </c>
      <c r="L51" s="321">
        <f>IF(GEP!I50="-",,GEP!I50/2)</f>
        <v>5.835</v>
      </c>
      <c r="M51" s="113">
        <f>IF(GEP!J50="-",,GEP!J50/2)</f>
        <v>258.28500000000003</v>
      </c>
      <c r="N51" s="113">
        <f>IF(GEP!J50="-",,GEP!J50/2)</f>
        <v>258.28500000000003</v>
      </c>
      <c r="O51" s="267">
        <f>IF(GEP!K50="-",,GEP!K50)</f>
        <v>18.87</v>
      </c>
      <c r="P51" s="445">
        <f>IF(GEP!N50="-",,GEP!N50/3)</f>
        <v>11.840000000000002</v>
      </c>
      <c r="Q51" s="445">
        <f>IF(GEP!N50="-",,GEP!N50/3)</f>
        <v>11.840000000000002</v>
      </c>
      <c r="R51" s="445">
        <f>IF(GEP!N50="-",,GEP!N50/3)</f>
        <v>11.840000000000002</v>
      </c>
      <c r="S51" s="449">
        <f>IF(GEP!O50="-",,GEP!O50/3)</f>
        <v>21.92</v>
      </c>
      <c r="T51" s="449">
        <f>IF(GEP!O50="-",,GEP!O50/3)</f>
        <v>21.92</v>
      </c>
      <c r="U51" s="449">
        <f>IF(GEP!O50="-",,GEP!O50/3)</f>
        <v>21.92</v>
      </c>
      <c r="V51" s="267">
        <f>IF(GEP!P50="-",IF(GEP!S50="-",,GEP!S50),IF(GEP!S50="-",GEP!P50,GEP!P50+GEP!S50))</f>
        <v>1.95</v>
      </c>
      <c r="W51" s="427">
        <v>0</v>
      </c>
      <c r="X51" s="427">
        <v>0</v>
      </c>
      <c r="Y51" s="113">
        <f>IF(GEP!L50="-",,GEP!L50)</f>
        <v>0</v>
      </c>
      <c r="Z51" s="113">
        <f>IF(GEP!M50="-",,GEP!M50)</f>
        <v>1.48</v>
      </c>
      <c r="AA51" s="113">
        <f>IF(GEP!Q50="-",,GEP!Q50)</f>
        <v>0</v>
      </c>
      <c r="AB51" s="113">
        <f>IF(GEP!R50="-",,GEP!R50)</f>
        <v>0</v>
      </c>
      <c r="AC51" s="113">
        <f>IF(GEP!P50="-",,GEP!P50)</f>
        <v>1.95</v>
      </c>
      <c r="AD51" s="113">
        <f>IF(GEP!S50="-",,GEP!S50)</f>
        <v>0</v>
      </c>
      <c r="AE51" s="149">
        <f t="shared" si="0"/>
        <v>792.43000000000018</v>
      </c>
      <c r="AF51" s="149">
        <f t="shared" si="1"/>
        <v>790.95000000000016</v>
      </c>
      <c r="AG51" s="106">
        <f>IF(C51='Table 1.1 complete'!A47,AE51-'Table 1.1 complete'!E47,"error")</f>
        <v>3.0000000000200089E-2</v>
      </c>
      <c r="AH51" s="113">
        <f>IF(C51='Table 1.2 complete'!A47,AE51-'Table 1.2 complete'!K47,"error")</f>
        <v>1.0000000000218279E-2</v>
      </c>
      <c r="AI51" s="106">
        <f>'Table 1.2 complete'!K47-'Table 1.1 complete'!E47</f>
        <v>1.999999999998181E-2</v>
      </c>
    </row>
    <row r="52" spans="3:35" x14ac:dyDescent="0.25">
      <c r="C52" s="168" t="str">
        <f>GEP_add1!P51</f>
        <v>Hong Kong</v>
      </c>
      <c r="D52" s="199">
        <f>GEP_add1!Q51</f>
        <v>111</v>
      </c>
      <c r="E52" s="168" t="str">
        <f>GEP_add1!R51</f>
        <v>CHI</v>
      </c>
      <c r="F52" s="128">
        <f>GEP_add1!S51</f>
        <v>13</v>
      </c>
      <c r="G52" s="267">
        <f>IF(GEP!F51="-",,GEP!F51)</f>
        <v>0</v>
      </c>
      <c r="H52" s="322">
        <f>IF(GEP!G51="-",,GEP!G51/2)</f>
        <v>0</v>
      </c>
      <c r="I52" s="322">
        <f>IF(GEP!G51="-",,GEP!G51/2)</f>
        <v>0</v>
      </c>
      <c r="J52" s="267">
        <f>IF(GEP!H51="-",,GEP!H51)</f>
        <v>0</v>
      </c>
      <c r="K52" s="321">
        <f>IF(GEP!I51="-",,GEP!I51/2)</f>
        <v>0</v>
      </c>
      <c r="L52" s="321">
        <f>IF(GEP!I51="-",,GEP!I51/2)</f>
        <v>0</v>
      </c>
      <c r="M52" s="113">
        <f>IF(GEP!J51="-",,GEP!J51/2)</f>
        <v>14.27</v>
      </c>
      <c r="N52" s="113">
        <f>IF(GEP!J51="-",,GEP!J51/2)</f>
        <v>14.27</v>
      </c>
      <c r="O52" s="267">
        <f>IF(GEP!K51="-",,GEP!K51)</f>
        <v>0</v>
      </c>
      <c r="P52" s="445">
        <f>IF(GEP!N51="-",,GEP!N51/3)</f>
        <v>3.3333333333333333E-2</v>
      </c>
      <c r="Q52" s="445">
        <f>IF(GEP!N51="-",,GEP!N51/3)</f>
        <v>3.3333333333333333E-2</v>
      </c>
      <c r="R52" s="445">
        <f>IF(GEP!N51="-",,GEP!N51/3)</f>
        <v>3.3333333333333333E-2</v>
      </c>
      <c r="S52" s="449">
        <f>IF(GEP!O51="-",,GEP!O51/3)</f>
        <v>3.44</v>
      </c>
      <c r="T52" s="449">
        <f>IF(GEP!O51="-",,GEP!O51/3)</f>
        <v>3.44</v>
      </c>
      <c r="U52" s="449">
        <f>IF(GEP!O51="-",,GEP!O51/3)</f>
        <v>3.44</v>
      </c>
      <c r="V52" s="267">
        <f>IF(GEP!P51="-",IF(GEP!S51="-",,GEP!S51),IF(GEP!S51="-",GEP!P51,GEP!P51+GEP!S51))</f>
        <v>0</v>
      </c>
      <c r="W52" s="427">
        <v>0</v>
      </c>
      <c r="X52" s="427">
        <v>0</v>
      </c>
      <c r="Y52" s="113">
        <f>IF(GEP!L51="-",,GEP!L51)</f>
        <v>0</v>
      </c>
      <c r="Z52" s="113">
        <f>IF(GEP!M51="-",,GEP!M51)</f>
        <v>0</v>
      </c>
      <c r="AA52" s="113">
        <f>IF(GEP!Q51="-",,GEP!Q51)</f>
        <v>0</v>
      </c>
      <c r="AB52" s="113">
        <f>IF(GEP!R51="-",,GEP!R51)</f>
        <v>0</v>
      </c>
      <c r="AC52" s="113">
        <f>IF(GEP!P51="-",,GEP!P51)</f>
        <v>0</v>
      </c>
      <c r="AD52" s="113">
        <f>IF(GEP!S51="-",,GEP!S51)</f>
        <v>0</v>
      </c>
      <c r="AE52" s="149">
        <f t="shared" si="0"/>
        <v>38.96</v>
      </c>
      <c r="AF52" s="149">
        <f t="shared" si="1"/>
        <v>38.96</v>
      </c>
      <c r="AG52" s="106">
        <f>IF(C52='Table 1.1 complete'!A48,AE52-'Table 1.1 complete'!E48,"error")</f>
        <v>-3.9999999999999147E-2</v>
      </c>
      <c r="AH52" s="113">
        <f>IF(C52='Table 1.2 complete'!A48,AE52-'Table 1.2 complete'!K48,"error")</f>
        <v>9.9999999999980105E-3</v>
      </c>
      <c r="AI52" s="106">
        <f>'Table 1.2 complete'!K48-'Table 1.1 complete'!E48</f>
        <v>-4.9999999999997158E-2</v>
      </c>
    </row>
    <row r="53" spans="3:35" x14ac:dyDescent="0.25">
      <c r="C53" s="170" t="str">
        <f>GEP_add1!P52</f>
        <v>PR of China</v>
      </c>
      <c r="D53" s="201">
        <f>GEP_add1!Q52</f>
        <v>110</v>
      </c>
      <c r="E53" s="170" t="str">
        <f>GEP_add1!R52</f>
        <v>CHI</v>
      </c>
      <c r="F53" s="130">
        <f>GEP_add1!S52</f>
        <v>13</v>
      </c>
      <c r="G53" s="267">
        <f>IF(GEP!F52="-",,GEP!F52)</f>
        <v>62.13</v>
      </c>
      <c r="H53" s="322">
        <f>IF(GEP!G52="-",,GEP!G52/2)</f>
        <v>242.63</v>
      </c>
      <c r="I53" s="322">
        <f>IF(GEP!G52="-",,GEP!G52/2)</f>
        <v>242.63</v>
      </c>
      <c r="J53" s="267">
        <f>IF(GEP!H52="-",,GEP!H52)</f>
        <v>0</v>
      </c>
      <c r="K53" s="321">
        <f>IF(GEP!I52="-",,GEP!I52/2)</f>
        <v>4.4550000000000001</v>
      </c>
      <c r="L53" s="321">
        <f>IF(GEP!I52="-",,GEP!I52/2)</f>
        <v>4.4550000000000001</v>
      </c>
      <c r="M53" s="113">
        <f>IF(GEP!J52="-",,GEP!J52/2)</f>
        <v>1317.155</v>
      </c>
      <c r="N53" s="113">
        <f>IF(GEP!J52="-",,GEP!J52/2)</f>
        <v>1317.155</v>
      </c>
      <c r="O53" s="267">
        <f>IF(GEP!K52="-",,GEP!K52)</f>
        <v>0</v>
      </c>
      <c r="P53" s="445">
        <f>IF(GEP!N52="-",,GEP!N52/3)</f>
        <v>11.216666666666667</v>
      </c>
      <c r="Q53" s="445">
        <f>IF(GEP!N52="-",,GEP!N52/3)</f>
        <v>11.216666666666667</v>
      </c>
      <c r="R53" s="445">
        <f>IF(GEP!N52="-",,GEP!N52/3)</f>
        <v>11.216666666666667</v>
      </c>
      <c r="S53" s="449">
        <f>IF(GEP!O52="-",,GEP!O52/3)</f>
        <v>10.18</v>
      </c>
      <c r="T53" s="449">
        <f>IF(GEP!O52="-",,GEP!O52/3)</f>
        <v>10.18</v>
      </c>
      <c r="U53" s="449">
        <f>IF(GEP!O52="-",,GEP!O52/3)</f>
        <v>10.18</v>
      </c>
      <c r="V53" s="267">
        <f>IF(GEP!P52="-",IF(GEP!S52="-",,GEP!S52),IF(GEP!S52="-",GEP!P52,GEP!P52+GEP!S52))</f>
        <v>2.31</v>
      </c>
      <c r="W53" s="427">
        <v>0</v>
      </c>
      <c r="X53" s="427">
        <v>0</v>
      </c>
      <c r="Y53" s="113">
        <f>IF(GEP!L52="-",,GEP!L52)</f>
        <v>0</v>
      </c>
      <c r="Z53" s="113">
        <f>IF(GEP!M52="-",,GEP!M52)</f>
        <v>22.12</v>
      </c>
      <c r="AA53" s="113">
        <f>IF(GEP!Q52="-",,GEP!Q52)</f>
        <v>0</v>
      </c>
      <c r="AB53" s="113">
        <f>IF(GEP!R52="-",,GEP!R52)</f>
        <v>0</v>
      </c>
      <c r="AC53" s="113">
        <f>IF(GEP!P52="-",,GEP!P52)</f>
        <v>2.31</v>
      </c>
      <c r="AD53" s="113">
        <f>IF(GEP!S52="-",,GEP!S52)</f>
        <v>0</v>
      </c>
      <c r="AE53" s="149">
        <f t="shared" si="0"/>
        <v>3279.2299999999991</v>
      </c>
      <c r="AF53" s="149">
        <f t="shared" si="1"/>
        <v>3257.1099999999992</v>
      </c>
      <c r="AG53" s="106">
        <f>IF(C53='Table 1.1 complete'!A49,AE53-'Table 1.1 complete'!E49,"error")</f>
        <v>2.9999999999290594E-2</v>
      </c>
      <c r="AH53" s="113">
        <f>IF(C53='Table 1.2 complete'!A49,AE53-'Table 1.2 complete'!K49,"error")</f>
        <v>-9.0949470177292824E-13</v>
      </c>
      <c r="AI53" s="106">
        <f>'Table 1.2 complete'!K49-'Table 1.1 complete'!E49</f>
        <v>3.0000000000200089E-2</v>
      </c>
    </row>
    <row r="54" spans="3:35" x14ac:dyDescent="0.25">
      <c r="C54" s="170" t="str">
        <f>GEP_add1!P53</f>
        <v>South Africa</v>
      </c>
      <c r="D54" s="201">
        <f>GEP_add1!Q53</f>
        <v>58</v>
      </c>
      <c r="E54" s="170" t="str">
        <f>GEP_add1!R53</f>
        <v>RSA</v>
      </c>
      <c r="F54" s="130">
        <f>GEP_add1!S53</f>
        <v>14</v>
      </c>
      <c r="G54" s="267">
        <f>IF(GEP!F53="-",,GEP!F53)</f>
        <v>11.32</v>
      </c>
      <c r="H54" s="322">
        <f>IF(GEP!G53="-",,GEP!G53/2)</f>
        <v>1.9550000000000001</v>
      </c>
      <c r="I54" s="322">
        <f>IF(GEP!G53="-",,GEP!G53/2)</f>
        <v>1.9550000000000001</v>
      </c>
      <c r="J54" s="267">
        <f>IF(GEP!H53="-",,GEP!H53)</f>
        <v>0</v>
      </c>
      <c r="K54" s="321">
        <f>IF(GEP!I53="-",,GEP!I53/2)</f>
        <v>2.5000000000000001E-2</v>
      </c>
      <c r="L54" s="321">
        <f>IF(GEP!I53="-",,GEP!I53/2)</f>
        <v>2.5000000000000001E-2</v>
      </c>
      <c r="M54" s="113">
        <f>IF(GEP!J53="-",,GEP!J53/2)</f>
        <v>123.395</v>
      </c>
      <c r="N54" s="113">
        <f>IF(GEP!J53="-",,GEP!J53/2)</f>
        <v>123.395</v>
      </c>
      <c r="O54" s="267">
        <f>IF(GEP!K53="-",,GEP!K53)</f>
        <v>0</v>
      </c>
      <c r="P54" s="445">
        <f>IF(GEP!N53="-",,GEP!N53/3)</f>
        <v>0.3833333333333333</v>
      </c>
      <c r="Q54" s="445">
        <f>IF(GEP!N53="-",,GEP!N53/3)</f>
        <v>0.3833333333333333</v>
      </c>
      <c r="R54" s="445">
        <f>IF(GEP!N53="-",,GEP!N53/3)</f>
        <v>0.3833333333333333</v>
      </c>
      <c r="S54" s="449">
        <f>IF(GEP!O53="-",,GEP!O53/3)</f>
        <v>0</v>
      </c>
      <c r="T54" s="449">
        <f>IF(GEP!O53="-",,GEP!O53/3)</f>
        <v>0</v>
      </c>
      <c r="U54" s="449">
        <f>IF(GEP!O53="-",,GEP!O53/3)</f>
        <v>0</v>
      </c>
      <c r="V54" s="267">
        <f>IF(GEP!P53="-",IF(GEP!S53="-",,GEP!S53),IF(GEP!S53="-",GEP!P53,GEP!P53+GEP!S53))</f>
        <v>0.26</v>
      </c>
      <c r="W54" s="427">
        <v>0</v>
      </c>
      <c r="X54" s="427">
        <v>0</v>
      </c>
      <c r="Y54" s="113">
        <f>IF(GEP!L53="-",,GEP!L53)</f>
        <v>0</v>
      </c>
      <c r="Z54" s="113">
        <f>IF(GEP!M53="-",,GEP!M53)</f>
        <v>0</v>
      </c>
      <c r="AA54" s="113">
        <f>IF(GEP!Q53="-",,GEP!Q53)</f>
        <v>0</v>
      </c>
      <c r="AB54" s="113">
        <f>IF(GEP!R53="-",,GEP!R53)</f>
        <v>0</v>
      </c>
      <c r="AC54" s="113">
        <f>IF(GEP!P53="-",,GEP!P53)</f>
        <v>0.26</v>
      </c>
      <c r="AD54" s="113">
        <f>IF(GEP!S53="-",,GEP!S53)</f>
        <v>0</v>
      </c>
      <c r="AE54" s="149">
        <f t="shared" si="0"/>
        <v>263.47999999999996</v>
      </c>
      <c r="AF54" s="149">
        <f t="shared" si="1"/>
        <v>263.47999999999996</v>
      </c>
      <c r="AG54" s="106">
        <f>IF(C54='Table 1.1 complete'!A50,AE54-'Table 1.1 complete'!E50,"error")</f>
        <v>-2.0000000000038654E-2</v>
      </c>
      <c r="AH54" s="113">
        <f>IF(C54='Table 1.2 complete'!A50,AE54-'Table 1.2 complete'!K50,"error")</f>
        <v>-5.6843418860808015E-14</v>
      </c>
      <c r="AI54" s="106">
        <f>'Table 1.2 complete'!K50-'Table 1.1 complete'!E50</f>
        <v>-1.999999999998181E-2</v>
      </c>
    </row>
    <row r="55" spans="3:35" x14ac:dyDescent="0.25">
      <c r="C55" s="170" t="str">
        <f>GEP_add1!P54</f>
        <v xml:space="preserve">Algeria       </v>
      </c>
      <c r="D55" s="201">
        <f>GEP_add1!Q54</f>
        <v>38</v>
      </c>
      <c r="E55" s="170" t="str">
        <f>GEP_add1!R54</f>
        <v>ARB</v>
      </c>
      <c r="F55" s="130">
        <f>GEP_add1!S54</f>
        <v>15</v>
      </c>
      <c r="G55" s="267">
        <f>IF(GEP!F54="-",,GEP!F54)</f>
        <v>0</v>
      </c>
      <c r="H55" s="322">
        <f>IF(GEP!G54="-",,GEP!G54/2)</f>
        <v>0.115</v>
      </c>
      <c r="I55" s="322">
        <f>IF(GEP!G54="-",,GEP!G54/2)</f>
        <v>0.115</v>
      </c>
      <c r="J55" s="267">
        <f>IF(GEP!H54="-",,GEP!H54)</f>
        <v>0</v>
      </c>
      <c r="K55" s="321">
        <f>IF(GEP!I54="-",,GEP!I54/2)</f>
        <v>0</v>
      </c>
      <c r="L55" s="321">
        <f>IF(GEP!I54="-",,GEP!I54/2)</f>
        <v>0</v>
      </c>
      <c r="M55" s="113">
        <f>IF(GEP!J54="-",,GEP!J54/2)</f>
        <v>0</v>
      </c>
      <c r="N55" s="113">
        <f>IF(GEP!J54="-",,GEP!J54/2)</f>
        <v>0</v>
      </c>
      <c r="O55" s="267">
        <f>IF(GEP!K54="-",,GEP!K54)</f>
        <v>0</v>
      </c>
      <c r="P55" s="445">
        <f>IF(GEP!N54="-",,GEP!N54/3)</f>
        <v>0.26333333333333336</v>
      </c>
      <c r="Q55" s="445">
        <f>IF(GEP!N54="-",,GEP!N54/3)</f>
        <v>0.26333333333333336</v>
      </c>
      <c r="R55" s="445">
        <f>IF(GEP!N54="-",,GEP!N54/3)</f>
        <v>0.26333333333333336</v>
      </c>
      <c r="S55" s="449">
        <f>IF(GEP!O54="-",,GEP!O54/3)</f>
        <v>12.06</v>
      </c>
      <c r="T55" s="449">
        <f>IF(GEP!O54="-",,GEP!O54/3)</f>
        <v>12.06</v>
      </c>
      <c r="U55" s="449">
        <f>IF(GEP!O54="-",,GEP!O54/3)</f>
        <v>12.06</v>
      </c>
      <c r="V55" s="267">
        <f>IF(GEP!P54="-",IF(GEP!S54="-",,GEP!S54),IF(GEP!S54="-",GEP!P54,GEP!P54+GEP!S54))</f>
        <v>0</v>
      </c>
      <c r="W55" s="427">
        <v>0</v>
      </c>
      <c r="X55" s="427">
        <v>0</v>
      </c>
      <c r="Y55" s="113">
        <f>IF(GEP!L54="-",,GEP!L54)</f>
        <v>0</v>
      </c>
      <c r="Z55" s="113">
        <f>IF(GEP!M54="-",,GEP!M54)</f>
        <v>0</v>
      </c>
      <c r="AA55" s="113">
        <f>IF(GEP!Q54="-",,GEP!Q54)</f>
        <v>0</v>
      </c>
      <c r="AB55" s="113">
        <f>IF(GEP!R54="-",,GEP!R54)</f>
        <v>0</v>
      </c>
      <c r="AC55" s="113">
        <f>IF(GEP!P54="-",,GEP!P54)</f>
        <v>0</v>
      </c>
      <c r="AD55" s="113">
        <f>IF(GEP!S54="-",,GEP!S54)</f>
        <v>0</v>
      </c>
      <c r="AE55" s="149">
        <f t="shared" si="0"/>
        <v>37.200000000000003</v>
      </c>
      <c r="AF55" s="149">
        <f t="shared" si="1"/>
        <v>37.200000000000003</v>
      </c>
      <c r="AG55" s="106">
        <f>IF(C55='Table 1.1 complete'!A51,AE55-'Table 1.1 complete'!E51,"error")</f>
        <v>0</v>
      </c>
      <c r="AH55" s="113">
        <f>IF(C55='Table 1.2 complete'!A51,AE55-'Table 1.2 complete'!K51,"error")</f>
        <v>0</v>
      </c>
      <c r="AI55" s="106">
        <f>'Table 1.2 complete'!K51-'Table 1.1 complete'!E51</f>
        <v>0</v>
      </c>
    </row>
    <row r="56" spans="3:35" x14ac:dyDescent="0.25">
      <c r="C56" s="169" t="str">
        <f>GEP_add1!P55</f>
        <v>Bahrain</v>
      </c>
      <c r="D56" s="200">
        <f>GEP_add1!Q55</f>
        <v>141</v>
      </c>
      <c r="E56" s="169" t="str">
        <f>GEP_add1!R55</f>
        <v>ARB</v>
      </c>
      <c r="F56" s="129">
        <f>GEP_add1!S55</f>
        <v>15</v>
      </c>
      <c r="G56" s="267">
        <f>IF(GEP!F55="-",,GEP!F55)</f>
        <v>0</v>
      </c>
      <c r="H56" s="322">
        <f>IF(GEP!G55="-",,GEP!G55/2)</f>
        <v>0</v>
      </c>
      <c r="I56" s="322">
        <f>IF(GEP!G55="-",,GEP!G55/2)</f>
        <v>0</v>
      </c>
      <c r="J56" s="267">
        <f>IF(GEP!H55="-",,GEP!H55)</f>
        <v>0</v>
      </c>
      <c r="K56" s="321">
        <f>IF(GEP!I55="-",,GEP!I55/2)</f>
        <v>0</v>
      </c>
      <c r="L56" s="321">
        <f>IF(GEP!I55="-",,GEP!I55/2)</f>
        <v>0</v>
      </c>
      <c r="M56" s="113">
        <f>IF(GEP!J55="-",,GEP!J55/2)</f>
        <v>0</v>
      </c>
      <c r="N56" s="113">
        <f>IF(GEP!J55="-",,GEP!J55/2)</f>
        <v>0</v>
      </c>
      <c r="O56" s="267">
        <f>IF(GEP!K55="-",,GEP!K55)</f>
        <v>0</v>
      </c>
      <c r="P56" s="445">
        <f>IF(GEP!N55="-",,GEP!N55/3)</f>
        <v>0.11333333333333334</v>
      </c>
      <c r="Q56" s="445">
        <f>IF(GEP!N55="-",,GEP!N55/3)</f>
        <v>0.11333333333333334</v>
      </c>
      <c r="R56" s="445">
        <f>IF(GEP!N55="-",,GEP!N55/3)</f>
        <v>0.11333333333333334</v>
      </c>
      <c r="S56" s="449">
        <f>IF(GEP!O55="-",,GEP!O55/3)</f>
        <v>3.5233333333333334</v>
      </c>
      <c r="T56" s="449">
        <f>IF(GEP!O55="-",,GEP!O55/3)</f>
        <v>3.5233333333333334</v>
      </c>
      <c r="U56" s="449">
        <f>IF(GEP!O55="-",,GEP!O55/3)</f>
        <v>3.5233333333333334</v>
      </c>
      <c r="V56" s="267">
        <f>IF(GEP!P55="-",IF(GEP!S55="-",,GEP!S55),IF(GEP!S55="-",GEP!P55,GEP!P55+GEP!S55))</f>
        <v>0</v>
      </c>
      <c r="W56" s="427">
        <v>0</v>
      </c>
      <c r="X56" s="427">
        <v>0</v>
      </c>
      <c r="Y56" s="113">
        <f>IF(GEP!L55="-",,GEP!L55)</f>
        <v>0</v>
      </c>
      <c r="Z56" s="113">
        <f>IF(GEP!M55="-",,GEP!M55)</f>
        <v>0</v>
      </c>
      <c r="AA56" s="113">
        <f>IF(GEP!Q55="-",,GEP!Q55)</f>
        <v>0</v>
      </c>
      <c r="AB56" s="113">
        <f>IF(GEP!R55="-",,GEP!R55)</f>
        <v>0</v>
      </c>
      <c r="AC56" s="113">
        <f>IF(GEP!P55="-",,GEP!P55)</f>
        <v>0</v>
      </c>
      <c r="AD56" s="113">
        <f>IF(GEP!S55="-",,GEP!S55)</f>
        <v>0</v>
      </c>
      <c r="AE56" s="149">
        <f t="shared" si="0"/>
        <v>10.91</v>
      </c>
      <c r="AF56" s="149">
        <f t="shared" si="1"/>
        <v>10.91</v>
      </c>
      <c r="AG56" s="106">
        <f>IF(C56='Table 1.1 complete'!A52,AE56-'Table 1.1 complete'!E52,"error")</f>
        <v>9.9999999999997868E-3</v>
      </c>
      <c r="AH56" s="113">
        <f>IF(C56='Table 1.2 complete'!A52,AE56-'Table 1.2 complete'!K52,"error")</f>
        <v>0</v>
      </c>
      <c r="AI56" s="106">
        <f>'Table 1.2 complete'!K52-'Table 1.1 complete'!E52</f>
        <v>9.9999999999997868E-3</v>
      </c>
    </row>
    <row r="57" spans="3:35" x14ac:dyDescent="0.25">
      <c r="C57" s="169" t="str">
        <f>GEP_add1!P56</f>
        <v>Egypt</v>
      </c>
      <c r="D57" s="200">
        <f>GEP_add1!Q56</f>
        <v>46</v>
      </c>
      <c r="E57" s="169" t="str">
        <f>GEP_add1!R56</f>
        <v>ARB</v>
      </c>
      <c r="F57" s="129">
        <f>GEP_add1!S56</f>
        <v>15</v>
      </c>
      <c r="G57" s="267">
        <f>IF(GEP!F56="-",,GEP!F56)</f>
        <v>0</v>
      </c>
      <c r="H57" s="322">
        <f>IF(GEP!G56="-",,GEP!G56/2)</f>
        <v>7.7549999999999999</v>
      </c>
      <c r="I57" s="322">
        <f>IF(GEP!G56="-",,GEP!G56/2)</f>
        <v>7.7549999999999999</v>
      </c>
      <c r="J57" s="267">
        <f>IF(GEP!H56="-",,GEP!H56)</f>
        <v>0</v>
      </c>
      <c r="K57" s="321">
        <f>IF(GEP!I56="-",,GEP!I56/2)</f>
        <v>0.41499999999999998</v>
      </c>
      <c r="L57" s="321">
        <f>IF(GEP!I56="-",,GEP!I56/2)</f>
        <v>0.41499999999999998</v>
      </c>
      <c r="M57" s="113">
        <f>IF(GEP!J56="-",,GEP!J56/2)</f>
        <v>0</v>
      </c>
      <c r="N57" s="113">
        <f>IF(GEP!J56="-",,GEP!J56/2)</f>
        <v>0</v>
      </c>
      <c r="O57" s="267">
        <f>IF(GEP!K56="-",,GEP!K56)</f>
        <v>0</v>
      </c>
      <c r="P57" s="445">
        <f>IF(GEP!N56="-",,GEP!N56/3)</f>
        <v>7.7466666666666661</v>
      </c>
      <c r="Q57" s="445">
        <f>IF(GEP!N56="-",,GEP!N56/3)</f>
        <v>7.7466666666666661</v>
      </c>
      <c r="R57" s="445">
        <f>IF(GEP!N56="-",,GEP!N56/3)</f>
        <v>7.7466666666666661</v>
      </c>
      <c r="S57" s="449">
        <f>IF(GEP!O56="-",,GEP!O56/3)</f>
        <v>28.516666666666666</v>
      </c>
      <c r="T57" s="449">
        <f>IF(GEP!O56="-",,GEP!O56/3)</f>
        <v>28.516666666666666</v>
      </c>
      <c r="U57" s="449">
        <f>IF(GEP!O56="-",,GEP!O56/3)</f>
        <v>28.516666666666666</v>
      </c>
      <c r="V57" s="267">
        <f>IF(GEP!P56="-",IF(GEP!S56="-",,GEP!S56),IF(GEP!S56="-",GEP!P56,GEP!P56+GEP!S56))</f>
        <v>0</v>
      </c>
      <c r="W57" s="427">
        <v>0</v>
      </c>
      <c r="X57" s="427">
        <v>0</v>
      </c>
      <c r="Y57" s="113">
        <f>IF(GEP!L56="-",,GEP!L56)</f>
        <v>0</v>
      </c>
      <c r="Z57" s="113">
        <f>IF(GEP!M56="-",,GEP!M56)</f>
        <v>0</v>
      </c>
      <c r="AA57" s="113">
        <f>IF(GEP!Q56="-",,GEP!Q56)</f>
        <v>0</v>
      </c>
      <c r="AB57" s="113">
        <f>IF(GEP!R56="-",,GEP!R56)</f>
        <v>0</v>
      </c>
      <c r="AC57" s="113">
        <f>IF(GEP!P56="-",,GEP!P56)</f>
        <v>0</v>
      </c>
      <c r="AD57" s="113">
        <f>IF(GEP!S56="-",,GEP!S56)</f>
        <v>0</v>
      </c>
      <c r="AE57" s="149">
        <f t="shared" si="0"/>
        <v>125.13</v>
      </c>
      <c r="AF57" s="149">
        <f t="shared" si="1"/>
        <v>125.13</v>
      </c>
      <c r="AG57" s="106">
        <f>IF(C57='Table 1.1 complete'!A53,AE57-'Table 1.1 complete'!E53,"error")</f>
        <v>3.0000000000001137E-2</v>
      </c>
      <c r="AH57" s="113">
        <f>IF(C57='Table 1.2 complete'!A53,AE57-'Table 1.2 complete'!K53,"error")</f>
        <v>0</v>
      </c>
      <c r="AI57" s="106">
        <f>'Table 1.2 complete'!K53-'Table 1.1 complete'!E53</f>
        <v>3.0000000000001137E-2</v>
      </c>
    </row>
    <row r="58" spans="3:35" x14ac:dyDescent="0.25">
      <c r="C58" s="169" t="str">
        <f>GEP_add1!P57</f>
        <v>IR of Iran</v>
      </c>
      <c r="D58" s="200">
        <f>GEP_add1!Q57</f>
        <v>142</v>
      </c>
      <c r="E58" s="169" t="str">
        <f>GEP_add1!R57</f>
        <v>ARB</v>
      </c>
      <c r="F58" s="129">
        <f>GEP_add1!S57</f>
        <v>15</v>
      </c>
      <c r="G58" s="267">
        <f>IF(GEP!F57="-",,GEP!F57)</f>
        <v>0</v>
      </c>
      <c r="H58" s="322">
        <f>IF(GEP!G57="-",,GEP!G57/2)</f>
        <v>8.9949999999999992</v>
      </c>
      <c r="I58" s="322">
        <f>IF(GEP!G57="-",,GEP!G57/2)</f>
        <v>8.9949999999999992</v>
      </c>
      <c r="J58" s="267">
        <f>IF(GEP!H57="-",,GEP!H57)</f>
        <v>0</v>
      </c>
      <c r="K58" s="321">
        <f>IF(GEP!I57="-",,GEP!I57/2)</f>
        <v>7.0000000000000007E-2</v>
      </c>
      <c r="L58" s="321">
        <f>IF(GEP!I57="-",,GEP!I57/2)</f>
        <v>7.0000000000000007E-2</v>
      </c>
      <c r="M58" s="113">
        <f>IF(GEP!J57="-",,GEP!J57/2)</f>
        <v>0</v>
      </c>
      <c r="N58" s="113">
        <f>IF(GEP!J57="-",,GEP!J57/2)</f>
        <v>0</v>
      </c>
      <c r="O58" s="267">
        <f>IF(GEP!K57="-",,GEP!K57)</f>
        <v>0</v>
      </c>
      <c r="P58" s="445">
        <f>IF(GEP!N57="-",,GEP!N57/3)</f>
        <v>8.5233333333333334</v>
      </c>
      <c r="Q58" s="445">
        <f>IF(GEP!N57="-",,GEP!N57/3)</f>
        <v>8.5233333333333334</v>
      </c>
      <c r="R58" s="445">
        <f>IF(GEP!N57="-",,GEP!N57/3)</f>
        <v>8.5233333333333334</v>
      </c>
      <c r="S58" s="449">
        <f>IF(GEP!O57="-",,GEP!O57/3)</f>
        <v>53.426666666666669</v>
      </c>
      <c r="T58" s="449">
        <f>IF(GEP!O57="-",,GEP!O57/3)</f>
        <v>53.426666666666669</v>
      </c>
      <c r="U58" s="449">
        <f>IF(GEP!O57="-",,GEP!O57/3)</f>
        <v>53.426666666666669</v>
      </c>
      <c r="V58" s="267">
        <f>IF(GEP!P57="-",IF(GEP!S57="-",,GEP!S57),IF(GEP!S57="-",GEP!P57,GEP!P57+GEP!S57))</f>
        <v>0</v>
      </c>
      <c r="W58" s="427">
        <v>0</v>
      </c>
      <c r="X58" s="427">
        <v>0</v>
      </c>
      <c r="Y58" s="113">
        <f>IF(GEP!L57="-",,GEP!L57)</f>
        <v>0</v>
      </c>
      <c r="Z58" s="113">
        <f>IF(GEP!M57="-",,GEP!M57)</f>
        <v>0</v>
      </c>
      <c r="AA58" s="113">
        <f>IF(GEP!Q57="-",,GEP!Q57)</f>
        <v>0</v>
      </c>
      <c r="AB58" s="113">
        <f>IF(GEP!R57="-",,GEP!R57)</f>
        <v>0</v>
      </c>
      <c r="AC58" s="113">
        <f>IF(GEP!P57="-",,GEP!P57)</f>
        <v>0</v>
      </c>
      <c r="AD58" s="113">
        <f>IF(GEP!S57="-",,GEP!S57)</f>
        <v>0</v>
      </c>
      <c r="AE58" s="149">
        <f t="shared" si="0"/>
        <v>203.98000000000002</v>
      </c>
      <c r="AF58" s="149">
        <f t="shared" si="1"/>
        <v>203.98000000000002</v>
      </c>
      <c r="AG58" s="106">
        <f>IF(C58='Table 1.1 complete'!A54,AE58-'Table 1.1 complete'!E54,"error")</f>
        <v>-1.999999999998181E-2</v>
      </c>
      <c r="AH58" s="113">
        <f>IF(C58='Table 1.2 complete'!A54,AE58-'Table 1.2 complete'!K54,"error")</f>
        <v>-9.9999999999909051E-3</v>
      </c>
      <c r="AI58" s="106">
        <f>'Table 1.2 complete'!K54-'Table 1.1 complete'!E54</f>
        <v>-9.9999999999909051E-3</v>
      </c>
    </row>
    <row r="59" spans="3:35" x14ac:dyDescent="0.25">
      <c r="C59" s="169" t="str">
        <f>GEP_add1!P58</f>
        <v>Iraq</v>
      </c>
      <c r="D59" s="200">
        <f>GEP_add1!Q58</f>
        <v>143</v>
      </c>
      <c r="E59" s="169" t="str">
        <f>GEP_add1!R58</f>
        <v>ARB</v>
      </c>
      <c r="F59" s="129">
        <f>GEP_add1!S58</f>
        <v>15</v>
      </c>
      <c r="G59" s="267">
        <f>IF(GEP!F58="-",,GEP!F58)</f>
        <v>0</v>
      </c>
      <c r="H59" s="322">
        <f>IF(GEP!G58="-",,GEP!G58/2)</f>
        <v>0.255</v>
      </c>
      <c r="I59" s="322">
        <f>IF(GEP!G58="-",,GEP!G58/2)</f>
        <v>0.255</v>
      </c>
      <c r="J59" s="267">
        <f>IF(GEP!H58="-",,GEP!H58)</f>
        <v>0</v>
      </c>
      <c r="K59" s="321">
        <f>IF(GEP!I58="-",,GEP!I58/2)</f>
        <v>0</v>
      </c>
      <c r="L59" s="321">
        <f>IF(GEP!I58="-",,GEP!I58/2)</f>
        <v>0</v>
      </c>
      <c r="M59" s="113">
        <f>IF(GEP!J58="-",,GEP!J58/2)</f>
        <v>0</v>
      </c>
      <c r="N59" s="113">
        <f>IF(GEP!J58="-",,GEP!J58/2)</f>
        <v>0</v>
      </c>
      <c r="O59" s="267">
        <f>IF(GEP!K58="-",,GEP!K58)</f>
        <v>0</v>
      </c>
      <c r="P59" s="445">
        <f>IF(GEP!N58="-",,GEP!N58/3)</f>
        <v>10.893333333333333</v>
      </c>
      <c r="Q59" s="445">
        <f>IF(GEP!N58="-",,GEP!N58/3)</f>
        <v>10.893333333333333</v>
      </c>
      <c r="R59" s="445">
        <f>IF(GEP!N58="-",,GEP!N58/3)</f>
        <v>10.893333333333333</v>
      </c>
      <c r="S59" s="449">
        <f>IF(GEP!O58="-",,GEP!O58/3)</f>
        <v>0</v>
      </c>
      <c r="T59" s="449">
        <f>IF(GEP!O58="-",,GEP!O58/3)</f>
        <v>0</v>
      </c>
      <c r="U59" s="449">
        <f>IF(GEP!O58="-",,GEP!O58/3)</f>
        <v>0</v>
      </c>
      <c r="V59" s="267">
        <f>IF(GEP!P58="-",IF(GEP!S58="-",,GEP!S58),IF(GEP!S58="-",GEP!P58,GEP!P58+GEP!S58))</f>
        <v>0</v>
      </c>
      <c r="W59" s="427">
        <v>0</v>
      </c>
      <c r="X59" s="427">
        <v>0</v>
      </c>
      <c r="Y59" s="113">
        <f>IF(GEP!L58="-",,GEP!L58)</f>
        <v>0</v>
      </c>
      <c r="Z59" s="113">
        <f>IF(GEP!M58="-",,GEP!M58)</f>
        <v>0</v>
      </c>
      <c r="AA59" s="113">
        <f>IF(GEP!Q58="-",,GEP!Q58)</f>
        <v>0</v>
      </c>
      <c r="AB59" s="113">
        <f>IF(GEP!R58="-",,GEP!R58)</f>
        <v>0</v>
      </c>
      <c r="AC59" s="113">
        <f>IF(GEP!P58="-",,GEP!P58)</f>
        <v>0</v>
      </c>
      <c r="AD59" s="113">
        <f>IF(GEP!S58="-",,GEP!S58)</f>
        <v>0</v>
      </c>
      <c r="AE59" s="149">
        <f t="shared" si="0"/>
        <v>33.19</v>
      </c>
      <c r="AF59" s="149">
        <f t="shared" si="1"/>
        <v>33.19</v>
      </c>
      <c r="AG59" s="106">
        <f>IF(C59='Table 1.1 complete'!A55,AE59-'Table 1.1 complete'!E55,"error")</f>
        <v>-1.0000000000005116E-2</v>
      </c>
      <c r="AH59" s="113">
        <f>IF(C59='Table 1.2 complete'!A55,AE59-'Table 1.2 complete'!K55,"error")</f>
        <v>9.9999999999980105E-3</v>
      </c>
      <c r="AI59" s="106">
        <f>'Table 1.2 complete'!K55-'Table 1.1 complete'!E55</f>
        <v>-2.0000000000003126E-2</v>
      </c>
    </row>
    <row r="60" spans="3:35" x14ac:dyDescent="0.25">
      <c r="C60" s="169" t="str">
        <f>GEP_add1!P59</f>
        <v>Jordan</v>
      </c>
      <c r="D60" s="200">
        <f>GEP_add1!Q59</f>
        <v>145</v>
      </c>
      <c r="E60" s="169" t="str">
        <f>GEP_add1!R59</f>
        <v>ARB</v>
      </c>
      <c r="F60" s="129">
        <f>GEP_add1!S59</f>
        <v>15</v>
      </c>
      <c r="G60" s="267">
        <f>IF(GEP!F59="-",,GEP!F59)</f>
        <v>0</v>
      </c>
      <c r="H60" s="322">
        <f>IF(GEP!G59="-",,GEP!G59/2)</f>
        <v>0.03</v>
      </c>
      <c r="I60" s="322">
        <f>IF(GEP!G59="-",,GEP!G59/2)</f>
        <v>0.03</v>
      </c>
      <c r="J60" s="267">
        <f>IF(GEP!H59="-",,GEP!H59)</f>
        <v>0</v>
      </c>
      <c r="K60" s="321">
        <f>IF(GEP!I59="-",,GEP!I59/2)</f>
        <v>0</v>
      </c>
      <c r="L60" s="321">
        <f>IF(GEP!I59="-",,GEP!I59/2)</f>
        <v>0</v>
      </c>
      <c r="M60" s="113">
        <f>IF(GEP!J59="-",,GEP!J59/2)</f>
        <v>0</v>
      </c>
      <c r="N60" s="113">
        <f>IF(GEP!J59="-",,GEP!J59/2)</f>
        <v>0</v>
      </c>
      <c r="O60" s="267">
        <f>IF(GEP!K59="-",,GEP!K59)</f>
        <v>0</v>
      </c>
      <c r="P60" s="445">
        <f>IF(GEP!N59="-",,GEP!N59/3)</f>
        <v>0.9966666666666667</v>
      </c>
      <c r="Q60" s="445">
        <f>IF(GEP!N59="-",,GEP!N59/3)</f>
        <v>0.9966666666666667</v>
      </c>
      <c r="R60" s="445">
        <f>IF(GEP!N59="-",,GEP!N59/3)</f>
        <v>0.9966666666666667</v>
      </c>
      <c r="S60" s="449">
        <f>IF(GEP!O59="-",,GEP!O59/3)</f>
        <v>3.313333333333333</v>
      </c>
      <c r="T60" s="449">
        <f>IF(GEP!O59="-",,GEP!O59/3)</f>
        <v>3.313333333333333</v>
      </c>
      <c r="U60" s="449">
        <f>IF(GEP!O59="-",,GEP!O59/3)</f>
        <v>3.313333333333333</v>
      </c>
      <c r="V60" s="267">
        <f>IF(GEP!P59="-",IF(GEP!S59="-",,GEP!S59),IF(GEP!S59="-",GEP!P59,GEP!P59+GEP!S59))</f>
        <v>0.01</v>
      </c>
      <c r="W60" s="427">
        <v>0</v>
      </c>
      <c r="X60" s="427">
        <v>0</v>
      </c>
      <c r="Y60" s="113">
        <f>IF(GEP!L59="-",,GEP!L59)</f>
        <v>0</v>
      </c>
      <c r="Z60" s="113">
        <f>IF(GEP!M59="-",,GEP!M59)</f>
        <v>0</v>
      </c>
      <c r="AA60" s="113">
        <f>IF(GEP!Q59="-",,GEP!Q59)</f>
        <v>0</v>
      </c>
      <c r="AB60" s="113">
        <f>IF(GEP!R59="-",,GEP!R59)</f>
        <v>0</v>
      </c>
      <c r="AC60" s="113">
        <f>IF(GEP!P59="-",,GEP!P59)</f>
        <v>0</v>
      </c>
      <c r="AD60" s="113">
        <f>IF(GEP!S59="-",,GEP!S59)</f>
        <v>0.01</v>
      </c>
      <c r="AE60" s="149">
        <f t="shared" si="0"/>
        <v>12.999999999999998</v>
      </c>
      <c r="AF60" s="149">
        <f t="shared" si="1"/>
        <v>12.999999999999998</v>
      </c>
      <c r="AG60" s="106">
        <f>IF(C60='Table 1.1 complete'!A56,AE60-'Table 1.1 complete'!E56,"error")</f>
        <v>-1.7763568394002505E-15</v>
      </c>
      <c r="AH60" s="113">
        <f>IF(C60='Table 1.2 complete'!A56,AE60-'Table 1.2 complete'!K56,"error")</f>
        <v>-1.7763568394002505E-15</v>
      </c>
      <c r="AI60" s="106">
        <f>'Table 1.2 complete'!K56-'Table 1.1 complete'!E56</f>
        <v>0</v>
      </c>
    </row>
    <row r="61" spans="3:35" x14ac:dyDescent="0.25">
      <c r="C61" s="167" t="str">
        <f>GEP_add1!P60</f>
        <v>Kuwait</v>
      </c>
      <c r="D61" s="198">
        <f>GEP_add1!Q60</f>
        <v>146</v>
      </c>
      <c r="E61" s="167" t="str">
        <f>GEP_add1!R60</f>
        <v>ARB</v>
      </c>
      <c r="F61" s="127">
        <f>GEP_add1!S60</f>
        <v>15</v>
      </c>
      <c r="G61" s="267">
        <f>IF(GEP!F60="-",,GEP!F60)</f>
        <v>0</v>
      </c>
      <c r="H61" s="322">
        <f>IF(GEP!G60="-",,GEP!G60/2)</f>
        <v>0</v>
      </c>
      <c r="I61" s="322">
        <f>IF(GEP!G60="-",,GEP!G60/2)</f>
        <v>0</v>
      </c>
      <c r="J61" s="267">
        <f>IF(GEP!H60="-",,GEP!H60)</f>
        <v>0</v>
      </c>
      <c r="K61" s="321">
        <f>IF(GEP!I60="-",,GEP!I60/2)</f>
        <v>0</v>
      </c>
      <c r="L61" s="321">
        <f>IF(GEP!I60="-",,GEP!I60/2)</f>
        <v>0</v>
      </c>
      <c r="M61" s="113">
        <f>IF(GEP!J60="-",,GEP!J60/2)</f>
        <v>0</v>
      </c>
      <c r="N61" s="113">
        <f>IF(GEP!J60="-",,GEP!J60/2)</f>
        <v>0</v>
      </c>
      <c r="O61" s="267">
        <f>IF(GEP!K60="-",,GEP!K60)</f>
        <v>0</v>
      </c>
      <c r="P61" s="445">
        <f>IF(GEP!N60="-",,GEP!N60/3)</f>
        <v>11.753333333333332</v>
      </c>
      <c r="Q61" s="445">
        <f>IF(GEP!N60="-",,GEP!N60/3)</f>
        <v>11.753333333333332</v>
      </c>
      <c r="R61" s="445">
        <f>IF(GEP!N60="-",,GEP!N60/3)</f>
        <v>11.753333333333332</v>
      </c>
      <c r="S61" s="449">
        <f>IF(GEP!O60="-",,GEP!O60/3)</f>
        <v>4.496666666666667</v>
      </c>
      <c r="T61" s="449">
        <f>IF(GEP!O60="-",,GEP!O60/3)</f>
        <v>4.496666666666667</v>
      </c>
      <c r="U61" s="449">
        <f>IF(GEP!O60="-",,GEP!O60/3)</f>
        <v>4.496666666666667</v>
      </c>
      <c r="V61" s="267">
        <f>IF(GEP!P60="-",IF(GEP!S60="-",,GEP!S60),IF(GEP!S60="-",GEP!P60,GEP!P60+GEP!S60))</f>
        <v>0</v>
      </c>
      <c r="W61" s="427">
        <v>0</v>
      </c>
      <c r="X61" s="427">
        <v>0</v>
      </c>
      <c r="Y61" s="113">
        <f>IF(GEP!L60="-",,GEP!L60)</f>
        <v>0</v>
      </c>
      <c r="Z61" s="113">
        <f>IF(GEP!M60="-",,GEP!M60)</f>
        <v>0</v>
      </c>
      <c r="AA61" s="113">
        <f>IF(GEP!Q60="-",,GEP!Q60)</f>
        <v>0</v>
      </c>
      <c r="AB61" s="113">
        <f>IF(GEP!R60="-",,GEP!R60)</f>
        <v>0</v>
      </c>
      <c r="AC61" s="113">
        <f>IF(GEP!P60="-",,GEP!P60)</f>
        <v>0</v>
      </c>
      <c r="AD61" s="113">
        <f>IF(GEP!S60="-",,GEP!S60)</f>
        <v>0</v>
      </c>
      <c r="AE61" s="149">
        <f t="shared" si="0"/>
        <v>48.750000000000007</v>
      </c>
      <c r="AF61" s="149">
        <f t="shared" si="1"/>
        <v>48.750000000000007</v>
      </c>
      <c r="AG61" s="106">
        <f>IF(C61='Table 1.1 complete'!A57,AE61-'Table 1.1 complete'!E57,"error")</f>
        <v>-4.9999999999990052E-2</v>
      </c>
      <c r="AH61" s="113">
        <f>IF(C61='Table 1.2 complete'!A57,AE61-'Table 1.2 complete'!K57,"error")</f>
        <v>7.1054273576010019E-15</v>
      </c>
      <c r="AI61" s="106">
        <f>'Table 1.2 complete'!K57-'Table 1.1 complete'!E57</f>
        <v>-4.9999999999997158E-2</v>
      </c>
    </row>
    <row r="62" spans="3:35" x14ac:dyDescent="0.25">
      <c r="C62" s="167" t="str">
        <f>GEP_add1!P61</f>
        <v>Lebanon</v>
      </c>
      <c r="D62" s="198">
        <f>GEP_add1!Q61</f>
        <v>147</v>
      </c>
      <c r="E62" s="167" t="str">
        <f>GEP_add1!R61</f>
        <v>ARB</v>
      </c>
      <c r="F62" s="127">
        <f>GEP_add1!S61</f>
        <v>15</v>
      </c>
      <c r="G62" s="267">
        <f>IF(GEP!F61="-",,GEP!F61)</f>
        <v>0</v>
      </c>
      <c r="H62" s="322">
        <f>IF(GEP!G61="-",,GEP!G61/2)</f>
        <v>0.29499999999999998</v>
      </c>
      <c r="I62" s="322">
        <f>IF(GEP!G61="-",,GEP!G61/2)</f>
        <v>0.29499999999999998</v>
      </c>
      <c r="J62" s="267">
        <f>IF(GEP!H61="-",,GEP!H61)</f>
        <v>0</v>
      </c>
      <c r="K62" s="321">
        <f>IF(GEP!I61="-",,GEP!I61/2)</f>
        <v>0</v>
      </c>
      <c r="L62" s="321">
        <f>IF(GEP!I61="-",,GEP!I61/2)</f>
        <v>0</v>
      </c>
      <c r="M62" s="113">
        <f>IF(GEP!J61="-",,GEP!J61/2)</f>
        <v>0</v>
      </c>
      <c r="N62" s="113">
        <f>IF(GEP!J61="-",,GEP!J61/2)</f>
        <v>0</v>
      </c>
      <c r="O62" s="267">
        <f>IF(GEP!K61="-",,GEP!K61)</f>
        <v>0</v>
      </c>
      <c r="P62" s="445">
        <f>IF(GEP!N61="-",,GEP!N61/3)</f>
        <v>2.9966666666666666</v>
      </c>
      <c r="Q62" s="445">
        <f>IF(GEP!N61="-",,GEP!N61/3)</f>
        <v>2.9966666666666666</v>
      </c>
      <c r="R62" s="445">
        <f>IF(GEP!N61="-",,GEP!N61/3)</f>
        <v>2.9966666666666666</v>
      </c>
      <c r="S62" s="449">
        <f>IF(GEP!O61="-",,GEP!O61/3)</f>
        <v>0</v>
      </c>
      <c r="T62" s="449">
        <f>IF(GEP!O61="-",,GEP!O61/3)</f>
        <v>0</v>
      </c>
      <c r="U62" s="449">
        <f>IF(GEP!O61="-",,GEP!O61/3)</f>
        <v>0</v>
      </c>
      <c r="V62" s="267">
        <f>IF(GEP!P61="-",IF(GEP!S61="-",,GEP!S61),IF(GEP!S61="-",GEP!P61,GEP!P61+GEP!S61))</f>
        <v>0</v>
      </c>
      <c r="W62" s="427">
        <v>0</v>
      </c>
      <c r="X62" s="427">
        <v>0</v>
      </c>
      <c r="Y62" s="113">
        <f>IF(GEP!L61="-",,GEP!L61)</f>
        <v>0</v>
      </c>
      <c r="Z62" s="113">
        <f>IF(GEP!M61="-",,GEP!M61)</f>
        <v>0</v>
      </c>
      <c r="AA62" s="113">
        <f>IF(GEP!Q61="-",,GEP!Q61)</f>
        <v>0</v>
      </c>
      <c r="AB62" s="113">
        <f>IF(GEP!R61="-",,GEP!R61)</f>
        <v>0</v>
      </c>
      <c r="AC62" s="113">
        <f>IF(GEP!P61="-",,GEP!P61)</f>
        <v>0</v>
      </c>
      <c r="AD62" s="113">
        <f>IF(GEP!S61="-",,GEP!S61)</f>
        <v>0</v>
      </c>
      <c r="AE62" s="149">
        <f t="shared" si="0"/>
        <v>9.58</v>
      </c>
      <c r="AF62" s="149">
        <f t="shared" si="1"/>
        <v>9.58</v>
      </c>
      <c r="AG62" s="106">
        <f>IF(C62='Table 1.1 complete'!A58,AE62-'Table 1.1 complete'!E58,"error")</f>
        <v>-1.9999999999999574E-2</v>
      </c>
      <c r="AH62" s="113">
        <f>IF(C62='Table 1.2 complete'!A58,AE62-'Table 1.2 complete'!K58,"error")</f>
        <v>0</v>
      </c>
      <c r="AI62" s="106">
        <f>'Table 1.2 complete'!K58-'Table 1.1 complete'!E58</f>
        <v>-1.9999999999999574E-2</v>
      </c>
    </row>
    <row r="63" spans="3:35" x14ac:dyDescent="0.25">
      <c r="C63" s="167" t="str">
        <f>GEP_add1!P62</f>
        <v>Libya</v>
      </c>
      <c r="D63" s="198">
        <f>GEP_add1!Q62</f>
        <v>52</v>
      </c>
      <c r="E63" s="167" t="str">
        <f>GEP_add1!R62</f>
        <v>ARB</v>
      </c>
      <c r="F63" s="127">
        <f>GEP_add1!S62</f>
        <v>15</v>
      </c>
      <c r="G63" s="267">
        <f>IF(GEP!F62="-",,GEP!F62)</f>
        <v>0</v>
      </c>
      <c r="H63" s="322">
        <f>IF(GEP!G62="-",,GEP!G62/2)</f>
        <v>0</v>
      </c>
      <c r="I63" s="322">
        <f>IF(GEP!G62="-",,GEP!G62/2)</f>
        <v>0</v>
      </c>
      <c r="J63" s="267">
        <f>IF(GEP!H62="-",,GEP!H62)</f>
        <v>0</v>
      </c>
      <c r="K63" s="321">
        <f>IF(GEP!I62="-",,GEP!I62/2)</f>
        <v>0</v>
      </c>
      <c r="L63" s="321">
        <f>IF(GEP!I62="-",,GEP!I62/2)</f>
        <v>0</v>
      </c>
      <c r="M63" s="113">
        <f>IF(GEP!J62="-",,GEP!J62/2)</f>
        <v>0</v>
      </c>
      <c r="N63" s="113">
        <f>IF(GEP!J62="-",,GEP!J62/2)</f>
        <v>0</v>
      </c>
      <c r="O63" s="267">
        <f>IF(GEP!K62="-",,GEP!K62)</f>
        <v>0</v>
      </c>
      <c r="P63" s="445">
        <f>IF(GEP!N62="-",,GEP!N62/3)</f>
        <v>4.7166666666666668</v>
      </c>
      <c r="Q63" s="445">
        <f>IF(GEP!N62="-",,GEP!N62/3)</f>
        <v>4.7166666666666668</v>
      </c>
      <c r="R63" s="445">
        <f>IF(GEP!N62="-",,GEP!N62/3)</f>
        <v>4.7166666666666668</v>
      </c>
      <c r="S63" s="449">
        <f>IF(GEP!O62="-",,GEP!O62/3)</f>
        <v>3.8466666666666662</v>
      </c>
      <c r="T63" s="449">
        <f>IF(GEP!O62="-",,GEP!O62/3)</f>
        <v>3.8466666666666662</v>
      </c>
      <c r="U63" s="449">
        <f>IF(GEP!O62="-",,GEP!O62/3)</f>
        <v>3.8466666666666662</v>
      </c>
      <c r="V63" s="267">
        <f>IF(GEP!P62="-",IF(GEP!S62="-",,GEP!S62),IF(GEP!S62="-",GEP!P62,GEP!P62+GEP!S62))</f>
        <v>0</v>
      </c>
      <c r="W63" s="427">
        <v>0</v>
      </c>
      <c r="X63" s="427">
        <v>0</v>
      </c>
      <c r="Y63" s="113">
        <f>IF(GEP!L62="-",,GEP!L62)</f>
        <v>0</v>
      </c>
      <c r="Z63" s="113">
        <f>IF(GEP!M62="-",,GEP!M62)</f>
        <v>0</v>
      </c>
      <c r="AA63" s="113">
        <f>IF(GEP!Q62="-",,GEP!Q62)</f>
        <v>0</v>
      </c>
      <c r="AB63" s="113">
        <f>IF(GEP!R62="-",,GEP!R62)</f>
        <v>0</v>
      </c>
      <c r="AC63" s="113">
        <f>IF(GEP!P62="-",,GEP!P62)</f>
        <v>0</v>
      </c>
      <c r="AD63" s="113">
        <f>IF(GEP!S62="-",,GEP!S62)</f>
        <v>0</v>
      </c>
      <c r="AE63" s="149">
        <f t="shared" si="0"/>
        <v>25.69</v>
      </c>
      <c r="AF63" s="149">
        <f t="shared" si="1"/>
        <v>25.69</v>
      </c>
      <c r="AG63" s="106">
        <f>IF(C63='Table 1.1 complete'!A59,AE63-'Table 1.1 complete'!E59,"error")</f>
        <v>-9.9999999999980105E-3</v>
      </c>
      <c r="AH63" s="113">
        <f>IF(C63='Table 1.2 complete'!A59,AE63-'Table 1.2 complete'!K59,"error")</f>
        <v>0</v>
      </c>
      <c r="AI63" s="106">
        <f>'Table 1.2 complete'!K59-'Table 1.1 complete'!E59</f>
        <v>-9.9999999999980105E-3</v>
      </c>
    </row>
    <row r="64" spans="3:35" x14ac:dyDescent="0.25">
      <c r="C64" s="167" t="str">
        <f>GEP_add1!P63</f>
        <v>Morocco</v>
      </c>
      <c r="D64" s="198">
        <f>GEP_add1!Q63</f>
        <v>53</v>
      </c>
      <c r="E64" s="167" t="str">
        <f>GEP_add1!R63</f>
        <v>ARB</v>
      </c>
      <c r="F64" s="127">
        <f>GEP_add1!S63</f>
        <v>15</v>
      </c>
      <c r="G64" s="267">
        <f>IF(GEP!F63="-",,GEP!F63)</f>
        <v>0</v>
      </c>
      <c r="H64" s="322">
        <f>IF(GEP!G63="-",,GEP!G63/2)</f>
        <v>0.66500000000000004</v>
      </c>
      <c r="I64" s="322">
        <f>IF(GEP!G63="-",,GEP!G63/2)</f>
        <v>0.66500000000000004</v>
      </c>
      <c r="J64" s="267">
        <f>IF(GEP!H63="-",,GEP!H63)</f>
        <v>0</v>
      </c>
      <c r="K64" s="321">
        <f>IF(GEP!I63="-",,GEP!I63/2)</f>
        <v>0.14000000000000001</v>
      </c>
      <c r="L64" s="321">
        <f>IF(GEP!I63="-",,GEP!I63/2)</f>
        <v>0.14000000000000001</v>
      </c>
      <c r="M64" s="113">
        <f>IF(GEP!J63="-",,GEP!J63/2)</f>
        <v>6.52</v>
      </c>
      <c r="N64" s="113">
        <f>IF(GEP!J63="-",,GEP!J63/2)</f>
        <v>6.52</v>
      </c>
      <c r="O64" s="267">
        <f>IF(GEP!K63="-",,GEP!K63)</f>
        <v>0</v>
      </c>
      <c r="P64" s="445">
        <f>IF(GEP!N63="-",,GEP!N63/3)</f>
        <v>1.7</v>
      </c>
      <c r="Q64" s="445">
        <f>IF(GEP!N63="-",,GEP!N63/3)</f>
        <v>1.7</v>
      </c>
      <c r="R64" s="445">
        <f>IF(GEP!N63="-",,GEP!N63/3)</f>
        <v>1.7</v>
      </c>
      <c r="S64" s="449">
        <f>IF(GEP!O63="-",,GEP!O63/3)</f>
        <v>1.0366666666666666</v>
      </c>
      <c r="T64" s="449">
        <f>IF(GEP!O63="-",,GEP!O63/3)</f>
        <v>1.0366666666666666</v>
      </c>
      <c r="U64" s="449">
        <f>IF(GEP!O63="-",,GEP!O63/3)</f>
        <v>1.0366666666666666</v>
      </c>
      <c r="V64" s="267">
        <f>IF(GEP!P63="-",IF(GEP!S63="-",,GEP!S63),IF(GEP!S63="-",GEP!P63,GEP!P63+GEP!S63))</f>
        <v>0</v>
      </c>
      <c r="W64" s="427">
        <v>0</v>
      </c>
      <c r="X64" s="427">
        <v>0</v>
      </c>
      <c r="Y64" s="113">
        <f>IF(GEP!L63="-",,GEP!L63)</f>
        <v>0</v>
      </c>
      <c r="Z64" s="113">
        <f>IF(GEP!M63="-",,GEP!M63)</f>
        <v>0</v>
      </c>
      <c r="AA64" s="113">
        <f>IF(GEP!Q63="-",,GEP!Q63)</f>
        <v>0</v>
      </c>
      <c r="AB64" s="113">
        <f>IF(GEP!R63="-",,GEP!R63)</f>
        <v>0</v>
      </c>
      <c r="AC64" s="113">
        <f>IF(GEP!P63="-",,GEP!P63)</f>
        <v>0</v>
      </c>
      <c r="AD64" s="113">
        <f>IF(GEP!S63="-",,GEP!S63)</f>
        <v>0</v>
      </c>
      <c r="AE64" s="149">
        <f t="shared" si="0"/>
        <v>22.859999999999992</v>
      </c>
      <c r="AF64" s="149">
        <f t="shared" si="1"/>
        <v>22.859999999999992</v>
      </c>
      <c r="AG64" s="106">
        <f>IF(C64='Table 1.1 complete'!A60,AE64-'Table 1.1 complete'!E60,"error")</f>
        <v>-4.0000000000006253E-2</v>
      </c>
      <c r="AH64" s="113">
        <f>IF(C64='Table 1.2 complete'!A60,AE64-'Table 1.2 complete'!K60,"error")</f>
        <v>-7.1054273576010019E-15</v>
      </c>
      <c r="AI64" s="106">
        <f>'Table 1.2 complete'!K60-'Table 1.1 complete'!E60</f>
        <v>-3.9999999999999147E-2</v>
      </c>
    </row>
    <row r="65" spans="3:35" x14ac:dyDescent="0.25">
      <c r="C65" s="167" t="str">
        <f>GEP_add1!P64</f>
        <v>Oman</v>
      </c>
      <c r="D65" s="198">
        <f>GEP_add1!Q64</f>
        <v>148</v>
      </c>
      <c r="E65" s="167" t="str">
        <f>GEP_add1!R64</f>
        <v>ARB</v>
      </c>
      <c r="F65" s="127">
        <f>GEP_add1!S64</f>
        <v>15</v>
      </c>
      <c r="G65" s="267">
        <f>IF(GEP!F64="-",,GEP!F64)</f>
        <v>0</v>
      </c>
      <c r="H65" s="322">
        <f>IF(GEP!G64="-",,GEP!G64/2)</f>
        <v>0</v>
      </c>
      <c r="I65" s="322">
        <f>IF(GEP!G64="-",,GEP!G64/2)</f>
        <v>0</v>
      </c>
      <c r="J65" s="267">
        <f>IF(GEP!H64="-",,GEP!H64)</f>
        <v>0</v>
      </c>
      <c r="K65" s="321">
        <f>IF(GEP!I64="-",,GEP!I64/2)</f>
        <v>0</v>
      </c>
      <c r="L65" s="321">
        <f>IF(GEP!I64="-",,GEP!I64/2)</f>
        <v>0</v>
      </c>
      <c r="M65" s="113">
        <f>IF(GEP!J64="-",,GEP!J64/2)</f>
        <v>0</v>
      </c>
      <c r="N65" s="113">
        <f>IF(GEP!J64="-",,GEP!J64/2)</f>
        <v>0</v>
      </c>
      <c r="O65" s="267">
        <f>IF(GEP!K64="-",,GEP!K64)</f>
        <v>0</v>
      </c>
      <c r="P65" s="445">
        <f>IF(GEP!N64="-",,GEP!N64/3)</f>
        <v>0.8666666666666667</v>
      </c>
      <c r="Q65" s="445">
        <f>IF(GEP!N64="-",,GEP!N64/3)</f>
        <v>0.8666666666666667</v>
      </c>
      <c r="R65" s="445">
        <f>IF(GEP!N64="-",,GEP!N64/3)</f>
        <v>0.8666666666666667</v>
      </c>
      <c r="S65" s="449">
        <f>IF(GEP!O64="-",,GEP!O64/3)</f>
        <v>3.9466666666666668</v>
      </c>
      <c r="T65" s="449">
        <f>IF(GEP!O64="-",,GEP!O64/3)</f>
        <v>3.9466666666666668</v>
      </c>
      <c r="U65" s="449">
        <f>IF(GEP!O64="-",,GEP!O64/3)</f>
        <v>3.9466666666666668</v>
      </c>
      <c r="V65" s="267">
        <f>IF(GEP!P64="-",IF(GEP!S64="-",,GEP!S64),IF(GEP!S64="-",GEP!P64,GEP!P64+GEP!S64))</f>
        <v>0</v>
      </c>
      <c r="W65" s="427">
        <v>0</v>
      </c>
      <c r="X65" s="427">
        <v>0</v>
      </c>
      <c r="Y65" s="113">
        <f>IF(GEP!L64="-",,GEP!L64)</f>
        <v>0</v>
      </c>
      <c r="Z65" s="113">
        <f>IF(GEP!M64="-",,GEP!M64)</f>
        <v>0</v>
      </c>
      <c r="AA65" s="113">
        <f>IF(GEP!Q64="-",,GEP!Q64)</f>
        <v>0</v>
      </c>
      <c r="AB65" s="113">
        <f>IF(GEP!R64="-",,GEP!R64)</f>
        <v>0</v>
      </c>
      <c r="AC65" s="113">
        <f>IF(GEP!P64="-",,GEP!P64)</f>
        <v>0</v>
      </c>
      <c r="AD65" s="113">
        <f>IF(GEP!S64="-",,GEP!S64)</f>
        <v>0</v>
      </c>
      <c r="AE65" s="149">
        <f t="shared" si="0"/>
        <v>14.440000000000001</v>
      </c>
      <c r="AF65" s="149">
        <f t="shared" si="1"/>
        <v>14.440000000000001</v>
      </c>
      <c r="AG65" s="106">
        <f>IF(C65='Table 1.1 complete'!A61,AE65-'Table 1.1 complete'!E61,"error")</f>
        <v>4.0000000000000924E-2</v>
      </c>
      <c r="AH65" s="113">
        <f>IF(C65='Table 1.2 complete'!A61,AE65-'Table 1.2 complete'!K61,"error")</f>
        <v>1.7763568394002505E-15</v>
      </c>
      <c r="AI65" s="106">
        <f>'Table 1.2 complete'!K61-'Table 1.1 complete'!E61</f>
        <v>3.9999999999999147E-2</v>
      </c>
    </row>
    <row r="66" spans="3:35" x14ac:dyDescent="0.25">
      <c r="C66" s="167" t="str">
        <f>GEP_add1!P65</f>
        <v>Qatar</v>
      </c>
      <c r="D66" s="198">
        <f>GEP_add1!Q65</f>
        <v>149</v>
      </c>
      <c r="E66" s="167" t="str">
        <f>GEP_add1!R65</f>
        <v>ARB</v>
      </c>
      <c r="F66" s="127">
        <f>GEP_add1!S65</f>
        <v>15</v>
      </c>
      <c r="G66" s="267">
        <f>IF(GEP!F65="-",,GEP!F65)</f>
        <v>0</v>
      </c>
      <c r="H66" s="322">
        <f>IF(GEP!G65="-",,GEP!G65/2)</f>
        <v>0</v>
      </c>
      <c r="I66" s="322">
        <f>IF(GEP!G65="-",,GEP!G65/2)</f>
        <v>0</v>
      </c>
      <c r="J66" s="267">
        <f>IF(GEP!H65="-",,GEP!H65)</f>
        <v>0</v>
      </c>
      <c r="K66" s="321">
        <f>IF(GEP!I65="-",,GEP!I65/2)</f>
        <v>0</v>
      </c>
      <c r="L66" s="321">
        <f>IF(GEP!I65="-",,GEP!I65/2)</f>
        <v>0</v>
      </c>
      <c r="M66" s="113">
        <f>IF(GEP!J65="-",,GEP!J65/2)</f>
        <v>0</v>
      </c>
      <c r="N66" s="113">
        <f>IF(GEP!J65="-",,GEP!J65/2)</f>
        <v>0</v>
      </c>
      <c r="O66" s="267">
        <f>IF(GEP!K65="-",,GEP!K65)</f>
        <v>0</v>
      </c>
      <c r="P66" s="445">
        <f>IF(GEP!N65="-",,GEP!N65/3)</f>
        <v>0</v>
      </c>
      <c r="Q66" s="445">
        <f>IF(GEP!N65="-",,GEP!N65/3)</f>
        <v>0</v>
      </c>
      <c r="R66" s="445">
        <f>IF(GEP!N65="-",,GEP!N65/3)</f>
        <v>0</v>
      </c>
      <c r="S66" s="449">
        <f>IF(GEP!O65="-",,GEP!O65/3)</f>
        <v>5.3599999999999994</v>
      </c>
      <c r="T66" s="449">
        <f>IF(GEP!O65="-",,GEP!O65/3)</f>
        <v>5.3599999999999994</v>
      </c>
      <c r="U66" s="449">
        <f>IF(GEP!O65="-",,GEP!O65/3)</f>
        <v>5.3599999999999994</v>
      </c>
      <c r="V66" s="267">
        <f>IF(GEP!P65="-",IF(GEP!S65="-",,GEP!S65),IF(GEP!S65="-",GEP!P65,GEP!P65+GEP!S65))</f>
        <v>0</v>
      </c>
      <c r="W66" s="427">
        <v>0</v>
      </c>
      <c r="X66" s="427">
        <v>0</v>
      </c>
      <c r="Y66" s="113">
        <f>IF(GEP!L65="-",,GEP!L65)</f>
        <v>0</v>
      </c>
      <c r="Z66" s="113">
        <f>IF(GEP!M65="-",,GEP!M65)</f>
        <v>0</v>
      </c>
      <c r="AA66" s="113">
        <f>IF(GEP!Q65="-",,GEP!Q65)</f>
        <v>0</v>
      </c>
      <c r="AB66" s="113">
        <f>IF(GEP!R65="-",,GEP!R65)</f>
        <v>0</v>
      </c>
      <c r="AC66" s="113">
        <f>IF(GEP!P65="-",,GEP!P65)</f>
        <v>0</v>
      </c>
      <c r="AD66" s="113">
        <f>IF(GEP!S65="-",,GEP!S65)</f>
        <v>0</v>
      </c>
      <c r="AE66" s="149">
        <f t="shared" si="0"/>
        <v>16.079999999999998</v>
      </c>
      <c r="AF66" s="149">
        <f t="shared" si="1"/>
        <v>16.079999999999998</v>
      </c>
      <c r="AG66" s="106">
        <f>IF(C66='Table 1.1 complete'!A62,AE66-'Table 1.1 complete'!E62,"error")</f>
        <v>-2.0000000000003126E-2</v>
      </c>
      <c r="AH66" s="113">
        <f>IF(C66='Table 1.2 complete'!A62,AE66-'Table 1.2 complete'!K62,"error")</f>
        <v>0</v>
      </c>
      <c r="AI66" s="106">
        <f>'Table 1.2 complete'!K62-'Table 1.1 complete'!E62</f>
        <v>-2.0000000000003126E-2</v>
      </c>
    </row>
    <row r="67" spans="3:35" x14ac:dyDescent="0.25">
      <c r="C67" s="167" t="str">
        <f>GEP_add1!P66</f>
        <v>Saudi Arabia</v>
      </c>
      <c r="D67" s="198">
        <f>GEP_add1!Q66</f>
        <v>150</v>
      </c>
      <c r="E67" s="167" t="str">
        <f>GEP_add1!R66</f>
        <v>ARB</v>
      </c>
      <c r="F67" s="127">
        <f>GEP_add1!S66</f>
        <v>15</v>
      </c>
      <c r="G67" s="267">
        <f>IF(GEP!F66="-",,GEP!F66)</f>
        <v>0</v>
      </c>
      <c r="H67" s="322">
        <f>IF(GEP!G66="-",,GEP!G66/2)</f>
        <v>0</v>
      </c>
      <c r="I67" s="322">
        <f>IF(GEP!G66="-",,GEP!G66/2)</f>
        <v>0</v>
      </c>
      <c r="J67" s="267">
        <f>IF(GEP!H66="-",,GEP!H66)</f>
        <v>0</v>
      </c>
      <c r="K67" s="321">
        <f>IF(GEP!I66="-",,GEP!I66/2)</f>
        <v>0</v>
      </c>
      <c r="L67" s="321">
        <f>IF(GEP!I66="-",,GEP!I66/2)</f>
        <v>0</v>
      </c>
      <c r="M67" s="113">
        <f>IF(GEP!J66="-",,GEP!J66/2)</f>
        <v>0</v>
      </c>
      <c r="N67" s="113">
        <f>IF(GEP!J66="-",,GEP!J66/2)</f>
        <v>0</v>
      </c>
      <c r="O67" s="267">
        <f>IF(GEP!K66="-",,GEP!K66)</f>
        <v>0</v>
      </c>
      <c r="P67" s="445">
        <f>IF(GEP!N66="-",,GEP!N66/3)</f>
        <v>34.773333333333333</v>
      </c>
      <c r="Q67" s="445">
        <f>IF(GEP!N66="-",,GEP!N66/3)</f>
        <v>34.773333333333333</v>
      </c>
      <c r="R67" s="445">
        <f>IF(GEP!N66="-",,GEP!N66/3)</f>
        <v>34.773333333333333</v>
      </c>
      <c r="S67" s="449">
        <f>IF(GEP!O66="-",,GEP!O66/3)</f>
        <v>28.25</v>
      </c>
      <c r="T67" s="449">
        <f>IF(GEP!O66="-",,GEP!O66/3)</f>
        <v>28.25</v>
      </c>
      <c r="U67" s="449">
        <f>IF(GEP!O66="-",,GEP!O66/3)</f>
        <v>28.25</v>
      </c>
      <c r="V67" s="267">
        <f>IF(GEP!P66="-",IF(GEP!S66="-",,GEP!S66),IF(GEP!S66="-",GEP!P66,GEP!P66+GEP!S66))</f>
        <v>0</v>
      </c>
      <c r="W67" s="427">
        <v>0</v>
      </c>
      <c r="X67" s="427">
        <v>0</v>
      </c>
      <c r="Y67" s="113">
        <f>IF(GEP!L66="-",,GEP!L66)</f>
        <v>0</v>
      </c>
      <c r="Z67" s="113">
        <f>IF(GEP!M66="-",,GEP!M66)</f>
        <v>0</v>
      </c>
      <c r="AA67" s="113">
        <f>IF(GEP!Q66="-",,GEP!Q66)</f>
        <v>0</v>
      </c>
      <c r="AB67" s="113">
        <f>IF(GEP!R66="-",,GEP!R66)</f>
        <v>0</v>
      </c>
      <c r="AC67" s="113">
        <f>IF(GEP!P66="-",,GEP!P66)</f>
        <v>0</v>
      </c>
      <c r="AD67" s="113">
        <f>IF(GEP!S66="-",,GEP!S66)</f>
        <v>0</v>
      </c>
      <c r="AE67" s="149">
        <f t="shared" si="0"/>
        <v>189.07</v>
      </c>
      <c r="AF67" s="149">
        <f t="shared" si="1"/>
        <v>189.07</v>
      </c>
      <c r="AG67" s="106">
        <f>IF(C67='Table 1.1 complete'!A63,AE67-'Table 1.1 complete'!E63,"error")</f>
        <v>-3.0000000000001137E-2</v>
      </c>
      <c r="AH67" s="113">
        <f>IF(C67='Table 1.2 complete'!A63,AE67-'Table 1.2 complete'!K63,"error")</f>
        <v>-1.0000000000019327E-2</v>
      </c>
      <c r="AI67" s="106">
        <f>'Table 1.2 complete'!K63-'Table 1.1 complete'!E63</f>
        <v>-1.999999999998181E-2</v>
      </c>
    </row>
    <row r="68" spans="3:35" x14ac:dyDescent="0.25">
      <c r="C68" s="167" t="str">
        <f>GEP_add1!P67</f>
        <v>Syria</v>
      </c>
      <c r="D68" s="198">
        <f>GEP_add1!Q67</f>
        <v>151</v>
      </c>
      <c r="E68" s="167" t="str">
        <f>GEP_add1!R67</f>
        <v>ARB</v>
      </c>
      <c r="F68" s="127">
        <f>GEP_add1!S67</f>
        <v>15</v>
      </c>
      <c r="G68" s="267">
        <f>IF(GEP!F67="-",,GEP!F67)</f>
        <v>0</v>
      </c>
      <c r="H68" s="322">
        <f>IF(GEP!G67="-",,GEP!G67/2)</f>
        <v>1.76</v>
      </c>
      <c r="I68" s="322">
        <f>IF(GEP!G67="-",,GEP!G67/2)</f>
        <v>1.76</v>
      </c>
      <c r="J68" s="267">
        <f>IF(GEP!H67="-",,GEP!H67)</f>
        <v>0</v>
      </c>
      <c r="K68" s="321">
        <f>IF(GEP!I67="-",,GEP!I67/2)</f>
        <v>0</v>
      </c>
      <c r="L68" s="321">
        <f>IF(GEP!I67="-",,GEP!I67/2)</f>
        <v>0</v>
      </c>
      <c r="M68" s="113">
        <f>IF(GEP!J67="-",,GEP!J67/2)</f>
        <v>0</v>
      </c>
      <c r="N68" s="113">
        <f>IF(GEP!J67="-",,GEP!J67/2)</f>
        <v>0</v>
      </c>
      <c r="O68" s="267">
        <f>IF(GEP!K67="-",,GEP!K67)</f>
        <v>0</v>
      </c>
      <c r="P68" s="445">
        <f>IF(GEP!N67="-",,GEP!N67/3)</f>
        <v>7.6833333333333336</v>
      </c>
      <c r="Q68" s="445">
        <f>IF(GEP!N67="-",,GEP!N67/3)</f>
        <v>7.6833333333333336</v>
      </c>
      <c r="R68" s="445">
        <f>IF(GEP!N67="-",,GEP!N67/3)</f>
        <v>7.6833333333333336</v>
      </c>
      <c r="S68" s="449">
        <f>IF(GEP!O67="-",,GEP!O67/3)</f>
        <v>4.0233333333333334</v>
      </c>
      <c r="T68" s="449">
        <f>IF(GEP!O67="-",,GEP!O67/3)</f>
        <v>4.0233333333333334</v>
      </c>
      <c r="U68" s="449">
        <f>IF(GEP!O67="-",,GEP!O67/3)</f>
        <v>4.0233333333333334</v>
      </c>
      <c r="V68" s="267">
        <f>IF(GEP!P67="-",IF(GEP!S67="-",,GEP!S67),IF(GEP!S67="-",GEP!P67,GEP!P67+GEP!S67))</f>
        <v>0</v>
      </c>
      <c r="W68" s="427">
        <v>0</v>
      </c>
      <c r="X68" s="427">
        <v>0</v>
      </c>
      <c r="Y68" s="113">
        <f>IF(GEP!L67="-",,GEP!L67)</f>
        <v>0</v>
      </c>
      <c r="Z68" s="113">
        <f>IF(GEP!M67="-",,GEP!M67)</f>
        <v>0</v>
      </c>
      <c r="AA68" s="113">
        <f>IF(GEP!Q67="-",,GEP!Q67)</f>
        <v>0</v>
      </c>
      <c r="AB68" s="113">
        <f>IF(GEP!R67="-",,GEP!R67)</f>
        <v>0</v>
      </c>
      <c r="AC68" s="113">
        <f>IF(GEP!P67="-",,GEP!P67)</f>
        <v>0</v>
      </c>
      <c r="AD68" s="113">
        <f>IF(GEP!S67="-",,GEP!S67)</f>
        <v>0</v>
      </c>
      <c r="AE68" s="149">
        <f t="shared" si="0"/>
        <v>38.64</v>
      </c>
      <c r="AF68" s="149">
        <f t="shared" si="1"/>
        <v>38.64</v>
      </c>
      <c r="AG68" s="106">
        <f>IF(C68='Table 1.1 complete'!A64,AE68-'Table 1.1 complete'!E64,"error")</f>
        <v>3.9999999999999147E-2</v>
      </c>
      <c r="AH68" s="113">
        <f>IF(C68='Table 1.2 complete'!A64,AE68-'Table 1.2 complete'!K64,"error")</f>
        <v>0</v>
      </c>
      <c r="AI68" s="106">
        <f>'Table 1.2 complete'!K64-'Table 1.1 complete'!E64</f>
        <v>3.9999999999999147E-2</v>
      </c>
    </row>
    <row r="69" spans="3:35" x14ac:dyDescent="0.25">
      <c r="C69" s="167" t="str">
        <f>GEP_add1!P68</f>
        <v>Tunisia</v>
      </c>
      <c r="D69" s="198">
        <f>GEP_add1!Q68</f>
        <v>62</v>
      </c>
      <c r="E69" s="167" t="str">
        <f>GEP_add1!R68</f>
        <v>ARB</v>
      </c>
      <c r="F69" s="127">
        <f>GEP_add1!S68</f>
        <v>15</v>
      </c>
      <c r="G69" s="267">
        <f>IF(GEP!F68="-",,GEP!F68)</f>
        <v>0</v>
      </c>
      <c r="H69" s="322">
        <f>IF(GEP!G68="-",,GEP!G68/2)</f>
        <v>2.5000000000000001E-2</v>
      </c>
      <c r="I69" s="322">
        <f>IF(GEP!G68="-",,GEP!G68/2)</f>
        <v>2.5000000000000001E-2</v>
      </c>
      <c r="J69" s="267">
        <f>IF(GEP!H68="-",,GEP!H68)</f>
        <v>0</v>
      </c>
      <c r="K69" s="321">
        <f>IF(GEP!I68="-",,GEP!I68/2)</f>
        <v>0.02</v>
      </c>
      <c r="L69" s="321">
        <f>IF(GEP!I68="-",,GEP!I68/2)</f>
        <v>0.02</v>
      </c>
      <c r="M69" s="113">
        <f>IF(GEP!J68="-",,GEP!J68/2)</f>
        <v>0</v>
      </c>
      <c r="N69" s="113">
        <f>IF(GEP!J68="-",,GEP!J68/2)</f>
        <v>0</v>
      </c>
      <c r="O69" s="267">
        <f>IF(GEP!K68="-",,GEP!K68)</f>
        <v>0</v>
      </c>
      <c r="P69" s="445">
        <f>IF(GEP!N68="-",,GEP!N68/3)</f>
        <v>0.79333333333333333</v>
      </c>
      <c r="Q69" s="445">
        <f>IF(GEP!N68="-",,GEP!N68/3)</f>
        <v>0.79333333333333333</v>
      </c>
      <c r="R69" s="445">
        <f>IF(GEP!N68="-",,GEP!N68/3)</f>
        <v>0.79333333333333333</v>
      </c>
      <c r="S69" s="449">
        <f>IF(GEP!O68="-",,GEP!O68/3)</f>
        <v>4.0633333333333335</v>
      </c>
      <c r="T69" s="449">
        <f>IF(GEP!O68="-",,GEP!O68/3)</f>
        <v>4.0633333333333335</v>
      </c>
      <c r="U69" s="449">
        <f>IF(GEP!O68="-",,GEP!O68/3)</f>
        <v>4.0633333333333335</v>
      </c>
      <c r="V69" s="267">
        <f>IF(GEP!P68="-",IF(GEP!S68="-",,GEP!S68),IF(GEP!S68="-",GEP!P68,GEP!P68+GEP!S68))</f>
        <v>0</v>
      </c>
      <c r="W69" s="427">
        <v>0</v>
      </c>
      <c r="X69" s="427">
        <v>0</v>
      </c>
      <c r="Y69" s="113">
        <f>IF(GEP!L68="-",,GEP!L68)</f>
        <v>0</v>
      </c>
      <c r="Z69" s="113">
        <f>IF(GEP!M68="-",,GEP!M68)</f>
        <v>0</v>
      </c>
      <c r="AA69" s="113">
        <f>IF(GEP!Q68="-",,GEP!Q68)</f>
        <v>0</v>
      </c>
      <c r="AB69" s="113">
        <f>IF(GEP!R68="-",,GEP!R68)</f>
        <v>0</v>
      </c>
      <c r="AC69" s="113">
        <f>IF(GEP!P68="-",,GEP!P68)</f>
        <v>0</v>
      </c>
      <c r="AD69" s="113">
        <f>IF(GEP!S68="-",,GEP!S68)</f>
        <v>0</v>
      </c>
      <c r="AE69" s="149">
        <f t="shared" si="0"/>
        <v>14.66</v>
      </c>
      <c r="AF69" s="149">
        <f t="shared" si="1"/>
        <v>14.66</v>
      </c>
      <c r="AG69" s="106">
        <f>IF(C69='Table 1.1 complete'!A65,AE69-'Table 1.1 complete'!E65,"error")</f>
        <v>-3.9999999999999147E-2</v>
      </c>
      <c r="AH69" s="113">
        <f>IF(C69='Table 1.2 complete'!A65,AE69-'Table 1.2 complete'!K65,"error")</f>
        <v>0</v>
      </c>
      <c r="AI69" s="106">
        <f>'Table 1.2 complete'!K65-'Table 1.1 complete'!E65</f>
        <v>-3.9999999999999147E-2</v>
      </c>
    </row>
    <row r="70" spans="3:35" x14ac:dyDescent="0.25">
      <c r="C70" s="167" t="str">
        <f>GEP_add1!P69</f>
        <v>UAE</v>
      </c>
      <c r="D70" s="198">
        <f>GEP_add1!Q69</f>
        <v>152</v>
      </c>
      <c r="E70" s="167" t="str">
        <f>GEP_add1!R69</f>
        <v>ARB</v>
      </c>
      <c r="F70" s="127">
        <f>GEP_add1!S69</f>
        <v>15</v>
      </c>
      <c r="G70" s="267">
        <f>IF(GEP!F69="-",,GEP!F69)</f>
        <v>0</v>
      </c>
      <c r="H70" s="322">
        <f>IF(GEP!G69="-",,GEP!G69/2)</f>
        <v>0</v>
      </c>
      <c r="I70" s="322">
        <f>IF(GEP!G69="-",,GEP!G69/2)</f>
        <v>0</v>
      </c>
      <c r="J70" s="267">
        <f>IF(GEP!H69="-",,GEP!H69)</f>
        <v>0</v>
      </c>
      <c r="K70" s="321">
        <f>IF(GEP!I69="-",,GEP!I69/2)</f>
        <v>0</v>
      </c>
      <c r="L70" s="321">
        <f>IF(GEP!I69="-",,GEP!I69/2)</f>
        <v>0</v>
      </c>
      <c r="M70" s="113">
        <f>IF(GEP!J69="-",,GEP!J69/2)</f>
        <v>0</v>
      </c>
      <c r="N70" s="113">
        <f>IF(GEP!J69="-",,GEP!J69/2)</f>
        <v>0</v>
      </c>
      <c r="O70" s="267">
        <f>IF(GEP!K69="-",,GEP!K69)</f>
        <v>0</v>
      </c>
      <c r="P70" s="445">
        <f>IF(GEP!N69="-",,GEP!N69/3)</f>
        <v>0.47333333333333333</v>
      </c>
      <c r="Q70" s="445">
        <f>IF(GEP!N69="-",,GEP!N69/3)</f>
        <v>0.47333333333333333</v>
      </c>
      <c r="R70" s="445">
        <f>IF(GEP!N69="-",,GEP!N69/3)</f>
        <v>0.47333333333333333</v>
      </c>
      <c r="S70" s="449">
        <f>IF(GEP!O69="-",,GEP!O69/3)</f>
        <v>24.896666666666665</v>
      </c>
      <c r="T70" s="449">
        <f>IF(GEP!O69="-",,GEP!O69/3)</f>
        <v>24.896666666666665</v>
      </c>
      <c r="U70" s="449">
        <f>IF(GEP!O69="-",,GEP!O69/3)</f>
        <v>24.896666666666665</v>
      </c>
      <c r="V70" s="267">
        <f>IF(GEP!P69="-",IF(GEP!S69="-",,GEP!S69),IF(GEP!S69="-",GEP!P69,GEP!P69+GEP!S69))</f>
        <v>0</v>
      </c>
      <c r="W70" s="427">
        <v>0</v>
      </c>
      <c r="X70" s="427">
        <v>0</v>
      </c>
      <c r="Y70" s="113">
        <f>IF(GEP!L69="-",,GEP!L69)</f>
        <v>0</v>
      </c>
      <c r="Z70" s="113">
        <f>IF(GEP!M69="-",,GEP!M69)</f>
        <v>0</v>
      </c>
      <c r="AA70" s="113">
        <f>IF(GEP!Q69="-",,GEP!Q69)</f>
        <v>0</v>
      </c>
      <c r="AB70" s="113">
        <f>IF(GEP!R69="-",,GEP!R69)</f>
        <v>0</v>
      </c>
      <c r="AC70" s="113">
        <f>IF(GEP!P69="-",,GEP!P69)</f>
        <v>0</v>
      </c>
      <c r="AD70" s="113">
        <f>IF(GEP!S69="-",,GEP!S69)</f>
        <v>0</v>
      </c>
      <c r="AE70" s="149">
        <f t="shared" si="0"/>
        <v>76.109999999999985</v>
      </c>
      <c r="AF70" s="149">
        <f t="shared" si="1"/>
        <v>76.109999999999985</v>
      </c>
      <c r="AG70" s="106">
        <f>IF(C70='Table 1.1 complete'!A66,AE70-'Table 1.1 complete'!E66,"error")</f>
        <v>9.9999999999909051E-3</v>
      </c>
      <c r="AH70" s="113">
        <f>IF(C70='Table 1.2 complete'!A66,AE70-'Table 1.2 complete'!K66,"error")</f>
        <v>-1.4210854715202004E-14</v>
      </c>
      <c r="AI70" s="106">
        <f>'Table 1.2 complete'!K66-'Table 1.1 complete'!E66</f>
        <v>1.0000000000005116E-2</v>
      </c>
    </row>
    <row r="71" spans="3:35" x14ac:dyDescent="0.25">
      <c r="C71" s="167" t="str">
        <f>GEP_add1!P70</f>
        <v>Yemen</v>
      </c>
      <c r="D71" s="198">
        <f>GEP_add1!Q70</f>
        <v>153</v>
      </c>
      <c r="E71" s="167" t="str">
        <f>GEP_add1!R70</f>
        <v>ARB</v>
      </c>
      <c r="F71" s="127">
        <f>GEP_add1!S70</f>
        <v>15</v>
      </c>
      <c r="G71" s="267">
        <f>IF(GEP!F70="-",,GEP!F70)</f>
        <v>0</v>
      </c>
      <c r="H71" s="322">
        <f>IF(GEP!G70="-",,GEP!G70/2)</f>
        <v>0</v>
      </c>
      <c r="I71" s="322">
        <f>IF(GEP!G70="-",,GEP!G70/2)</f>
        <v>0</v>
      </c>
      <c r="J71" s="267">
        <f>IF(GEP!H70="-",,GEP!H70)</f>
        <v>0</v>
      </c>
      <c r="K71" s="321">
        <f>IF(GEP!I70="-",,GEP!I70/2)</f>
        <v>0</v>
      </c>
      <c r="L71" s="321">
        <f>IF(GEP!I70="-",,GEP!I70/2)</f>
        <v>0</v>
      </c>
      <c r="M71" s="113">
        <f>IF(GEP!J70="-",,GEP!J70/2)</f>
        <v>0</v>
      </c>
      <c r="N71" s="113">
        <f>IF(GEP!J70="-",,GEP!J70/2)</f>
        <v>0</v>
      </c>
      <c r="O71" s="267">
        <f>IF(GEP!K70="-",,GEP!K70)</f>
        <v>0</v>
      </c>
      <c r="P71" s="445">
        <f>IF(GEP!N70="-",,GEP!N70/3)</f>
        <v>2.0100000000000002</v>
      </c>
      <c r="Q71" s="445">
        <f>IF(GEP!N70="-",,GEP!N70/3)</f>
        <v>2.0100000000000002</v>
      </c>
      <c r="R71" s="445">
        <f>IF(GEP!N70="-",,GEP!N70/3)</f>
        <v>2.0100000000000002</v>
      </c>
      <c r="S71" s="449">
        <f>IF(GEP!O70="-",,GEP!O70/3)</f>
        <v>0</v>
      </c>
      <c r="T71" s="449">
        <f>IF(GEP!O70="-",,GEP!O70/3)</f>
        <v>0</v>
      </c>
      <c r="U71" s="449">
        <f>IF(GEP!O70="-",,GEP!O70/3)</f>
        <v>0</v>
      </c>
      <c r="V71" s="267">
        <f>IF(GEP!P70="-",IF(GEP!S70="-",,GEP!S70),IF(GEP!S70="-",GEP!P70,GEP!P70+GEP!S70))</f>
        <v>0</v>
      </c>
      <c r="W71" s="427">
        <v>0</v>
      </c>
      <c r="X71" s="427">
        <v>0</v>
      </c>
      <c r="Y71" s="113">
        <f>IF(GEP!L70="-",,GEP!L70)</f>
        <v>0</v>
      </c>
      <c r="Z71" s="113">
        <f>IF(GEP!M70="-",,GEP!M70)</f>
        <v>0</v>
      </c>
      <c r="AA71" s="113">
        <f>IF(GEP!Q70="-",,GEP!Q70)</f>
        <v>0</v>
      </c>
      <c r="AB71" s="113">
        <f>IF(GEP!R70="-",,GEP!R70)</f>
        <v>0</v>
      </c>
      <c r="AC71" s="113">
        <f>IF(GEP!P70="-",,GEP!P70)</f>
        <v>0</v>
      </c>
      <c r="AD71" s="113">
        <f>IF(GEP!S70="-",,GEP!S70)</f>
        <v>0</v>
      </c>
      <c r="AE71" s="149">
        <f t="shared" si="0"/>
        <v>6.0300000000000011</v>
      </c>
      <c r="AF71" s="149">
        <f t="shared" si="1"/>
        <v>6.0300000000000011</v>
      </c>
      <c r="AG71" s="106">
        <f>IF(C71='Table 1.1 complete'!A67,AE71-'Table 1.1 complete'!E67,"error")</f>
        <v>3.0000000000001137E-2</v>
      </c>
      <c r="AH71" s="113">
        <f>IF(C71='Table 1.2 complete'!A67,AE71-'Table 1.2 complete'!K67,"error")</f>
        <v>8.8817841970012523E-16</v>
      </c>
      <c r="AI71" s="106">
        <f>'Table 1.2 complete'!K67-'Table 1.1 complete'!E67</f>
        <v>3.0000000000000249E-2</v>
      </c>
    </row>
    <row r="72" spans="3:35" x14ac:dyDescent="0.25">
      <c r="C72" s="167" t="str">
        <f>GEP_add1!P72</f>
        <v>Nigeria</v>
      </c>
      <c r="D72" s="198">
        <f>GEP_add1!Q72</f>
        <v>56</v>
      </c>
      <c r="E72" s="167" t="str">
        <f>GEP_add1!R72</f>
        <v>OPE</v>
      </c>
      <c r="F72" s="127">
        <f>GEP_add1!S72</f>
        <v>16</v>
      </c>
      <c r="G72" s="267">
        <f>IF(GEP!F71="-",,GEP!F71)</f>
        <v>0</v>
      </c>
      <c r="H72" s="322">
        <f>IF(GEP!G71="-",,GEP!G71/2)</f>
        <v>4.5199999999999996</v>
      </c>
      <c r="I72" s="322">
        <f>IF(GEP!G71="-",,GEP!G71/2)</f>
        <v>4.5199999999999996</v>
      </c>
      <c r="J72" s="267">
        <f>IF(GEP!H71="-",,GEP!H71)</f>
        <v>0</v>
      </c>
      <c r="K72" s="321">
        <f>IF(GEP!I71="-",,GEP!I71/2)</f>
        <v>0</v>
      </c>
      <c r="L72" s="321">
        <f>IF(GEP!I71="-",,GEP!I71/2)</f>
        <v>0</v>
      </c>
      <c r="M72" s="113">
        <f>IF(GEP!J71="-",,GEP!J71/2)</f>
        <v>0</v>
      </c>
      <c r="N72" s="113">
        <f>IF(GEP!J71="-",,GEP!J71/2)</f>
        <v>0</v>
      </c>
      <c r="O72" s="267">
        <f>IF(GEP!K71="-",,GEP!K71)</f>
        <v>0</v>
      </c>
      <c r="P72" s="445">
        <f>IF(GEP!N71="-",,GEP!N71/3)</f>
        <v>2.3733333333333335</v>
      </c>
      <c r="Q72" s="445">
        <f>IF(GEP!N71="-",,GEP!N71/3)</f>
        <v>2.3733333333333335</v>
      </c>
      <c r="R72" s="445">
        <f>IF(GEP!N71="-",,GEP!N71/3)</f>
        <v>2.3733333333333335</v>
      </c>
      <c r="S72" s="449">
        <f>IF(GEP!O71="-",,GEP!O71/3)</f>
        <v>0.39333333333333331</v>
      </c>
      <c r="T72" s="449">
        <f>IF(GEP!O71="-",,GEP!O71/3)</f>
        <v>0.39333333333333331</v>
      </c>
      <c r="U72" s="449">
        <f>IF(GEP!O71="-",,GEP!O71/3)</f>
        <v>0.39333333333333331</v>
      </c>
      <c r="V72" s="267">
        <f>IF(GEP!P71="-",IF(GEP!S71="-",,GEP!S71),IF(GEP!S71="-",GEP!P71,GEP!P71+GEP!S71))</f>
        <v>0</v>
      </c>
      <c r="W72" s="427">
        <v>0</v>
      </c>
      <c r="X72" s="427">
        <v>0</v>
      </c>
      <c r="Y72" s="113">
        <f>IF(GEP!L71="-",,GEP!L71)</f>
        <v>0</v>
      </c>
      <c r="Z72" s="113">
        <f>IF(GEP!M71="-",,GEP!M71)</f>
        <v>0</v>
      </c>
      <c r="AA72" s="113">
        <f>IF(GEP!Q71="-",,GEP!Q71)</f>
        <v>0</v>
      </c>
      <c r="AB72" s="113">
        <f>IF(GEP!R71="-",,GEP!R71)</f>
        <v>0</v>
      </c>
      <c r="AC72" s="113">
        <f>IF(GEP!P71="-",,GEP!P71)</f>
        <v>0</v>
      </c>
      <c r="AD72" s="113">
        <f>IF(GEP!S71="-",,GEP!S71)</f>
        <v>0</v>
      </c>
      <c r="AE72" s="149">
        <f t="shared" si="0"/>
        <v>17.340000000000003</v>
      </c>
      <c r="AF72" s="149">
        <f t="shared" si="1"/>
        <v>17.340000000000003</v>
      </c>
      <c r="AG72" s="106" t="str">
        <f>IF(C72='Table 1.1 complete'!A68,AE72-'Table 1.1 complete'!E68,"error")</f>
        <v>error</v>
      </c>
      <c r="AH72" s="113" t="str">
        <f>IF(C72='Table 1.2 complete'!A68,AE72-'Table 1.2 complete'!K68,"error")</f>
        <v>error</v>
      </c>
      <c r="AI72" s="106">
        <f>'Table 1.2 complete'!K68-'Table 1.1 complete'!E68</f>
        <v>3.9999999999999147E-2</v>
      </c>
    </row>
    <row r="73" spans="3:35" x14ac:dyDescent="0.25">
      <c r="C73" s="171" t="str">
        <f>GEP_add1!P73</f>
        <v>Venezuela</v>
      </c>
      <c r="D73" s="202">
        <f>GEP_add1!Q73</f>
        <v>88</v>
      </c>
      <c r="E73" s="171" t="str">
        <f>GEP_add1!R73</f>
        <v>OPE</v>
      </c>
      <c r="F73" s="131">
        <f>GEP_add1!S73</f>
        <v>16</v>
      </c>
      <c r="G73" s="267">
        <f>IF(GEP!F72="-",,GEP!F72)</f>
        <v>0</v>
      </c>
      <c r="H73" s="322">
        <f>IF(GEP!G72="-",,GEP!G72/2)</f>
        <v>5.6449999999999996</v>
      </c>
      <c r="I73" s="322">
        <f>IF(GEP!G72="-",,GEP!G72/2)</f>
        <v>5.6449999999999996</v>
      </c>
      <c r="J73" s="267">
        <f>IF(GEP!H72="-",,GEP!H72)</f>
        <v>7.02</v>
      </c>
      <c r="K73" s="321">
        <f>IF(GEP!I72="-",,GEP!I72/2)</f>
        <v>0</v>
      </c>
      <c r="L73" s="321">
        <f>IF(GEP!I72="-",,GEP!I72/2)</f>
        <v>0</v>
      </c>
      <c r="M73" s="113">
        <f>IF(GEP!J72="-",,GEP!J72/2)</f>
        <v>0</v>
      </c>
      <c r="N73" s="113">
        <f>IF(GEP!J72="-",,GEP!J72/2)</f>
        <v>0</v>
      </c>
      <c r="O73" s="267">
        <f>IF(GEP!K72="-",,GEP!K72)</f>
        <v>63.83</v>
      </c>
      <c r="P73" s="445">
        <f>IF(GEP!N72="-",,GEP!N72/3)</f>
        <v>12.566666666666668</v>
      </c>
      <c r="Q73" s="445">
        <f>IF(GEP!N72="-",,GEP!N72/3)</f>
        <v>12.566666666666668</v>
      </c>
      <c r="R73" s="445">
        <f>IF(GEP!N72="-",,GEP!N72/3)</f>
        <v>12.566666666666668</v>
      </c>
      <c r="S73" s="449">
        <f>IF(GEP!O72="-",,GEP!O72/3)</f>
        <v>7.4666666666666659</v>
      </c>
      <c r="T73" s="449">
        <f>IF(GEP!O72="-",,GEP!O72/3)</f>
        <v>7.4666666666666659</v>
      </c>
      <c r="U73" s="449">
        <f>IF(GEP!O72="-",,GEP!O72/3)</f>
        <v>7.4666666666666659</v>
      </c>
      <c r="V73" s="267">
        <f>IF(GEP!P72="-",IF(GEP!S72="-",,GEP!S72),IF(GEP!S72="-",GEP!P72,GEP!P72+GEP!S72))</f>
        <v>0</v>
      </c>
      <c r="W73" s="427">
        <v>0</v>
      </c>
      <c r="X73" s="427">
        <v>0</v>
      </c>
      <c r="Y73" s="113">
        <f>IF(GEP!L72="-",,GEP!L72)</f>
        <v>0</v>
      </c>
      <c r="Z73" s="113">
        <f>IF(GEP!M72="-",,GEP!M72)</f>
        <v>0</v>
      </c>
      <c r="AA73" s="113">
        <f>IF(GEP!Q72="-",,GEP!Q72)</f>
        <v>0</v>
      </c>
      <c r="AB73" s="113">
        <f>IF(GEP!R72="-",,GEP!R72)</f>
        <v>0</v>
      </c>
      <c r="AC73" s="113">
        <f>IF(GEP!P72="-",,GEP!P72)</f>
        <v>0</v>
      </c>
      <c r="AD73" s="113">
        <f>IF(GEP!S72="-",,GEP!S72)</f>
        <v>0</v>
      </c>
      <c r="AE73" s="149">
        <f t="shared" si="0"/>
        <v>142.23999999999998</v>
      </c>
      <c r="AF73" s="149">
        <f t="shared" si="1"/>
        <v>142.23999999999998</v>
      </c>
      <c r="AG73" s="106" t="str">
        <f>IF(C73='Table 1.1 complete'!A69,AE73-'Table 1.1 complete'!E69,"error")</f>
        <v>error</v>
      </c>
      <c r="AH73" s="113" t="str">
        <f>IF(C73='Table 1.2 complete'!A69,AE73-'Table 1.2 complete'!K69,"error")</f>
        <v>error</v>
      </c>
      <c r="AI73" s="106">
        <f>'Table 1.2 complete'!K69-'Table 1.1 complete'!E69</f>
        <v>4.0000000000020464E-2</v>
      </c>
    </row>
    <row r="74" spans="3:35" x14ac:dyDescent="0.25">
      <c r="C74" s="171" t="str">
        <f>GEP_add1!P75</f>
        <v>Albania</v>
      </c>
      <c r="D74" s="202">
        <f>GEP_add1!Q75</f>
        <v>113</v>
      </c>
      <c r="E74" s="171" t="str">
        <f>GEP_add1!R75</f>
        <v>ROW</v>
      </c>
      <c r="F74" s="131">
        <f>GEP_add1!S75</f>
        <v>17</v>
      </c>
      <c r="G74" s="267">
        <f>IF(GEP!F73="-",,GEP!F73)</f>
        <v>0</v>
      </c>
      <c r="H74" s="322">
        <f>IF(GEP!G73="-",,GEP!G73/2)</f>
        <v>3.2050000000000001</v>
      </c>
      <c r="I74" s="322">
        <f>IF(GEP!G73="-",,GEP!G73/2)</f>
        <v>3.2050000000000001</v>
      </c>
      <c r="J74" s="267">
        <f>IF(GEP!H73="-",,GEP!H73)</f>
        <v>0</v>
      </c>
      <c r="K74" s="321">
        <f>IF(GEP!I73="-",,GEP!I73/2)</f>
        <v>0</v>
      </c>
      <c r="L74" s="321">
        <f>IF(GEP!I73="-",,GEP!I73/2)</f>
        <v>0</v>
      </c>
      <c r="M74" s="113">
        <f>IF(GEP!J73="-",,GEP!J73/2)</f>
        <v>0</v>
      </c>
      <c r="N74" s="113">
        <f>IF(GEP!J73="-",,GEP!J73/2)</f>
        <v>0</v>
      </c>
      <c r="O74" s="267">
        <f>IF(GEP!K73="-",,GEP!K73)</f>
        <v>0</v>
      </c>
      <c r="P74" s="445">
        <f>IF(GEP!N73="-",,GEP!N73/3)</f>
        <v>0.37999999999999995</v>
      </c>
      <c r="Q74" s="445">
        <f>IF(GEP!N73="-",,GEP!N73/3)</f>
        <v>0.37999999999999995</v>
      </c>
      <c r="R74" s="445">
        <f>IF(GEP!N73="-",,GEP!N73/3)</f>
        <v>0.37999999999999995</v>
      </c>
      <c r="S74" s="449">
        <f>IF(GEP!O73="-",,GEP!O73/3)</f>
        <v>5.1466666666666665</v>
      </c>
      <c r="T74" s="449">
        <f>IF(GEP!O73="-",,GEP!O73/3)</f>
        <v>5.1466666666666665</v>
      </c>
      <c r="U74" s="449">
        <f>IF(GEP!O73="-",,GEP!O73/3)</f>
        <v>5.1466666666666665</v>
      </c>
      <c r="V74" s="267">
        <f>IF(GEP!P73="-",IF(GEP!S73="-",,GEP!S73),IF(GEP!S73="-",GEP!P73,GEP!P73+GEP!S73))</f>
        <v>0</v>
      </c>
      <c r="W74" s="427">
        <v>0</v>
      </c>
      <c r="X74" s="427">
        <v>0</v>
      </c>
      <c r="Y74" s="113">
        <f>IF(GEP!L73="-",,GEP!L73)</f>
        <v>0</v>
      </c>
      <c r="Z74" s="113">
        <f>IF(GEP!M73="-",,GEP!M73)</f>
        <v>0</v>
      </c>
      <c r="AA74" s="113">
        <f>IF(GEP!Q73="-",,GEP!Q73)</f>
        <v>0</v>
      </c>
      <c r="AB74" s="113">
        <f>IF(GEP!R73="-",,GEP!R73)</f>
        <v>0</v>
      </c>
      <c r="AC74" s="113">
        <f>IF(GEP!P73="-",,GEP!P73)</f>
        <v>0</v>
      </c>
      <c r="AD74" s="113">
        <f>IF(GEP!S73="-",,GEP!S73)</f>
        <v>0</v>
      </c>
      <c r="AE74" s="149">
        <f t="shared" si="0"/>
        <v>22.990000000000002</v>
      </c>
      <c r="AF74" s="149">
        <f t="shared" si="1"/>
        <v>22.990000000000002</v>
      </c>
      <c r="AG74" s="106" t="str">
        <f>IF(C74='Table 1.1 complete'!A70,AE74-'Table 1.1 complete'!E70,"error")</f>
        <v>error</v>
      </c>
      <c r="AH74" s="113" t="str">
        <f>IF(C74='Table 1.2 complete'!A70,AE74-'Table 1.2 complete'!K70,"error")</f>
        <v>error</v>
      </c>
      <c r="AI74" s="106">
        <f>'Table 1.2 complete'!K70-'Table 1.1 complete'!E70</f>
        <v>-1.9999999999999574E-2</v>
      </c>
    </row>
    <row r="75" spans="3:35" x14ac:dyDescent="0.25">
      <c r="C75" s="171" t="str">
        <f>GEP_add1!P76</f>
        <v xml:space="preserve">Angola        </v>
      </c>
      <c r="D75" s="202">
        <f>GEP_add1!Q76</f>
        <v>39</v>
      </c>
      <c r="E75" s="171" t="str">
        <f>GEP_add1!R76</f>
        <v>ROW</v>
      </c>
      <c r="F75" s="131">
        <f>GEP_add1!S76</f>
        <v>17</v>
      </c>
      <c r="G75" s="267">
        <f>IF(GEP!F74="-",,GEP!F74)</f>
        <v>0</v>
      </c>
      <c r="H75" s="322">
        <f>IF(GEP!G74="-",,GEP!G74/2)</f>
        <v>41.53</v>
      </c>
      <c r="I75" s="322">
        <f>IF(GEP!G74="-",,GEP!G74/2)</f>
        <v>41.53</v>
      </c>
      <c r="J75" s="267">
        <f>IF(GEP!H74="-",,GEP!H74)</f>
        <v>0</v>
      </c>
      <c r="K75" s="321">
        <f>IF(GEP!I74="-",,GEP!I74/2)</f>
        <v>0</v>
      </c>
      <c r="L75" s="321">
        <f>IF(GEP!I74="-",,GEP!I74/2)</f>
        <v>0</v>
      </c>
      <c r="M75" s="113">
        <f>IF(GEP!J74="-",,GEP!J74/2)</f>
        <v>0</v>
      </c>
      <c r="N75" s="113">
        <f>IF(GEP!J74="-",,GEP!J74/2)</f>
        <v>0</v>
      </c>
      <c r="O75" s="267">
        <f>IF(GEP!K74="-",,GEP!K74)</f>
        <v>0</v>
      </c>
      <c r="P75" s="445">
        <f>IF(GEP!N74="-",,GEP!N74/3)</f>
        <v>4.37</v>
      </c>
      <c r="Q75" s="445">
        <f>IF(GEP!N74="-",,GEP!N74/3)</f>
        <v>4.37</v>
      </c>
      <c r="R75" s="445">
        <f>IF(GEP!N74="-",,GEP!N74/3)</f>
        <v>4.37</v>
      </c>
      <c r="S75" s="449">
        <f>IF(GEP!O74="-",,GEP!O74/3)</f>
        <v>6.23</v>
      </c>
      <c r="T75" s="449">
        <f>IF(GEP!O74="-",,GEP!O74/3)</f>
        <v>6.23</v>
      </c>
      <c r="U75" s="449">
        <f>IF(GEP!O74="-",,GEP!O74/3)</f>
        <v>6.23</v>
      </c>
      <c r="V75" s="267">
        <f>IF(GEP!P74="-",IF(GEP!S74="-",,GEP!S74),IF(GEP!S74="-",GEP!P74,GEP!P74+GEP!S74))</f>
        <v>0</v>
      </c>
      <c r="W75" s="427">
        <v>0</v>
      </c>
      <c r="X75" s="427">
        <v>0</v>
      </c>
      <c r="Y75" s="113">
        <f>IF(GEP!L74="-",,GEP!L74)</f>
        <v>0</v>
      </c>
      <c r="Z75" s="113">
        <f>IF(GEP!M74="-",,GEP!M74)</f>
        <v>0</v>
      </c>
      <c r="AA75" s="113">
        <f>IF(GEP!Q74="-",,GEP!Q74)</f>
        <v>0</v>
      </c>
      <c r="AB75" s="113">
        <f>IF(GEP!R74="-",,GEP!R74)</f>
        <v>0</v>
      </c>
      <c r="AC75" s="113">
        <f>IF(GEP!P74="-",,GEP!P74)</f>
        <v>0</v>
      </c>
      <c r="AD75" s="113">
        <f>IF(GEP!S74="-",,GEP!S74)</f>
        <v>0</v>
      </c>
      <c r="AE75" s="149">
        <f t="shared" ref="AE75:AE138" si="2">SUM(G75:AB75)</f>
        <v>114.86000000000003</v>
      </c>
      <c r="AF75" s="149">
        <f t="shared" ref="AF75:AF138" si="3">SUM(G75:V75)</f>
        <v>114.86000000000003</v>
      </c>
      <c r="AG75" s="106" t="str">
        <f>IF(C75='Table 1.1 complete'!A71,AE75-'Table 1.1 complete'!E71,"error")</f>
        <v>error</v>
      </c>
      <c r="AH75" s="113" t="str">
        <f>IF(C75='Table 1.2 complete'!A71,AE75-'Table 1.2 complete'!K71,"error")</f>
        <v>error</v>
      </c>
      <c r="AI75" s="106">
        <f>'Table 1.2 complete'!K71-'Table 1.1 complete'!E71</f>
        <v>-5.0000000000011369E-2</v>
      </c>
    </row>
    <row r="76" spans="3:35" x14ac:dyDescent="0.25">
      <c r="C76" s="176" t="str">
        <f>GEP_add1!P77</f>
        <v>Argentina</v>
      </c>
      <c r="D76" s="207">
        <f>GEP_add1!Q77</f>
        <v>67</v>
      </c>
      <c r="E76" s="176" t="str">
        <f>GEP_add1!R77</f>
        <v>ROW</v>
      </c>
      <c r="F76" s="135">
        <f>GEP_add1!S77</f>
        <v>17</v>
      </c>
      <c r="G76" s="267">
        <f>IF(GEP!F75="-",,GEP!F75)</f>
        <v>0</v>
      </c>
      <c r="H76" s="322">
        <f>IF(GEP!G75="-",,GEP!G75/2)</f>
        <v>1.395</v>
      </c>
      <c r="I76" s="322">
        <f>IF(GEP!G75="-",,GEP!G75/2)</f>
        <v>1.395</v>
      </c>
      <c r="J76" s="267">
        <f>IF(GEP!H75="-",,GEP!H75)</f>
        <v>0</v>
      </c>
      <c r="K76" s="321">
        <f>IF(GEP!I75="-",,GEP!I75/2)</f>
        <v>0</v>
      </c>
      <c r="L76" s="321">
        <f>IF(GEP!I75="-",,GEP!I75/2)</f>
        <v>0</v>
      </c>
      <c r="M76" s="113">
        <f>IF(GEP!J75="-",,GEP!J75/2)</f>
        <v>0</v>
      </c>
      <c r="N76" s="113">
        <f>IF(GEP!J75="-",,GEP!J75/2)</f>
        <v>0</v>
      </c>
      <c r="O76" s="267">
        <f>IF(GEP!K75="-",,GEP!K75)</f>
        <v>0</v>
      </c>
      <c r="P76" s="445">
        <f>IF(GEP!N75="-",,GEP!N75/3)</f>
        <v>2.3333333333333334E-2</v>
      </c>
      <c r="Q76" s="445">
        <f>IF(GEP!N75="-",,GEP!N75/3)</f>
        <v>2.3333333333333334E-2</v>
      </c>
      <c r="R76" s="445">
        <f>IF(GEP!N75="-",,GEP!N75/3)</f>
        <v>2.3333333333333334E-2</v>
      </c>
      <c r="S76" s="449">
        <f>IF(GEP!O75="-",,GEP!O75/3)</f>
        <v>0</v>
      </c>
      <c r="T76" s="449">
        <f>IF(GEP!O75="-",,GEP!O75/3)</f>
        <v>0</v>
      </c>
      <c r="U76" s="449">
        <f>IF(GEP!O75="-",,GEP!O75/3)</f>
        <v>0</v>
      </c>
      <c r="V76" s="267">
        <f>IF(GEP!P75="-",IF(GEP!S75="-",,GEP!S75),IF(GEP!S75="-",GEP!P75,GEP!P75+GEP!S75))</f>
        <v>0</v>
      </c>
      <c r="W76" s="427">
        <v>0</v>
      </c>
      <c r="X76" s="427">
        <v>0</v>
      </c>
      <c r="Y76" s="113">
        <f>IF(GEP!L75="-",,GEP!L75)</f>
        <v>0</v>
      </c>
      <c r="Z76" s="113">
        <f>IF(GEP!M75="-",,GEP!M75)</f>
        <v>0</v>
      </c>
      <c r="AA76" s="113">
        <f>IF(GEP!Q75="-",,GEP!Q75)</f>
        <v>0</v>
      </c>
      <c r="AB76" s="113">
        <f>IF(GEP!R75="-",,GEP!R75)</f>
        <v>0</v>
      </c>
      <c r="AC76" s="113">
        <f>IF(GEP!P75="-",,GEP!P75)</f>
        <v>0</v>
      </c>
      <c r="AD76" s="113">
        <f>IF(GEP!S75="-",,GEP!S75)</f>
        <v>0</v>
      </c>
      <c r="AE76" s="149">
        <f t="shared" si="2"/>
        <v>2.8600000000000003</v>
      </c>
      <c r="AF76" s="149">
        <f t="shared" si="3"/>
        <v>2.8600000000000003</v>
      </c>
      <c r="AG76" s="106" t="str">
        <f>IF(C76='Table 1.1 complete'!A72,AE76-'Table 1.1 complete'!E72,"error")</f>
        <v>error</v>
      </c>
      <c r="AH76" s="113" t="str">
        <f>IF(C76='Table 1.2 complete'!A72,AE76-'Table 1.2 complete'!K72,"error")</f>
        <v>error</v>
      </c>
      <c r="AI76" s="106">
        <f>'Table 1.2 complete'!K72-'Table 1.1 complete'!E72</f>
        <v>-4.0000000000000036E-2</v>
      </c>
    </row>
    <row r="77" spans="3:35" x14ac:dyDescent="0.25">
      <c r="C77" s="176" t="str">
        <f>GEP_add1!P78</f>
        <v>Armenia</v>
      </c>
      <c r="D77" s="207">
        <f>GEP_add1!Q78</f>
        <v>125</v>
      </c>
      <c r="E77" s="176" t="str">
        <f>GEP_add1!R78</f>
        <v>ROW</v>
      </c>
      <c r="F77" s="135">
        <f>GEP_add1!S78</f>
        <v>17</v>
      </c>
      <c r="G77" s="267">
        <f>IF(GEP!F76="-",,GEP!F76)</f>
        <v>0</v>
      </c>
      <c r="H77" s="322">
        <f>IF(GEP!G76="-",,GEP!G76/2)</f>
        <v>1.6</v>
      </c>
      <c r="I77" s="322">
        <f>IF(GEP!G76="-",,GEP!G76/2)</f>
        <v>1.6</v>
      </c>
      <c r="J77" s="267">
        <f>IF(GEP!H76="-",,GEP!H76)</f>
        <v>0</v>
      </c>
      <c r="K77" s="321">
        <f>IF(GEP!I76="-",,GEP!I76/2)</f>
        <v>0</v>
      </c>
      <c r="L77" s="321">
        <f>IF(GEP!I76="-",,GEP!I76/2)</f>
        <v>0</v>
      </c>
      <c r="M77" s="113">
        <f>IF(GEP!J76="-",,GEP!J76/2)</f>
        <v>0</v>
      </c>
      <c r="N77" s="113">
        <f>IF(GEP!J76="-",,GEP!J76/2)</f>
        <v>0</v>
      </c>
      <c r="O77" s="267">
        <f>IF(GEP!K76="-",,GEP!K76)</f>
        <v>0</v>
      </c>
      <c r="P77" s="445">
        <f>IF(GEP!N76="-",,GEP!N76/3)</f>
        <v>0.19666666666666666</v>
      </c>
      <c r="Q77" s="445">
        <f>IF(GEP!N76="-",,GEP!N76/3)</f>
        <v>0.19666666666666666</v>
      </c>
      <c r="R77" s="445">
        <f>IF(GEP!N76="-",,GEP!N76/3)</f>
        <v>0.19666666666666666</v>
      </c>
      <c r="S77" s="449">
        <f>IF(GEP!O76="-",,GEP!O76/3)</f>
        <v>0</v>
      </c>
      <c r="T77" s="449">
        <f>IF(GEP!O76="-",,GEP!O76/3)</f>
        <v>0</v>
      </c>
      <c r="U77" s="449">
        <f>IF(GEP!O76="-",,GEP!O76/3)</f>
        <v>0</v>
      </c>
      <c r="V77" s="267">
        <f>IF(GEP!P76="-",IF(GEP!S76="-",,GEP!S76),IF(GEP!S76="-",GEP!P76,GEP!P76+GEP!S76))</f>
        <v>0</v>
      </c>
      <c r="W77" s="427">
        <v>0</v>
      </c>
      <c r="X77" s="427">
        <v>0</v>
      </c>
      <c r="Y77" s="113">
        <f>IF(GEP!L76="-",,GEP!L76)</f>
        <v>0</v>
      </c>
      <c r="Z77" s="113">
        <f>IF(GEP!M76="-",,GEP!M76)</f>
        <v>0</v>
      </c>
      <c r="AA77" s="113">
        <f>IF(GEP!Q76="-",,GEP!Q76)</f>
        <v>0</v>
      </c>
      <c r="AB77" s="113">
        <f>IF(GEP!R76="-",,GEP!R76)</f>
        <v>0</v>
      </c>
      <c r="AC77" s="113">
        <f>IF(GEP!P76="-",,GEP!P76)</f>
        <v>0</v>
      </c>
      <c r="AD77" s="113">
        <f>IF(GEP!S76="-",,GEP!S76)</f>
        <v>0</v>
      </c>
      <c r="AE77" s="149">
        <f t="shared" si="2"/>
        <v>3.7900000000000005</v>
      </c>
      <c r="AF77" s="149">
        <f t="shared" si="3"/>
        <v>3.7900000000000005</v>
      </c>
      <c r="AG77" s="106" t="str">
        <f>IF(C77='Table 1.1 complete'!A73,AE77-'Table 1.1 complete'!E73,"error")</f>
        <v>error</v>
      </c>
      <c r="AH77" s="113" t="str">
        <f>IF(C77='Table 1.2 complete'!A73,AE77-'Table 1.2 complete'!K73,"error")</f>
        <v>error</v>
      </c>
      <c r="AI77" s="106">
        <f>'Table 1.2 complete'!K73-'Table 1.1 complete'!E73</f>
        <v>-9.9999999999997868E-3</v>
      </c>
    </row>
    <row r="78" spans="3:35" x14ac:dyDescent="0.25">
      <c r="C78" s="176" t="str">
        <f>GEP_add1!P79</f>
        <v>Azerbaijan</v>
      </c>
      <c r="D78" s="207">
        <f>GEP_add1!Q79</f>
        <v>126</v>
      </c>
      <c r="E78" s="176" t="str">
        <f>GEP_add1!R79</f>
        <v>ROW</v>
      </c>
      <c r="F78" s="135">
        <f>GEP_add1!S79</f>
        <v>17</v>
      </c>
      <c r="G78" s="267">
        <f>IF(GEP!F77="-",,GEP!F77)</f>
        <v>7.22</v>
      </c>
      <c r="H78" s="322">
        <f>IF(GEP!G77="-",,GEP!G77/2)</f>
        <v>15.365</v>
      </c>
      <c r="I78" s="322">
        <f>IF(GEP!G77="-",,GEP!G77/2)</f>
        <v>15.365</v>
      </c>
      <c r="J78" s="267">
        <f>IF(GEP!H77="-",,GEP!H77)</f>
        <v>0</v>
      </c>
      <c r="K78" s="321">
        <f>IF(GEP!I77="-",,GEP!I77/2)</f>
        <v>0.03</v>
      </c>
      <c r="L78" s="321">
        <f>IF(GEP!I77="-",,GEP!I77/2)</f>
        <v>0.03</v>
      </c>
      <c r="M78" s="113">
        <f>IF(GEP!J77="-",,GEP!J77/2)</f>
        <v>0.83499999999999996</v>
      </c>
      <c r="N78" s="113">
        <f>IF(GEP!J77="-",,GEP!J77/2)</f>
        <v>0.83499999999999996</v>
      </c>
      <c r="O78" s="267">
        <f>IF(GEP!K77="-",,GEP!K77)</f>
        <v>0</v>
      </c>
      <c r="P78" s="445">
        <f>IF(GEP!N77="-",,GEP!N77/3)</f>
        <v>3.5966666666666662</v>
      </c>
      <c r="Q78" s="445">
        <f>IF(GEP!N77="-",,GEP!N77/3)</f>
        <v>3.5966666666666662</v>
      </c>
      <c r="R78" s="445">
        <f>IF(GEP!N77="-",,GEP!N77/3)</f>
        <v>3.5966666666666662</v>
      </c>
      <c r="S78" s="449">
        <f>IF(GEP!O77="-",,GEP!O77/3)</f>
        <v>20.843333333333334</v>
      </c>
      <c r="T78" s="449">
        <f>IF(GEP!O77="-",,GEP!O77/3)</f>
        <v>20.843333333333334</v>
      </c>
      <c r="U78" s="449">
        <f>IF(GEP!O77="-",,GEP!O77/3)</f>
        <v>20.843333333333334</v>
      </c>
      <c r="V78" s="267">
        <f>IF(GEP!P77="-",IF(GEP!S77="-",,GEP!S77),IF(GEP!S77="-",GEP!P77,GEP!P77+GEP!S77))</f>
        <v>1.48</v>
      </c>
      <c r="W78" s="427">
        <v>0</v>
      </c>
      <c r="X78" s="427">
        <v>0</v>
      </c>
      <c r="Y78" s="113">
        <f>IF(GEP!L77="-",,GEP!L77)</f>
        <v>0</v>
      </c>
      <c r="Z78" s="113">
        <f>IF(GEP!M77="-",,GEP!M77)</f>
        <v>0.83</v>
      </c>
      <c r="AA78" s="113">
        <f>IF(GEP!Q77="-",,GEP!Q77)</f>
        <v>0</v>
      </c>
      <c r="AB78" s="113">
        <f>IF(GEP!R77="-",,GEP!R77)</f>
        <v>0</v>
      </c>
      <c r="AC78" s="113">
        <f>IF(GEP!P77="-",,GEP!P77)</f>
        <v>1.48</v>
      </c>
      <c r="AD78" s="113">
        <f>IF(GEP!S77="-",,GEP!S77)</f>
        <v>0</v>
      </c>
      <c r="AE78" s="149">
        <f t="shared" si="2"/>
        <v>115.31</v>
      </c>
      <c r="AF78" s="149">
        <f t="shared" si="3"/>
        <v>114.48</v>
      </c>
      <c r="AG78" s="106" t="str">
        <f>IF(C78='Table 1.1 complete'!A74,AE78-'Table 1.1 complete'!E74,"error")</f>
        <v>error</v>
      </c>
      <c r="AH78" s="113" t="str">
        <f>IF(C78='Table 1.2 complete'!A74,AE78-'Table 1.2 complete'!K74,"error")</f>
        <v>error</v>
      </c>
      <c r="AI78" s="106">
        <f>'Table 1.2 complete'!K74-'Table 1.1 complete'!E74</f>
        <v>0</v>
      </c>
    </row>
    <row r="79" spans="3:35" x14ac:dyDescent="0.25">
      <c r="C79" s="176" t="str">
        <f>GEP_add1!P80</f>
        <v>Bangladesh</v>
      </c>
      <c r="D79" s="207">
        <f>GEP_add1!Q80</f>
        <v>91</v>
      </c>
      <c r="E79" s="176" t="str">
        <f>GEP_add1!R80</f>
        <v>ROW</v>
      </c>
      <c r="F79" s="135">
        <f>GEP_add1!S80</f>
        <v>17</v>
      </c>
      <c r="G79" s="267">
        <f>IF(GEP!F78="-",,GEP!F78)</f>
        <v>2.5499999999999998</v>
      </c>
      <c r="H79" s="322">
        <f>IF(GEP!G78="-",,GEP!G78/2)</f>
        <v>0.92500000000000004</v>
      </c>
      <c r="I79" s="322">
        <f>IF(GEP!G78="-",,GEP!G78/2)</f>
        <v>0.92500000000000004</v>
      </c>
      <c r="J79" s="267">
        <f>IF(GEP!H78="-",,GEP!H78)</f>
        <v>0</v>
      </c>
      <c r="K79" s="321">
        <f>IF(GEP!I78="-",,GEP!I78/2)</f>
        <v>0</v>
      </c>
      <c r="L79" s="321">
        <f>IF(GEP!I78="-",,GEP!I78/2)</f>
        <v>0</v>
      </c>
      <c r="M79" s="113">
        <f>IF(GEP!J78="-",,GEP!J78/2)</f>
        <v>0</v>
      </c>
      <c r="N79" s="113">
        <f>IF(GEP!J78="-",,GEP!J78/2)</f>
        <v>0</v>
      </c>
      <c r="O79" s="267">
        <f>IF(GEP!K78="-",,GEP!K78)</f>
        <v>0</v>
      </c>
      <c r="P79" s="445">
        <f>IF(GEP!N78="-",,GEP!N78/3)</f>
        <v>0</v>
      </c>
      <c r="Q79" s="445">
        <f>IF(GEP!N78="-",,GEP!N78/3)</f>
        <v>0</v>
      </c>
      <c r="R79" s="445">
        <f>IF(GEP!N78="-",,GEP!N78/3)</f>
        <v>0</v>
      </c>
      <c r="S79" s="449">
        <f>IF(GEP!O78="-",,GEP!O78/3)</f>
        <v>0.49666666666666665</v>
      </c>
      <c r="T79" s="449">
        <f>IF(GEP!O78="-",,GEP!O78/3)</f>
        <v>0.49666666666666665</v>
      </c>
      <c r="U79" s="449">
        <f>IF(GEP!O78="-",,GEP!O78/3)</f>
        <v>0.49666666666666665</v>
      </c>
      <c r="V79" s="267">
        <f>IF(GEP!P78="-",IF(GEP!S78="-",,GEP!S78),IF(GEP!S78="-",GEP!P78,GEP!P78+GEP!S78))</f>
        <v>0</v>
      </c>
      <c r="W79" s="427">
        <v>0</v>
      </c>
      <c r="X79" s="427">
        <v>0</v>
      </c>
      <c r="Y79" s="113">
        <f>IF(GEP!L78="-",,GEP!L78)</f>
        <v>0</v>
      </c>
      <c r="Z79" s="113">
        <f>IF(GEP!M78="-",,GEP!M78)</f>
        <v>0</v>
      </c>
      <c r="AA79" s="113">
        <f>IF(GEP!Q78="-",,GEP!Q78)</f>
        <v>0</v>
      </c>
      <c r="AB79" s="113">
        <f>IF(GEP!R78="-",,GEP!R78)</f>
        <v>0</v>
      </c>
      <c r="AC79" s="113">
        <f>IF(GEP!P78="-",,GEP!P78)</f>
        <v>0</v>
      </c>
      <c r="AD79" s="113">
        <f>IF(GEP!S78="-",,GEP!S78)</f>
        <v>0</v>
      </c>
      <c r="AE79" s="149">
        <f t="shared" si="2"/>
        <v>5.8900000000000006</v>
      </c>
      <c r="AF79" s="149">
        <f t="shared" si="3"/>
        <v>5.8900000000000006</v>
      </c>
      <c r="AG79" s="106" t="str">
        <f>IF(C79='Table 1.1 complete'!A75,AE79-'Table 1.1 complete'!E75,"error")</f>
        <v>error</v>
      </c>
      <c r="AH79" s="113" t="str">
        <f>IF(C79='Table 1.2 complete'!A75,AE79-'Table 1.2 complete'!K75,"error")</f>
        <v>error</v>
      </c>
      <c r="AI79" s="106">
        <f>'Table 1.2 complete'!K75-'Table 1.1 complete'!E75</f>
        <v>0</v>
      </c>
    </row>
    <row r="80" spans="3:35" x14ac:dyDescent="0.25">
      <c r="C80" s="176" t="str">
        <f>GEP_add1!P81</f>
        <v>Belarus</v>
      </c>
      <c r="D80" s="207">
        <f>GEP_add1!Q81</f>
        <v>127</v>
      </c>
      <c r="E80" s="176" t="str">
        <f>GEP_add1!R81</f>
        <v>ROW</v>
      </c>
      <c r="F80" s="135">
        <f>GEP_add1!S81</f>
        <v>17</v>
      </c>
      <c r="G80" s="267">
        <f>IF(GEP!F79="-",,GEP!F79)</f>
        <v>0</v>
      </c>
      <c r="H80" s="322">
        <f>IF(GEP!G79="-",,GEP!G79/2)</f>
        <v>1.18</v>
      </c>
      <c r="I80" s="322">
        <f>IF(GEP!G79="-",,GEP!G79/2)</f>
        <v>1.18</v>
      </c>
      <c r="J80" s="267">
        <f>IF(GEP!H79="-",,GEP!H79)</f>
        <v>0</v>
      </c>
      <c r="K80" s="321">
        <f>IF(GEP!I79="-",,GEP!I79/2)</f>
        <v>0</v>
      </c>
      <c r="L80" s="321">
        <f>IF(GEP!I79="-",,GEP!I79/2)</f>
        <v>0</v>
      </c>
      <c r="M80" s="113">
        <f>IF(GEP!J79="-",,GEP!J79/2)</f>
        <v>0</v>
      </c>
      <c r="N80" s="113">
        <f>IF(GEP!J79="-",,GEP!J79/2)</f>
        <v>0</v>
      </c>
      <c r="O80" s="267">
        <f>IF(GEP!K79="-",,GEP!K79)</f>
        <v>0</v>
      </c>
      <c r="P80" s="445">
        <f>IF(GEP!N79="-",,GEP!N79/3)</f>
        <v>1.2666666666666666</v>
      </c>
      <c r="Q80" s="445">
        <f>IF(GEP!N79="-",,GEP!N79/3)</f>
        <v>1.2666666666666666</v>
      </c>
      <c r="R80" s="445">
        <f>IF(GEP!N79="-",,GEP!N79/3)</f>
        <v>1.2666666666666666</v>
      </c>
      <c r="S80" s="449">
        <f>IF(GEP!O79="-",,GEP!O79/3)</f>
        <v>6.0166666666666666</v>
      </c>
      <c r="T80" s="449">
        <f>IF(GEP!O79="-",,GEP!O79/3)</f>
        <v>6.0166666666666666</v>
      </c>
      <c r="U80" s="449">
        <f>IF(GEP!O79="-",,GEP!O79/3)</f>
        <v>6.0166666666666666</v>
      </c>
      <c r="V80" s="267">
        <f>IF(GEP!P79="-",IF(GEP!S79="-",,GEP!S79),IF(GEP!S79="-",GEP!P79,GEP!P79+GEP!S79))</f>
        <v>0</v>
      </c>
      <c r="W80" s="427">
        <v>0</v>
      </c>
      <c r="X80" s="427">
        <v>0</v>
      </c>
      <c r="Y80" s="113">
        <f>IF(GEP!L79="-",,GEP!L79)</f>
        <v>0</v>
      </c>
      <c r="Z80" s="113">
        <f>IF(GEP!M79="-",,GEP!M79)</f>
        <v>0</v>
      </c>
      <c r="AA80" s="113">
        <f>IF(GEP!Q79="-",,GEP!Q79)</f>
        <v>0</v>
      </c>
      <c r="AB80" s="113">
        <f>IF(GEP!R79="-",,GEP!R79)</f>
        <v>0</v>
      </c>
      <c r="AC80" s="113">
        <f>IF(GEP!P79="-",,GEP!P79)</f>
        <v>0</v>
      </c>
      <c r="AD80" s="113">
        <f>IF(GEP!S79="-",,GEP!S79)</f>
        <v>0</v>
      </c>
      <c r="AE80" s="149">
        <f t="shared" si="2"/>
        <v>24.209999999999997</v>
      </c>
      <c r="AF80" s="149">
        <f t="shared" si="3"/>
        <v>24.209999999999997</v>
      </c>
      <c r="AG80" s="106" t="str">
        <f>IF(C80='Table 1.1 complete'!A76,AE80-'Table 1.1 complete'!E76,"error")</f>
        <v>error</v>
      </c>
      <c r="AH80" s="113" t="str">
        <f>IF(C80='Table 1.2 complete'!A76,AE80-'Table 1.2 complete'!K76,"error")</f>
        <v>error</v>
      </c>
      <c r="AI80" s="106">
        <f>'Table 1.2 complete'!K76-'Table 1.1 complete'!E76</f>
        <v>1.0000000000001563E-2</v>
      </c>
    </row>
    <row r="81" spans="3:35" x14ac:dyDescent="0.25">
      <c r="C81" s="176" t="str">
        <f>GEP_add1!P82</f>
        <v>Benin</v>
      </c>
      <c r="D81" s="207">
        <f>GEP_add1!Q82</f>
        <v>40</v>
      </c>
      <c r="E81" s="176" t="str">
        <f>GEP_add1!R82</f>
        <v>ROW</v>
      </c>
      <c r="F81" s="135">
        <f>GEP_add1!S82</f>
        <v>17</v>
      </c>
      <c r="G81" s="267">
        <f>IF(GEP!F80="-",,GEP!F80)</f>
        <v>0</v>
      </c>
      <c r="H81" s="322">
        <f>IF(GEP!G80="-",,GEP!G80/2)</f>
        <v>0.69499999999999995</v>
      </c>
      <c r="I81" s="322">
        <f>IF(GEP!G80="-",,GEP!G80/2)</f>
        <v>0.69499999999999995</v>
      </c>
      <c r="J81" s="267">
        <f>IF(GEP!H80="-",,GEP!H80)</f>
        <v>0</v>
      </c>
      <c r="K81" s="321">
        <f>IF(GEP!I80="-",,GEP!I80/2)</f>
        <v>0</v>
      </c>
      <c r="L81" s="321">
        <f>IF(GEP!I80="-",,GEP!I80/2)</f>
        <v>0</v>
      </c>
      <c r="M81" s="113">
        <f>IF(GEP!J80="-",,GEP!J80/2)</f>
        <v>0</v>
      </c>
      <c r="N81" s="113">
        <f>IF(GEP!J80="-",,GEP!J80/2)</f>
        <v>0</v>
      </c>
      <c r="O81" s="267">
        <f>IF(GEP!K80="-",,GEP!K80)</f>
        <v>0</v>
      </c>
      <c r="P81" s="445">
        <f>IF(GEP!N80="-",,GEP!N80/3)</f>
        <v>0.54666666666666663</v>
      </c>
      <c r="Q81" s="445">
        <f>IF(GEP!N80="-",,GEP!N80/3)</f>
        <v>0.54666666666666663</v>
      </c>
      <c r="R81" s="445">
        <f>IF(GEP!N80="-",,GEP!N80/3)</f>
        <v>0.54666666666666663</v>
      </c>
      <c r="S81" s="449">
        <f>IF(GEP!O80="-",,GEP!O80/3)</f>
        <v>7.1133333333333333</v>
      </c>
      <c r="T81" s="449">
        <f>IF(GEP!O80="-",,GEP!O80/3)</f>
        <v>7.1133333333333333</v>
      </c>
      <c r="U81" s="449">
        <f>IF(GEP!O80="-",,GEP!O80/3)</f>
        <v>7.1133333333333333</v>
      </c>
      <c r="V81" s="267">
        <f>IF(GEP!P80="-",IF(GEP!S80="-",,GEP!S80),IF(GEP!S80="-",GEP!P80,GEP!P80+GEP!S80))</f>
        <v>0</v>
      </c>
      <c r="W81" s="427">
        <v>0</v>
      </c>
      <c r="X81" s="427">
        <v>0</v>
      </c>
      <c r="Y81" s="113">
        <f>IF(GEP!L80="-",,GEP!L80)</f>
        <v>0</v>
      </c>
      <c r="Z81" s="113">
        <f>IF(GEP!M80="-",,GEP!M80)</f>
        <v>0</v>
      </c>
      <c r="AA81" s="113">
        <f>IF(GEP!Q80="-",,GEP!Q80)</f>
        <v>0</v>
      </c>
      <c r="AB81" s="113">
        <f>IF(GEP!R80="-",,GEP!R80)</f>
        <v>0</v>
      </c>
      <c r="AC81" s="113">
        <f>IF(GEP!P80="-",,GEP!P80)</f>
        <v>0</v>
      </c>
      <c r="AD81" s="113">
        <f>IF(GEP!S80="-",,GEP!S80)</f>
        <v>0</v>
      </c>
      <c r="AE81" s="149">
        <f t="shared" si="2"/>
        <v>24.37</v>
      </c>
      <c r="AF81" s="149">
        <f t="shared" si="3"/>
        <v>24.37</v>
      </c>
      <c r="AG81" s="106" t="str">
        <f>IF(C81='Table 1.1 complete'!A77,AE81-'Table 1.1 complete'!E77,"error")</f>
        <v>error</v>
      </c>
      <c r="AH81" s="113" t="str">
        <f>IF(C81='Table 1.2 complete'!A77,AE81-'Table 1.2 complete'!K77,"error")</f>
        <v>error</v>
      </c>
      <c r="AI81" s="106">
        <f>'Table 1.2 complete'!K77-'Table 1.1 complete'!E77</f>
        <v>-1.9999999999999574E-2</v>
      </c>
    </row>
    <row r="82" spans="3:35" x14ac:dyDescent="0.25">
      <c r="C82" s="176" t="str">
        <f>GEP_add1!P83</f>
        <v>Bolivia</v>
      </c>
      <c r="D82" s="207">
        <f>GEP_add1!Q83</f>
        <v>68</v>
      </c>
      <c r="E82" s="176" t="str">
        <f>GEP_add1!R83</f>
        <v>ROW</v>
      </c>
      <c r="F82" s="135">
        <f>GEP_add1!S83</f>
        <v>17</v>
      </c>
      <c r="G82" s="267">
        <f>IF(GEP!F81="-",,GEP!F81)</f>
        <v>0</v>
      </c>
      <c r="H82" s="322">
        <f>IF(GEP!G81="-",,GEP!G81/2)</f>
        <v>0.02</v>
      </c>
      <c r="I82" s="322">
        <f>IF(GEP!G81="-",,GEP!G81/2)</f>
        <v>0.02</v>
      </c>
      <c r="J82" s="267">
        <f>IF(GEP!H81="-",,GEP!H81)</f>
        <v>0</v>
      </c>
      <c r="K82" s="321">
        <f>IF(GEP!I81="-",,GEP!I81/2)</f>
        <v>0</v>
      </c>
      <c r="L82" s="321">
        <f>IF(GEP!I81="-",,GEP!I81/2)</f>
        <v>0</v>
      </c>
      <c r="M82" s="113">
        <f>IF(GEP!J81="-",,GEP!J81/2)</f>
        <v>0</v>
      </c>
      <c r="N82" s="113">
        <f>IF(GEP!J81="-",,GEP!J81/2)</f>
        <v>0</v>
      </c>
      <c r="O82" s="267">
        <f>IF(GEP!K81="-",,GEP!K81)</f>
        <v>0</v>
      </c>
      <c r="P82" s="445">
        <f>IF(GEP!N81="-",,GEP!N81/3)</f>
        <v>5.6666666666666671E-2</v>
      </c>
      <c r="Q82" s="445">
        <f>IF(GEP!N81="-",,GEP!N81/3)</f>
        <v>5.6666666666666671E-2</v>
      </c>
      <c r="R82" s="445">
        <f>IF(GEP!N81="-",,GEP!N81/3)</f>
        <v>5.6666666666666671E-2</v>
      </c>
      <c r="S82" s="449">
        <f>IF(GEP!O81="-",,GEP!O81/3)</f>
        <v>10.506666666666666</v>
      </c>
      <c r="T82" s="449">
        <f>IF(GEP!O81="-",,GEP!O81/3)</f>
        <v>10.506666666666666</v>
      </c>
      <c r="U82" s="449">
        <f>IF(GEP!O81="-",,GEP!O81/3)</f>
        <v>10.506666666666666</v>
      </c>
      <c r="V82" s="267">
        <f>IF(GEP!P81="-",IF(GEP!S81="-",,GEP!S81),IF(GEP!S81="-",GEP!P81,GEP!P81+GEP!S81))</f>
        <v>0.01</v>
      </c>
      <c r="W82" s="427">
        <v>0</v>
      </c>
      <c r="X82" s="427">
        <v>0</v>
      </c>
      <c r="Y82" s="113">
        <f>IF(GEP!L81="-",,GEP!L81)</f>
        <v>0.01</v>
      </c>
      <c r="Z82" s="113">
        <f>IF(GEP!M81="-",,GEP!M81)</f>
        <v>0</v>
      </c>
      <c r="AA82" s="113">
        <f>IF(GEP!Q81="-",,GEP!Q81)</f>
        <v>7.0000000000000007E-2</v>
      </c>
      <c r="AB82" s="113">
        <f>IF(GEP!R81="-",,GEP!R81)</f>
        <v>0</v>
      </c>
      <c r="AC82" s="113">
        <f>IF(GEP!P81="-",,GEP!P81)</f>
        <v>0.01</v>
      </c>
      <c r="AD82" s="113">
        <f>IF(GEP!S81="-",,GEP!S81)</f>
        <v>0</v>
      </c>
      <c r="AE82" s="149">
        <f t="shared" si="2"/>
        <v>31.82</v>
      </c>
      <c r="AF82" s="149">
        <f t="shared" si="3"/>
        <v>31.74</v>
      </c>
      <c r="AG82" s="106" t="str">
        <f>IF(C82='Table 1.1 complete'!A78,AE82-'Table 1.1 complete'!E78,"error")</f>
        <v>error</v>
      </c>
      <c r="AH82" s="113" t="str">
        <f>IF(C82='Table 1.2 complete'!A78,AE82-'Table 1.2 complete'!K78,"error")</f>
        <v>error</v>
      </c>
      <c r="AI82" s="106">
        <f>'Table 1.2 complete'!K78-'Table 1.1 complete'!E78</f>
        <v>2.9999999999997584E-2</v>
      </c>
    </row>
    <row r="83" spans="3:35" x14ac:dyDescent="0.25">
      <c r="C83" s="176" t="str">
        <f>GEP_add1!P84</f>
        <v>Bosnia and H.</v>
      </c>
      <c r="D83" s="207">
        <f>GEP_add1!Q84</f>
        <v>114</v>
      </c>
      <c r="E83" s="176" t="str">
        <f>GEP_add1!R84</f>
        <v>ROW</v>
      </c>
      <c r="F83" s="135">
        <f>GEP_add1!S84</f>
        <v>17</v>
      </c>
      <c r="G83" s="267">
        <f>IF(GEP!F82="-",,GEP!F82)</f>
        <v>0</v>
      </c>
      <c r="H83" s="322">
        <f>IF(GEP!G82="-",,GEP!G82/2)</f>
        <v>0</v>
      </c>
      <c r="I83" s="322">
        <f>IF(GEP!G82="-",,GEP!G82/2)</f>
        <v>0</v>
      </c>
      <c r="J83" s="267">
        <f>IF(GEP!H82="-",,GEP!H82)</f>
        <v>0</v>
      </c>
      <c r="K83" s="321">
        <f>IF(GEP!I82="-",,GEP!I82/2)</f>
        <v>0</v>
      </c>
      <c r="L83" s="321">
        <f>IF(GEP!I82="-",,GEP!I82/2)</f>
        <v>0</v>
      </c>
      <c r="M83" s="113">
        <f>IF(GEP!J82="-",,GEP!J82/2)</f>
        <v>0</v>
      </c>
      <c r="N83" s="113">
        <f>IF(GEP!J82="-",,GEP!J82/2)</f>
        <v>0</v>
      </c>
      <c r="O83" s="267">
        <f>IF(GEP!K82="-",,GEP!K82)</f>
        <v>0</v>
      </c>
      <c r="P83" s="445">
        <f>IF(GEP!N82="-",,GEP!N82/3)</f>
        <v>4.3333333333333335E-2</v>
      </c>
      <c r="Q83" s="445">
        <f>IF(GEP!N82="-",,GEP!N82/3)</f>
        <v>4.3333333333333335E-2</v>
      </c>
      <c r="R83" s="445">
        <f>IF(GEP!N82="-",,GEP!N82/3)</f>
        <v>4.3333333333333335E-2</v>
      </c>
      <c r="S83" s="449">
        <f>IF(GEP!O82="-",,GEP!O82/3)</f>
        <v>0</v>
      </c>
      <c r="T83" s="449">
        <f>IF(GEP!O82="-",,GEP!O82/3)</f>
        <v>0</v>
      </c>
      <c r="U83" s="449">
        <f>IF(GEP!O82="-",,GEP!O82/3)</f>
        <v>0</v>
      </c>
      <c r="V83" s="267">
        <f>IF(GEP!P82="-",IF(GEP!S82="-",,GEP!S82),IF(GEP!S82="-",GEP!P82,GEP!P82+GEP!S82))</f>
        <v>0</v>
      </c>
      <c r="W83" s="427">
        <v>0</v>
      </c>
      <c r="X83" s="427">
        <v>0</v>
      </c>
      <c r="Y83" s="113">
        <f>IF(GEP!L82="-",,GEP!L82)</f>
        <v>0</v>
      </c>
      <c r="Z83" s="113">
        <f>IF(GEP!M82="-",,GEP!M82)</f>
        <v>0</v>
      </c>
      <c r="AA83" s="113">
        <f>IF(GEP!Q82="-",,GEP!Q82)</f>
        <v>0</v>
      </c>
      <c r="AB83" s="113">
        <f>IF(GEP!R82="-",,GEP!R82)</f>
        <v>0</v>
      </c>
      <c r="AC83" s="113">
        <f>IF(GEP!P82="-",,GEP!P82)</f>
        <v>0</v>
      </c>
      <c r="AD83" s="113">
        <f>IF(GEP!S82="-",,GEP!S82)</f>
        <v>0</v>
      </c>
      <c r="AE83" s="149">
        <f t="shared" si="2"/>
        <v>0.13</v>
      </c>
      <c r="AF83" s="149">
        <f t="shared" si="3"/>
        <v>0.13</v>
      </c>
      <c r="AG83" s="106" t="str">
        <f>IF(C83='Table 1.1 complete'!A79,AE83-'Table 1.1 complete'!E79,"error")</f>
        <v>error</v>
      </c>
      <c r="AH83" s="113" t="str">
        <f>IF(C83='Table 1.2 complete'!A79,AE83-'Table 1.2 complete'!K79,"error")</f>
        <v>error</v>
      </c>
      <c r="AI83" s="106">
        <f>'Table 1.2 complete'!K79-'Table 1.1 complete'!E79</f>
        <v>0.03</v>
      </c>
    </row>
    <row r="84" spans="3:35" x14ac:dyDescent="0.25">
      <c r="C84" s="173" t="str">
        <f>GEP_add1!P85</f>
        <v>Botswana</v>
      </c>
      <c r="D84" s="204">
        <f>GEP_add1!Q85</f>
        <v>41</v>
      </c>
      <c r="E84" s="173" t="str">
        <f>GEP_add1!R85</f>
        <v>ROW</v>
      </c>
      <c r="F84" s="133">
        <f>GEP_add1!S85</f>
        <v>17</v>
      </c>
      <c r="G84" s="267">
        <f>IF(GEP!F83="-",,GEP!F83)</f>
        <v>0</v>
      </c>
      <c r="H84" s="322">
        <f>IF(GEP!G83="-",,GEP!G83/2)</f>
        <v>1.1599999999999999</v>
      </c>
      <c r="I84" s="322">
        <f>IF(GEP!G83="-",,GEP!G83/2)</f>
        <v>1.1599999999999999</v>
      </c>
      <c r="J84" s="267">
        <f>IF(GEP!H83="-",,GEP!H83)</f>
        <v>0</v>
      </c>
      <c r="K84" s="321">
        <f>IF(GEP!I83="-",,GEP!I83/2)</f>
        <v>0</v>
      </c>
      <c r="L84" s="321">
        <f>IF(GEP!I83="-",,GEP!I83/2)</f>
        <v>0</v>
      </c>
      <c r="M84" s="113">
        <f>IF(GEP!J83="-",,GEP!J83/2)</f>
        <v>0</v>
      </c>
      <c r="N84" s="113">
        <f>IF(GEP!J83="-",,GEP!J83/2)</f>
        <v>0</v>
      </c>
      <c r="O84" s="267">
        <f>IF(GEP!K83="-",,GEP!K83)</f>
        <v>0</v>
      </c>
      <c r="P84" s="445">
        <f>IF(GEP!N83="-",,GEP!N83/3)</f>
        <v>0.27333333333333332</v>
      </c>
      <c r="Q84" s="445">
        <f>IF(GEP!N83="-",,GEP!N83/3)</f>
        <v>0.27333333333333332</v>
      </c>
      <c r="R84" s="445">
        <f>IF(GEP!N83="-",,GEP!N83/3)</f>
        <v>0.27333333333333332</v>
      </c>
      <c r="S84" s="449">
        <f>IF(GEP!O83="-",,GEP!O83/3)</f>
        <v>0.80666666666666664</v>
      </c>
      <c r="T84" s="449">
        <f>IF(GEP!O83="-",,GEP!O83/3)</f>
        <v>0.80666666666666664</v>
      </c>
      <c r="U84" s="449">
        <f>IF(GEP!O83="-",,GEP!O83/3)</f>
        <v>0.80666666666666664</v>
      </c>
      <c r="V84" s="267">
        <f>IF(GEP!P83="-",IF(GEP!S83="-",,GEP!S83),IF(GEP!S83="-",GEP!P83,GEP!P83+GEP!S83))</f>
        <v>0.17</v>
      </c>
      <c r="W84" s="427">
        <v>0</v>
      </c>
      <c r="X84" s="427">
        <v>0</v>
      </c>
      <c r="Y84" s="113">
        <f>IF(GEP!L83="-",,GEP!L83)</f>
        <v>0</v>
      </c>
      <c r="Z84" s="113">
        <f>IF(GEP!M83="-",,GEP!M83)</f>
        <v>0</v>
      </c>
      <c r="AA84" s="113">
        <f>IF(GEP!Q83="-",,GEP!Q83)</f>
        <v>0</v>
      </c>
      <c r="AB84" s="113">
        <f>IF(GEP!R83="-",,GEP!R83)</f>
        <v>0</v>
      </c>
      <c r="AC84" s="113">
        <f>IF(GEP!P83="-",,GEP!P83)</f>
        <v>0.17</v>
      </c>
      <c r="AD84" s="113">
        <f>IF(GEP!S83="-",,GEP!S83)</f>
        <v>0</v>
      </c>
      <c r="AE84" s="149">
        <f t="shared" si="2"/>
        <v>5.73</v>
      </c>
      <c r="AF84" s="149">
        <f t="shared" si="3"/>
        <v>5.73</v>
      </c>
      <c r="AG84" s="106" t="str">
        <f>IF(C84='Table 1.1 complete'!A80,AE84-'Table 1.1 complete'!E80,"error")</f>
        <v>error</v>
      </c>
      <c r="AH84" s="113" t="str">
        <f>IF(C84='Table 1.2 complete'!A80,AE84-'Table 1.2 complete'!K80,"error")</f>
        <v>error</v>
      </c>
      <c r="AI84" s="106">
        <f>'Table 1.2 complete'!K80-'Table 1.1 complete'!E80</f>
        <v>3.0000000000000249E-2</v>
      </c>
    </row>
    <row r="85" spans="3:35" x14ac:dyDescent="0.25">
      <c r="C85" s="173" t="str">
        <f>GEP_add1!P86</f>
        <v>Brunei Darussalam</v>
      </c>
      <c r="D85" s="204">
        <f>GEP_add1!Q86</f>
        <v>92</v>
      </c>
      <c r="E85" s="173" t="str">
        <f>GEP_add1!R86</f>
        <v>ROW</v>
      </c>
      <c r="F85" s="133">
        <f>GEP_add1!S86</f>
        <v>17</v>
      </c>
      <c r="G85" s="267">
        <f>IF(GEP!F84="-",,GEP!F84)</f>
        <v>0</v>
      </c>
      <c r="H85" s="322">
        <f>IF(GEP!G84="-",,GEP!G84/2)</f>
        <v>2</v>
      </c>
      <c r="I85" s="322">
        <f>IF(GEP!G84="-",,GEP!G84/2)</f>
        <v>2</v>
      </c>
      <c r="J85" s="267">
        <f>IF(GEP!H84="-",,GEP!H84)</f>
        <v>0</v>
      </c>
      <c r="K85" s="321">
        <f>IF(GEP!I84="-",,GEP!I84/2)</f>
        <v>0</v>
      </c>
      <c r="L85" s="321">
        <f>IF(GEP!I84="-",,GEP!I84/2)</f>
        <v>0</v>
      </c>
      <c r="M85" s="113">
        <f>IF(GEP!J84="-",,GEP!J84/2)</f>
        <v>2.415</v>
      </c>
      <c r="N85" s="113">
        <f>IF(GEP!J84="-",,GEP!J84/2)</f>
        <v>2.415</v>
      </c>
      <c r="O85" s="267">
        <f>IF(GEP!K84="-",,GEP!K84)</f>
        <v>2.8</v>
      </c>
      <c r="P85" s="445">
        <f>IF(GEP!N84="-",,GEP!N84/3)</f>
        <v>5.3333333333333337E-2</v>
      </c>
      <c r="Q85" s="445">
        <f>IF(GEP!N84="-",,GEP!N84/3)</f>
        <v>5.3333333333333337E-2</v>
      </c>
      <c r="R85" s="445">
        <f>IF(GEP!N84="-",,GEP!N84/3)</f>
        <v>5.3333333333333337E-2</v>
      </c>
      <c r="S85" s="449">
        <f>IF(GEP!O84="-",,GEP!O84/3)</f>
        <v>0</v>
      </c>
      <c r="T85" s="449">
        <f>IF(GEP!O84="-",,GEP!O84/3)</f>
        <v>0</v>
      </c>
      <c r="U85" s="449">
        <f>IF(GEP!O84="-",,GEP!O84/3)</f>
        <v>0</v>
      </c>
      <c r="V85" s="267">
        <f>IF(GEP!P84="-",IF(GEP!S84="-",,GEP!S84),IF(GEP!S84="-",GEP!P84,GEP!P84+GEP!S84))</f>
        <v>0</v>
      </c>
      <c r="W85" s="427">
        <v>0</v>
      </c>
      <c r="X85" s="427">
        <v>0</v>
      </c>
      <c r="Y85" s="113">
        <f>IF(GEP!L84="-",,GEP!L84)</f>
        <v>0</v>
      </c>
      <c r="Z85" s="113">
        <f>IF(GEP!M84="-",,GEP!M84)</f>
        <v>0.04</v>
      </c>
      <c r="AA85" s="113">
        <f>IF(GEP!Q84="-",,GEP!Q84)</f>
        <v>0</v>
      </c>
      <c r="AB85" s="113">
        <f>IF(GEP!R84="-",,GEP!R84)</f>
        <v>0</v>
      </c>
      <c r="AC85" s="113">
        <f>IF(GEP!P84="-",,GEP!P84)</f>
        <v>0</v>
      </c>
      <c r="AD85" s="113">
        <f>IF(GEP!S84="-",,GEP!S84)</f>
        <v>0</v>
      </c>
      <c r="AE85" s="149">
        <f t="shared" si="2"/>
        <v>11.829999999999997</v>
      </c>
      <c r="AF85" s="149">
        <f t="shared" si="3"/>
        <v>11.789999999999997</v>
      </c>
      <c r="AG85" s="106" t="str">
        <f>IF(C85='Table 1.1 complete'!A81,AE85-'Table 1.1 complete'!E81,"error")</f>
        <v>error</v>
      </c>
      <c r="AH85" s="113" t="str">
        <f>IF(C85='Table 1.2 complete'!A81,AE85-'Table 1.2 complete'!K81,"error")</f>
        <v>error</v>
      </c>
      <c r="AI85" s="106">
        <f>'Table 1.2 complete'!K81-'Table 1.1 complete'!E81</f>
        <v>1.9999999999999574E-2</v>
      </c>
    </row>
    <row r="86" spans="3:35" x14ac:dyDescent="0.25">
      <c r="C86" s="214" t="str">
        <f>GEP_add1!P87</f>
        <v>Cambodia</v>
      </c>
      <c r="D86" s="216">
        <f>GEP_add1!Q87</f>
        <v>93</v>
      </c>
      <c r="E86" s="214" t="str">
        <f>GEP_add1!R87</f>
        <v>ROW</v>
      </c>
      <c r="F86" s="218">
        <f>GEP_add1!S87</f>
        <v>17</v>
      </c>
      <c r="G86" s="267">
        <f>IF(GEP!F85="-",,GEP!F85)</f>
        <v>0</v>
      </c>
      <c r="H86" s="322">
        <f>IF(GEP!G85="-",,GEP!G85/2)</f>
        <v>0</v>
      </c>
      <c r="I86" s="322">
        <f>IF(GEP!G85="-",,GEP!G85/2)</f>
        <v>0</v>
      </c>
      <c r="J86" s="267">
        <f>IF(GEP!H85="-",,GEP!H85)</f>
        <v>0</v>
      </c>
      <c r="K86" s="321">
        <f>IF(GEP!I85="-",,GEP!I85/2)</f>
        <v>0</v>
      </c>
      <c r="L86" s="321">
        <f>IF(GEP!I85="-",,GEP!I85/2)</f>
        <v>0</v>
      </c>
      <c r="M86" s="113">
        <f>IF(GEP!J85="-",,GEP!J85/2)</f>
        <v>0.55500000000000005</v>
      </c>
      <c r="N86" s="113">
        <f>IF(GEP!J85="-",,GEP!J85/2)</f>
        <v>0.55500000000000005</v>
      </c>
      <c r="O86" s="267">
        <f>IF(GEP!K85="-",,GEP!K85)</f>
        <v>0</v>
      </c>
      <c r="P86" s="445">
        <f>IF(GEP!N85="-",,GEP!N85/3)</f>
        <v>3.3333333333333335E-3</v>
      </c>
      <c r="Q86" s="445">
        <f>IF(GEP!N85="-",,GEP!N85/3)</f>
        <v>3.3333333333333335E-3</v>
      </c>
      <c r="R86" s="445">
        <f>IF(GEP!N85="-",,GEP!N85/3)</f>
        <v>3.3333333333333335E-3</v>
      </c>
      <c r="S86" s="449">
        <f>IF(GEP!O85="-",,GEP!O85/3)</f>
        <v>0</v>
      </c>
      <c r="T86" s="449">
        <f>IF(GEP!O85="-",,GEP!O85/3)</f>
        <v>0</v>
      </c>
      <c r="U86" s="449">
        <f>IF(GEP!O85="-",,GEP!O85/3)</f>
        <v>0</v>
      </c>
      <c r="V86" s="267">
        <f>IF(GEP!P85="-",IF(GEP!S85="-",,GEP!S85),IF(GEP!S85="-",GEP!P85,GEP!P85+GEP!S85))</f>
        <v>0</v>
      </c>
      <c r="W86" s="427">
        <v>0</v>
      </c>
      <c r="X86" s="427">
        <v>0</v>
      </c>
      <c r="Y86" s="113">
        <f>IF(GEP!L85="-",,GEP!L85)</f>
        <v>0</v>
      </c>
      <c r="Z86" s="113">
        <f>IF(GEP!M85="-",,GEP!M85)</f>
        <v>0</v>
      </c>
      <c r="AA86" s="113">
        <f>IF(GEP!Q85="-",,GEP!Q85)</f>
        <v>0</v>
      </c>
      <c r="AB86" s="113">
        <f>IF(GEP!R85="-",,GEP!R85)</f>
        <v>0</v>
      </c>
      <c r="AC86" s="113">
        <f>IF(GEP!P85="-",,GEP!P85)</f>
        <v>0</v>
      </c>
      <c r="AD86" s="113">
        <f>IF(GEP!S85="-",,GEP!S85)</f>
        <v>0</v>
      </c>
      <c r="AE86" s="149">
        <f t="shared" si="2"/>
        <v>1.1200000000000003</v>
      </c>
      <c r="AF86" s="149">
        <f t="shared" si="3"/>
        <v>1.1200000000000003</v>
      </c>
      <c r="AG86" s="106" t="str">
        <f>IF(C86='Table 1.1 complete'!A82,AE86-'Table 1.1 complete'!E82,"error")</f>
        <v>error</v>
      </c>
      <c r="AH86" s="113" t="str">
        <f>IF(C86='Table 1.2 complete'!A82,AE86-'Table 1.2 complete'!K82,"error")</f>
        <v>error</v>
      </c>
      <c r="AI86" s="106">
        <f>'Table 1.2 complete'!K82-'Table 1.1 complete'!E82</f>
        <v>2.0000000000000018E-2</v>
      </c>
    </row>
    <row r="87" spans="3:35" x14ac:dyDescent="0.25">
      <c r="C87" s="173" t="str">
        <f>GEP_add1!P88</f>
        <v>Cameroon</v>
      </c>
      <c r="D87" s="204">
        <f>GEP_add1!Q88</f>
        <v>42</v>
      </c>
      <c r="E87" s="173" t="str">
        <f>GEP_add1!R88</f>
        <v>ROW</v>
      </c>
      <c r="F87" s="133">
        <f>GEP_add1!S88</f>
        <v>17</v>
      </c>
      <c r="G87" s="267">
        <f>IF(GEP!F86="-",,GEP!F86)</f>
        <v>0</v>
      </c>
      <c r="H87" s="322">
        <f>IF(GEP!G86="-",,GEP!G86/2)</f>
        <v>0</v>
      </c>
      <c r="I87" s="322">
        <f>IF(GEP!G86="-",,GEP!G86/2)</f>
        <v>0</v>
      </c>
      <c r="J87" s="267">
        <f>IF(GEP!H86="-",,GEP!H86)</f>
        <v>0</v>
      </c>
      <c r="K87" s="321">
        <f>IF(GEP!I86="-",,GEP!I86/2)</f>
        <v>0</v>
      </c>
      <c r="L87" s="321">
        <f>IF(GEP!I86="-",,GEP!I86/2)</f>
        <v>0</v>
      </c>
      <c r="M87" s="113">
        <f>IF(GEP!J86="-",,GEP!J86/2)</f>
        <v>0</v>
      </c>
      <c r="N87" s="113">
        <f>IF(GEP!J86="-",,GEP!J86/2)</f>
        <v>0</v>
      </c>
      <c r="O87" s="267">
        <f>IF(GEP!K86="-",,GEP!K86)</f>
        <v>0</v>
      </c>
      <c r="P87" s="445">
        <f>IF(GEP!N86="-",,GEP!N86/3)</f>
        <v>0.01</v>
      </c>
      <c r="Q87" s="445">
        <f>IF(GEP!N86="-",,GEP!N86/3)</f>
        <v>0.01</v>
      </c>
      <c r="R87" s="445">
        <f>IF(GEP!N86="-",,GEP!N86/3)</f>
        <v>0.01</v>
      </c>
      <c r="S87" s="449">
        <f>IF(GEP!O86="-",,GEP!O86/3)</f>
        <v>1.1199999999999999</v>
      </c>
      <c r="T87" s="449">
        <f>IF(GEP!O86="-",,GEP!O86/3)</f>
        <v>1.1199999999999999</v>
      </c>
      <c r="U87" s="449">
        <f>IF(GEP!O86="-",,GEP!O86/3)</f>
        <v>1.1199999999999999</v>
      </c>
      <c r="V87" s="267">
        <f>IF(GEP!P86="-",IF(GEP!S86="-",,GEP!S86),IF(GEP!S86="-",GEP!P86,GEP!P86+GEP!S86))</f>
        <v>0</v>
      </c>
      <c r="W87" s="427">
        <v>0</v>
      </c>
      <c r="X87" s="427">
        <v>0</v>
      </c>
      <c r="Y87" s="113">
        <f>IF(GEP!L86="-",,GEP!L86)</f>
        <v>0</v>
      </c>
      <c r="Z87" s="113">
        <f>IF(GEP!M86="-",,GEP!M86)</f>
        <v>0</v>
      </c>
      <c r="AA87" s="113">
        <f>IF(GEP!Q86="-",,GEP!Q86)</f>
        <v>0</v>
      </c>
      <c r="AB87" s="113">
        <f>IF(GEP!R86="-",,GEP!R86)</f>
        <v>0</v>
      </c>
      <c r="AC87" s="113">
        <f>IF(GEP!P86="-",,GEP!P86)</f>
        <v>0</v>
      </c>
      <c r="AD87" s="113">
        <f>IF(GEP!S86="-",,GEP!S86)</f>
        <v>0</v>
      </c>
      <c r="AE87" s="149">
        <f t="shared" si="2"/>
        <v>3.3899999999999997</v>
      </c>
      <c r="AF87" s="149">
        <f t="shared" si="3"/>
        <v>3.3899999999999997</v>
      </c>
      <c r="AG87" s="106" t="str">
        <f>IF(C87='Table 1.1 complete'!A83,AE87-'Table 1.1 complete'!E83,"error")</f>
        <v>error</v>
      </c>
      <c r="AH87" s="113" t="str">
        <f>IF(C87='Table 1.2 complete'!A83,AE87-'Table 1.2 complete'!K83,"error")</f>
        <v>error</v>
      </c>
      <c r="AI87" s="106">
        <f>'Table 1.2 complete'!K83-'Table 1.1 complete'!E83</f>
        <v>0</v>
      </c>
    </row>
    <row r="88" spans="3:35" x14ac:dyDescent="0.25">
      <c r="C88" s="173" t="str">
        <f>GEP_add1!P89</f>
        <v>Chile</v>
      </c>
      <c r="D88" s="204">
        <f>GEP_add1!Q89</f>
        <v>70</v>
      </c>
      <c r="E88" s="173" t="str">
        <f>GEP_add1!R89</f>
        <v>ROW</v>
      </c>
      <c r="F88" s="133">
        <f>GEP_add1!S89</f>
        <v>17</v>
      </c>
      <c r="G88" s="267">
        <f>IF(GEP!F87="-",,GEP!F87)</f>
        <v>0</v>
      </c>
      <c r="H88" s="322">
        <f>IF(GEP!G87="-",,GEP!G87/2)</f>
        <v>2.5000000000000001E-2</v>
      </c>
      <c r="I88" s="322">
        <f>IF(GEP!G87="-",,GEP!G87/2)</f>
        <v>2.5000000000000001E-2</v>
      </c>
      <c r="J88" s="267">
        <f>IF(GEP!H87="-",,GEP!H87)</f>
        <v>0</v>
      </c>
      <c r="K88" s="321">
        <f>IF(GEP!I87="-",,GEP!I87/2)</f>
        <v>0</v>
      </c>
      <c r="L88" s="321">
        <f>IF(GEP!I87="-",,GEP!I87/2)</f>
        <v>0</v>
      </c>
      <c r="M88" s="113">
        <f>IF(GEP!J87="-",,GEP!J87/2)</f>
        <v>0</v>
      </c>
      <c r="N88" s="113">
        <f>IF(GEP!J87="-",,GEP!J87/2)</f>
        <v>0</v>
      </c>
      <c r="O88" s="267">
        <f>IF(GEP!K87="-",,GEP!K87)</f>
        <v>0</v>
      </c>
      <c r="P88" s="445">
        <f>IF(GEP!N87="-",,GEP!N87/3)</f>
        <v>0.43</v>
      </c>
      <c r="Q88" s="445">
        <f>IF(GEP!N87="-",,GEP!N87/3)</f>
        <v>0.43</v>
      </c>
      <c r="R88" s="445">
        <f>IF(GEP!N87="-",,GEP!N87/3)</f>
        <v>0.43</v>
      </c>
      <c r="S88" s="449">
        <f>IF(GEP!O87="-",,GEP!O87/3)</f>
        <v>0</v>
      </c>
      <c r="T88" s="449">
        <f>IF(GEP!O87="-",,GEP!O87/3)</f>
        <v>0</v>
      </c>
      <c r="U88" s="449">
        <f>IF(GEP!O87="-",,GEP!O87/3)</f>
        <v>0</v>
      </c>
      <c r="V88" s="267">
        <f>IF(GEP!P87="-",IF(GEP!S87="-",,GEP!S87),IF(GEP!S87="-",GEP!P87,GEP!P87+GEP!S87))</f>
        <v>0.01</v>
      </c>
      <c r="W88" s="427">
        <v>0</v>
      </c>
      <c r="X88" s="427">
        <v>0</v>
      </c>
      <c r="Y88" s="113">
        <f>IF(GEP!L87="-",,GEP!L87)</f>
        <v>0</v>
      </c>
      <c r="Z88" s="113">
        <f>IF(GEP!M87="-",,GEP!M87)</f>
        <v>0</v>
      </c>
      <c r="AA88" s="113">
        <f>IF(GEP!Q87="-",,GEP!Q87)</f>
        <v>0</v>
      </c>
      <c r="AB88" s="113">
        <f>IF(GEP!R87="-",,GEP!R87)</f>
        <v>0</v>
      </c>
      <c r="AC88" s="113">
        <f>IF(GEP!P87="-",,GEP!P87)</f>
        <v>0.01</v>
      </c>
      <c r="AD88" s="113">
        <f>IF(GEP!S87="-",,GEP!S87)</f>
        <v>0</v>
      </c>
      <c r="AE88" s="149">
        <f t="shared" si="2"/>
        <v>1.3499999999999999</v>
      </c>
      <c r="AF88" s="149">
        <f t="shared" si="3"/>
        <v>1.3499999999999999</v>
      </c>
      <c r="AG88" s="106" t="str">
        <f>IF(C88='Table 1.1 complete'!A84,AE88-'Table 1.1 complete'!E84,"error")</f>
        <v>error</v>
      </c>
      <c r="AH88" s="113" t="str">
        <f>IF(C88='Table 1.2 complete'!A84,AE88-'Table 1.2 complete'!K84,"error")</f>
        <v>error</v>
      </c>
      <c r="AI88" s="106">
        <f>'Table 1.2 complete'!K84-'Table 1.1 complete'!E84</f>
        <v>5.0000000000000044E-2</v>
      </c>
    </row>
    <row r="89" spans="3:35" x14ac:dyDescent="0.25">
      <c r="C89" s="173" t="str">
        <f>GEP_add1!P90</f>
        <v>Chinese Taipei</v>
      </c>
      <c r="D89" s="204">
        <f>GEP_add1!Q90</f>
        <v>105</v>
      </c>
      <c r="E89" s="173" t="str">
        <f>GEP_add1!R90</f>
        <v>ROW</v>
      </c>
      <c r="F89" s="133">
        <f>GEP_add1!S90</f>
        <v>17</v>
      </c>
      <c r="G89" s="267">
        <f>IF(GEP!F88="-",,GEP!F88)</f>
        <v>0</v>
      </c>
      <c r="H89" s="322">
        <f>IF(GEP!G88="-",,GEP!G88/2)</f>
        <v>1.925</v>
      </c>
      <c r="I89" s="322">
        <f>IF(GEP!G88="-",,GEP!G88/2)</f>
        <v>1.925</v>
      </c>
      <c r="J89" s="267">
        <f>IF(GEP!H88="-",,GEP!H88)</f>
        <v>0</v>
      </c>
      <c r="K89" s="321">
        <f>IF(GEP!I88="-",,GEP!I88/2)</f>
        <v>0</v>
      </c>
      <c r="L89" s="321">
        <f>IF(GEP!I88="-",,GEP!I88/2)</f>
        <v>0</v>
      </c>
      <c r="M89" s="113">
        <f>IF(GEP!J88="-",,GEP!J88/2)</f>
        <v>0</v>
      </c>
      <c r="N89" s="113">
        <f>IF(GEP!J88="-",,GEP!J88/2)</f>
        <v>0</v>
      </c>
      <c r="O89" s="267">
        <f>IF(GEP!K88="-",,GEP!K88)</f>
        <v>0</v>
      </c>
      <c r="P89" s="445">
        <f>IF(GEP!N88="-",,GEP!N88/3)</f>
        <v>0.49</v>
      </c>
      <c r="Q89" s="445">
        <f>IF(GEP!N88="-",,GEP!N88/3)</f>
        <v>0.49</v>
      </c>
      <c r="R89" s="445">
        <f>IF(GEP!N88="-",,GEP!N88/3)</f>
        <v>0.49</v>
      </c>
      <c r="S89" s="449">
        <f>IF(GEP!O88="-",,GEP!O88/3)</f>
        <v>0.14666666666666667</v>
      </c>
      <c r="T89" s="449">
        <f>IF(GEP!O88="-",,GEP!O88/3)</f>
        <v>0.14666666666666667</v>
      </c>
      <c r="U89" s="449">
        <f>IF(GEP!O88="-",,GEP!O88/3)</f>
        <v>0.14666666666666667</v>
      </c>
      <c r="V89" s="267">
        <f>IF(GEP!P88="-",IF(GEP!S88="-",,GEP!S88),IF(GEP!S88="-",GEP!P88,GEP!P88+GEP!S88))</f>
        <v>0</v>
      </c>
      <c r="W89" s="427">
        <v>0</v>
      </c>
      <c r="X89" s="427">
        <v>0</v>
      </c>
      <c r="Y89" s="113">
        <f>IF(GEP!L88="-",,GEP!L88)</f>
        <v>0</v>
      </c>
      <c r="Z89" s="113">
        <f>IF(GEP!M88="-",,GEP!M88)</f>
        <v>0</v>
      </c>
      <c r="AA89" s="113">
        <f>IF(GEP!Q88="-",,GEP!Q88)</f>
        <v>0</v>
      </c>
      <c r="AB89" s="113">
        <f>IF(GEP!R88="-",,GEP!R88)</f>
        <v>0</v>
      </c>
      <c r="AC89" s="113">
        <f>IF(GEP!P88="-",,GEP!P88)</f>
        <v>0</v>
      </c>
      <c r="AD89" s="113">
        <f>IF(GEP!S88="-",,GEP!S88)</f>
        <v>0</v>
      </c>
      <c r="AE89" s="149">
        <f t="shared" si="2"/>
        <v>5.76</v>
      </c>
      <c r="AF89" s="149">
        <f t="shared" si="3"/>
        <v>5.76</v>
      </c>
      <c r="AG89" s="106" t="str">
        <f>IF(C89='Table 1.1 complete'!A85,AE89-'Table 1.1 complete'!E85,"error")</f>
        <v>error</v>
      </c>
      <c r="AH89" s="113" t="str">
        <f>IF(C89='Table 1.2 complete'!A85,AE89-'Table 1.2 complete'!K85,"error")</f>
        <v>error</v>
      </c>
      <c r="AI89" s="106">
        <f>'Table 1.2 complete'!K85-'Table 1.1 complete'!E85</f>
        <v>-4.9999999999999822E-2</v>
      </c>
    </row>
    <row r="90" spans="3:35" x14ac:dyDescent="0.25">
      <c r="C90" s="173" t="str">
        <f>GEP_add1!P91</f>
        <v>Colombia</v>
      </c>
      <c r="D90" s="204">
        <f>GEP_add1!Q91</f>
        <v>71</v>
      </c>
      <c r="E90" s="173" t="str">
        <f>GEP_add1!R91</f>
        <v>ROW</v>
      </c>
      <c r="F90" s="133">
        <f>GEP_add1!S91</f>
        <v>17</v>
      </c>
      <c r="G90" s="267">
        <f>IF(GEP!F89="-",,GEP!F89)</f>
        <v>0</v>
      </c>
      <c r="H90" s="322">
        <f>IF(GEP!G89="-",,GEP!G89/2)</f>
        <v>11.565</v>
      </c>
      <c r="I90" s="322">
        <f>IF(GEP!G89="-",,GEP!G89/2)</f>
        <v>11.565</v>
      </c>
      <c r="J90" s="267">
        <f>IF(GEP!H89="-",,GEP!H89)</f>
        <v>0</v>
      </c>
      <c r="K90" s="321">
        <f>IF(GEP!I89="-",,GEP!I89/2)</f>
        <v>5.0000000000000001E-3</v>
      </c>
      <c r="L90" s="321">
        <f>IF(GEP!I89="-",,GEP!I89/2)</f>
        <v>5.0000000000000001E-3</v>
      </c>
      <c r="M90" s="113">
        <f>IF(GEP!J89="-",,GEP!J89/2)</f>
        <v>6.63</v>
      </c>
      <c r="N90" s="113">
        <f>IF(GEP!J89="-",,GEP!J89/2)</f>
        <v>6.63</v>
      </c>
      <c r="O90" s="267">
        <f>IF(GEP!K89="-",,GEP!K89)</f>
        <v>0</v>
      </c>
      <c r="P90" s="445">
        <f>IF(GEP!N89="-",,GEP!N89/3)</f>
        <v>4.8</v>
      </c>
      <c r="Q90" s="445">
        <f>IF(GEP!N89="-",,GEP!N89/3)</f>
        <v>4.8</v>
      </c>
      <c r="R90" s="445">
        <f>IF(GEP!N89="-",,GEP!N89/3)</f>
        <v>4.8</v>
      </c>
      <c r="S90" s="449">
        <f>IF(GEP!O89="-",,GEP!O89/3)</f>
        <v>1.5433333333333332</v>
      </c>
      <c r="T90" s="449">
        <f>IF(GEP!O89="-",,GEP!O89/3)</f>
        <v>1.5433333333333332</v>
      </c>
      <c r="U90" s="449">
        <f>IF(GEP!O89="-",,GEP!O89/3)</f>
        <v>1.5433333333333332</v>
      </c>
      <c r="V90" s="267">
        <f>IF(GEP!P89="-",IF(GEP!S89="-",,GEP!S89),IF(GEP!S89="-",GEP!P89,GEP!P89+GEP!S89))</f>
        <v>3.08</v>
      </c>
      <c r="W90" s="427">
        <v>0</v>
      </c>
      <c r="X90" s="427">
        <v>0</v>
      </c>
      <c r="Y90" s="113">
        <f>IF(GEP!L89="-",,GEP!L89)</f>
        <v>0</v>
      </c>
      <c r="Z90" s="113">
        <f>IF(GEP!M89="-",,GEP!M89)</f>
        <v>0</v>
      </c>
      <c r="AA90" s="113">
        <f>IF(GEP!Q89="-",,GEP!Q89)</f>
        <v>0</v>
      </c>
      <c r="AB90" s="113">
        <f>IF(GEP!R89="-",,GEP!R89)</f>
        <v>0</v>
      </c>
      <c r="AC90" s="113">
        <f>IF(GEP!P89="-",,GEP!P89)</f>
        <v>3.08</v>
      </c>
      <c r="AD90" s="113">
        <f>IF(GEP!S89="-",,GEP!S89)</f>
        <v>0</v>
      </c>
      <c r="AE90" s="149">
        <f t="shared" si="2"/>
        <v>58.51</v>
      </c>
      <c r="AF90" s="149">
        <f t="shared" si="3"/>
        <v>58.51</v>
      </c>
      <c r="AG90" s="106" t="str">
        <f>IF(C90='Table 1.1 complete'!A86,AE90-'Table 1.1 complete'!E86,"error")</f>
        <v>error</v>
      </c>
      <c r="AH90" s="113" t="str">
        <f>IF(C90='Table 1.2 complete'!A86,AE90-'Table 1.2 complete'!K86,"error")</f>
        <v>error</v>
      </c>
      <c r="AI90" s="106">
        <f>'Table 1.2 complete'!K86-'Table 1.1 complete'!E86</f>
        <v>9.9999999999980105E-3</v>
      </c>
    </row>
    <row r="91" spans="3:35" x14ac:dyDescent="0.25">
      <c r="C91" s="173" t="str">
        <f>GEP_add1!P92</f>
        <v>Congo</v>
      </c>
      <c r="D91" s="204">
        <f>GEP_add1!Q92</f>
        <v>43</v>
      </c>
      <c r="E91" s="173" t="str">
        <f>GEP_add1!R92</f>
        <v>ROW</v>
      </c>
      <c r="F91" s="133">
        <f>GEP_add1!S92</f>
        <v>17</v>
      </c>
      <c r="G91" s="267">
        <f>IF(GEP!F90="-",,GEP!F90)</f>
        <v>40.54</v>
      </c>
      <c r="H91" s="322">
        <f>IF(GEP!G90="-",,GEP!G90/2)</f>
        <v>4.1749999999999998</v>
      </c>
      <c r="I91" s="322">
        <f>IF(GEP!G90="-",,GEP!G90/2)</f>
        <v>4.1749999999999998</v>
      </c>
      <c r="J91" s="267">
        <f>IF(GEP!H90="-",,GEP!H90)</f>
        <v>0</v>
      </c>
      <c r="K91" s="321">
        <f>IF(GEP!I90="-",,GEP!I90/2)</f>
        <v>0.22500000000000001</v>
      </c>
      <c r="L91" s="321">
        <f>IF(GEP!I90="-",,GEP!I90/2)</f>
        <v>0.22500000000000001</v>
      </c>
      <c r="M91" s="113">
        <f>IF(GEP!J90="-",,GEP!J90/2)</f>
        <v>59.314999999999998</v>
      </c>
      <c r="N91" s="113">
        <f>IF(GEP!J90="-",,GEP!J90/2)</f>
        <v>59.314999999999998</v>
      </c>
      <c r="O91" s="267">
        <f>IF(GEP!K90="-",,GEP!K90)</f>
        <v>10.88</v>
      </c>
      <c r="P91" s="445">
        <f>IF(GEP!N90="-",,GEP!N90/3)</f>
        <v>5.19</v>
      </c>
      <c r="Q91" s="445">
        <f>IF(GEP!N90="-",,GEP!N90/3)</f>
        <v>5.19</v>
      </c>
      <c r="R91" s="445">
        <f>IF(GEP!N90="-",,GEP!N90/3)</f>
        <v>5.19</v>
      </c>
      <c r="S91" s="449">
        <f>IF(GEP!O90="-",,GEP!O90/3)</f>
        <v>14.213333333333333</v>
      </c>
      <c r="T91" s="449">
        <f>IF(GEP!O90="-",,GEP!O90/3)</f>
        <v>14.213333333333333</v>
      </c>
      <c r="U91" s="449">
        <f>IF(GEP!O90="-",,GEP!O90/3)</f>
        <v>14.213333333333333</v>
      </c>
      <c r="V91" s="267">
        <f>IF(GEP!P90="-",IF(GEP!S90="-",,GEP!S90),IF(GEP!S90="-",GEP!P90,GEP!P90+GEP!S90))</f>
        <v>0.67</v>
      </c>
      <c r="W91" s="427">
        <v>0</v>
      </c>
      <c r="X91" s="427">
        <v>0</v>
      </c>
      <c r="Y91" s="113">
        <f>IF(GEP!L90="-",,GEP!L90)</f>
        <v>0</v>
      </c>
      <c r="Z91" s="113">
        <f>IF(GEP!M90="-",,GEP!M90)</f>
        <v>2.38</v>
      </c>
      <c r="AA91" s="113">
        <f>IF(GEP!Q90="-",,GEP!Q90)</f>
        <v>0</v>
      </c>
      <c r="AB91" s="113">
        <f>IF(GEP!R90="-",,GEP!R90)</f>
        <v>3.02</v>
      </c>
      <c r="AC91" s="113">
        <f>IF(GEP!P90="-",,GEP!P90)</f>
        <v>0.67</v>
      </c>
      <c r="AD91" s="113">
        <f>IF(GEP!S90="-",,GEP!S90)</f>
        <v>0</v>
      </c>
      <c r="AE91" s="149">
        <f t="shared" si="2"/>
        <v>243.13</v>
      </c>
      <c r="AF91" s="149">
        <f t="shared" si="3"/>
        <v>237.73</v>
      </c>
      <c r="AG91" s="106" t="str">
        <f>IF(C91='Table 1.1 complete'!A87,AE91-'Table 1.1 complete'!E87,"error")</f>
        <v>error</v>
      </c>
      <c r="AH91" s="113" t="str">
        <f>IF(C91='Table 1.2 complete'!A87,AE91-'Table 1.2 complete'!K87,"error")</f>
        <v>error</v>
      </c>
      <c r="AI91" s="106">
        <f>'Table 1.2 complete'!K87-'Table 1.1 complete'!E87</f>
        <v>2.0000000000010232E-2</v>
      </c>
    </row>
    <row r="92" spans="3:35" x14ac:dyDescent="0.25">
      <c r="C92" s="173" t="str">
        <f>GEP_add1!P93</f>
        <v>Costa Rica</v>
      </c>
      <c r="D92" s="204">
        <f>GEP_add1!Q93</f>
        <v>72</v>
      </c>
      <c r="E92" s="173" t="str">
        <f>GEP_add1!R93</f>
        <v>ROW</v>
      </c>
      <c r="F92" s="133">
        <f>GEP_add1!S93</f>
        <v>17</v>
      </c>
      <c r="G92" s="267">
        <f>IF(GEP!F91="-",,GEP!F91)</f>
        <v>0</v>
      </c>
      <c r="H92" s="322">
        <f>IF(GEP!G91="-",,GEP!G91/2)</f>
        <v>22.225000000000001</v>
      </c>
      <c r="I92" s="322">
        <f>IF(GEP!G91="-",,GEP!G91/2)</f>
        <v>22.225000000000001</v>
      </c>
      <c r="J92" s="267">
        <f>IF(GEP!H91="-",,GEP!H91)</f>
        <v>0</v>
      </c>
      <c r="K92" s="321">
        <f>IF(GEP!I91="-",,GEP!I91/2)</f>
        <v>2.5000000000000001E-2</v>
      </c>
      <c r="L92" s="321">
        <f>IF(GEP!I91="-",,GEP!I91/2)</f>
        <v>2.5000000000000001E-2</v>
      </c>
      <c r="M92" s="113">
        <f>IF(GEP!J91="-",,GEP!J91/2)</f>
        <v>1.6950000000000001</v>
      </c>
      <c r="N92" s="113">
        <f>IF(GEP!J91="-",,GEP!J91/2)</f>
        <v>1.6950000000000001</v>
      </c>
      <c r="O92" s="267">
        <f>IF(GEP!K91="-",,GEP!K91)</f>
        <v>0</v>
      </c>
      <c r="P92" s="445">
        <f>IF(GEP!N91="-",,GEP!N91/3)</f>
        <v>4.9999999999999996E-2</v>
      </c>
      <c r="Q92" s="445">
        <f>IF(GEP!N91="-",,GEP!N91/3)</f>
        <v>4.9999999999999996E-2</v>
      </c>
      <c r="R92" s="445">
        <f>IF(GEP!N91="-",,GEP!N91/3)</f>
        <v>4.9999999999999996E-2</v>
      </c>
      <c r="S92" s="449">
        <f>IF(GEP!O91="-",,GEP!O91/3)</f>
        <v>2.1966666666666668</v>
      </c>
      <c r="T92" s="449">
        <f>IF(GEP!O91="-",,GEP!O91/3)</f>
        <v>2.1966666666666668</v>
      </c>
      <c r="U92" s="449">
        <f>IF(GEP!O91="-",,GEP!O91/3)</f>
        <v>2.1966666666666668</v>
      </c>
      <c r="V92" s="267">
        <f>IF(GEP!P91="-",IF(GEP!S91="-",,GEP!S91),IF(GEP!S91="-",GEP!P91,GEP!P91+GEP!S91))</f>
        <v>0.59</v>
      </c>
      <c r="W92" s="427">
        <v>0</v>
      </c>
      <c r="X92" s="427">
        <v>0</v>
      </c>
      <c r="Y92" s="113">
        <f>IF(GEP!L91="-",,GEP!L91)</f>
        <v>0</v>
      </c>
      <c r="Z92" s="113">
        <f>IF(GEP!M91="-",,GEP!M91)</f>
        <v>0.11</v>
      </c>
      <c r="AA92" s="113">
        <f>IF(GEP!Q91="-",,GEP!Q91)</f>
        <v>0</v>
      </c>
      <c r="AB92" s="113">
        <f>IF(GEP!R91="-",,GEP!R91)</f>
        <v>0</v>
      </c>
      <c r="AC92" s="113">
        <f>IF(GEP!P91="-",,GEP!P91)</f>
        <v>0.59</v>
      </c>
      <c r="AD92" s="113">
        <f>IF(GEP!S91="-",,GEP!S91)</f>
        <v>0</v>
      </c>
      <c r="AE92" s="149">
        <f t="shared" si="2"/>
        <v>55.329999999999991</v>
      </c>
      <c r="AF92" s="149">
        <f t="shared" si="3"/>
        <v>55.219999999999992</v>
      </c>
      <c r="AG92" s="106" t="str">
        <f>IF(C92='Table 1.1 complete'!A88,AE92-'Table 1.1 complete'!E88,"error")</f>
        <v>error</v>
      </c>
      <c r="AH92" s="113" t="str">
        <f>IF(C92='Table 1.2 complete'!A88,AE92-'Table 1.2 complete'!K88,"error")</f>
        <v>error</v>
      </c>
      <c r="AI92" s="106">
        <f>'Table 1.2 complete'!K88-'Table 1.1 complete'!E88</f>
        <v>1.0000000000005116E-2</v>
      </c>
    </row>
    <row r="93" spans="3:35" x14ac:dyDescent="0.25">
      <c r="C93" s="173" t="str">
        <f>GEP_add1!P94</f>
        <v>Côte d'Ivoire</v>
      </c>
      <c r="D93" s="204">
        <f>GEP_add1!Q94</f>
        <v>45</v>
      </c>
      <c r="E93" s="173" t="str">
        <f>GEP_add1!R94</f>
        <v>ROW</v>
      </c>
      <c r="F93" s="133">
        <f>GEP_add1!S94</f>
        <v>17</v>
      </c>
      <c r="G93" s="267">
        <f>IF(GEP!F92="-",,GEP!F92)</f>
        <v>0</v>
      </c>
      <c r="H93" s="322">
        <f>IF(GEP!G92="-",,GEP!G92/2)</f>
        <v>0.17</v>
      </c>
      <c r="I93" s="322">
        <f>IF(GEP!G92="-",,GEP!G92/2)</f>
        <v>0.17</v>
      </c>
      <c r="J93" s="267">
        <f>IF(GEP!H92="-",,GEP!H92)</f>
        <v>0</v>
      </c>
      <c r="K93" s="321">
        <f>IF(GEP!I92="-",,GEP!I92/2)</f>
        <v>0</v>
      </c>
      <c r="L93" s="321">
        <f>IF(GEP!I92="-",,GEP!I92/2)</f>
        <v>0</v>
      </c>
      <c r="M93" s="113">
        <f>IF(GEP!J92="-",,GEP!J92/2)</f>
        <v>0</v>
      </c>
      <c r="N93" s="113">
        <f>IF(GEP!J92="-",,GEP!J92/2)</f>
        <v>0</v>
      </c>
      <c r="O93" s="267">
        <f>IF(GEP!K92="-",,GEP!K92)</f>
        <v>0</v>
      </c>
      <c r="P93" s="445">
        <f>IF(GEP!N92="-",,GEP!N92/3)</f>
        <v>0</v>
      </c>
      <c r="Q93" s="445">
        <f>IF(GEP!N92="-",,GEP!N92/3)</f>
        <v>0</v>
      </c>
      <c r="R93" s="445">
        <f>IF(GEP!N92="-",,GEP!N92/3)</f>
        <v>0</v>
      </c>
      <c r="S93" s="449">
        <f>IF(GEP!O92="-",,GEP!O92/3)</f>
        <v>2.3333333333333334E-2</v>
      </c>
      <c r="T93" s="449">
        <f>IF(GEP!O92="-",,GEP!O92/3)</f>
        <v>2.3333333333333334E-2</v>
      </c>
      <c r="U93" s="449">
        <f>IF(GEP!O92="-",,GEP!O92/3)</f>
        <v>2.3333333333333334E-2</v>
      </c>
      <c r="V93" s="267">
        <f>IF(GEP!P92="-",IF(GEP!S92="-",,GEP!S92),IF(GEP!S92="-",GEP!P92,GEP!P92+GEP!S92))</f>
        <v>0</v>
      </c>
      <c r="W93" s="427">
        <v>0</v>
      </c>
      <c r="X93" s="427">
        <v>0</v>
      </c>
      <c r="Y93" s="113">
        <f>IF(GEP!L92="-",,GEP!L92)</f>
        <v>0</v>
      </c>
      <c r="Z93" s="113">
        <f>IF(GEP!M92="-",,GEP!M92)</f>
        <v>0</v>
      </c>
      <c r="AA93" s="113">
        <f>IF(GEP!Q92="-",,GEP!Q92)</f>
        <v>0</v>
      </c>
      <c r="AB93" s="113">
        <f>IF(GEP!R92="-",,GEP!R92)</f>
        <v>0</v>
      </c>
      <c r="AC93" s="113">
        <f>IF(GEP!P92="-",,GEP!P92)</f>
        <v>0</v>
      </c>
      <c r="AD93" s="113">
        <f>IF(GEP!S92="-",,GEP!S92)</f>
        <v>0</v>
      </c>
      <c r="AE93" s="149">
        <f t="shared" si="2"/>
        <v>0.41</v>
      </c>
      <c r="AF93" s="149">
        <f t="shared" si="3"/>
        <v>0.41</v>
      </c>
      <c r="AG93" s="106" t="str">
        <f>IF(C93='Table 1.1 complete'!A89,AE93-'Table 1.1 complete'!E89,"error")</f>
        <v>error</v>
      </c>
      <c r="AH93" s="113" t="str">
        <f>IF(C93='Table 1.2 complete'!A89,AE93-'Table 1.2 complete'!K89,"error")</f>
        <v>error</v>
      </c>
      <c r="AI93" s="106">
        <f>'Table 1.2 complete'!K89-'Table 1.1 complete'!E89</f>
        <v>9.9999999999999534E-3</v>
      </c>
    </row>
    <row r="94" spans="3:35" x14ac:dyDescent="0.25">
      <c r="C94" s="173" t="str">
        <f>GEP_add1!P95</f>
        <v>Cuba</v>
      </c>
      <c r="D94" s="204">
        <f>GEP_add1!Q95</f>
        <v>73</v>
      </c>
      <c r="E94" s="173" t="str">
        <f>GEP_add1!R95</f>
        <v>ROW</v>
      </c>
      <c r="F94" s="133">
        <f>GEP_add1!S95</f>
        <v>17</v>
      </c>
      <c r="G94" s="267">
        <f>IF(GEP!F93="-",,GEP!F93)</f>
        <v>0</v>
      </c>
      <c r="H94" s="322">
        <f>IF(GEP!G93="-",,GEP!G93/2)</f>
        <v>3.3849999999999998</v>
      </c>
      <c r="I94" s="322">
        <f>IF(GEP!G93="-",,GEP!G93/2)</f>
        <v>3.3849999999999998</v>
      </c>
      <c r="J94" s="267">
        <f>IF(GEP!H93="-",,GEP!H93)</f>
        <v>1.24</v>
      </c>
      <c r="K94" s="321">
        <f>IF(GEP!I93="-",,GEP!I93/2)</f>
        <v>0.12</v>
      </c>
      <c r="L94" s="321">
        <f>IF(GEP!I93="-",,GEP!I93/2)</f>
        <v>0.12</v>
      </c>
      <c r="M94" s="113">
        <f>IF(GEP!J93="-",,GEP!J93/2)</f>
        <v>0</v>
      </c>
      <c r="N94" s="113">
        <f>IF(GEP!J93="-",,GEP!J93/2)</f>
        <v>0</v>
      </c>
      <c r="O94" s="267">
        <f>IF(GEP!K93="-",,GEP!K93)</f>
        <v>0</v>
      </c>
      <c r="P94" s="445">
        <f>IF(GEP!N93="-",,GEP!N93/3)</f>
        <v>0.24</v>
      </c>
      <c r="Q94" s="445">
        <f>IF(GEP!N93="-",,GEP!N93/3)</f>
        <v>0.24</v>
      </c>
      <c r="R94" s="445">
        <f>IF(GEP!N93="-",,GEP!N93/3)</f>
        <v>0.24</v>
      </c>
      <c r="S94" s="449">
        <f>IF(GEP!O93="-",,GEP!O93/3)</f>
        <v>0</v>
      </c>
      <c r="T94" s="449">
        <f>IF(GEP!O93="-",,GEP!O93/3)</f>
        <v>0</v>
      </c>
      <c r="U94" s="449">
        <f>IF(GEP!O93="-",,GEP!O93/3)</f>
        <v>0</v>
      </c>
      <c r="V94" s="267">
        <f>IF(GEP!P93="-",IF(GEP!S93="-",,GEP!S93),IF(GEP!S93="-",GEP!P93,GEP!P93+GEP!S93))</f>
        <v>0.08</v>
      </c>
      <c r="W94" s="427">
        <v>0</v>
      </c>
      <c r="X94" s="427">
        <v>0</v>
      </c>
      <c r="Y94" s="113">
        <f>IF(GEP!L93="-",,GEP!L93)</f>
        <v>0</v>
      </c>
      <c r="Z94" s="113">
        <f>IF(GEP!M93="-",,GEP!M93)</f>
        <v>0</v>
      </c>
      <c r="AA94" s="113">
        <f>IF(GEP!Q93="-",,GEP!Q93)</f>
        <v>0</v>
      </c>
      <c r="AB94" s="113">
        <f>IF(GEP!R93="-",,GEP!R93)</f>
        <v>0</v>
      </c>
      <c r="AC94" s="113">
        <f>IF(GEP!P93="-",,GEP!P93)</f>
        <v>7.0000000000000007E-2</v>
      </c>
      <c r="AD94" s="113">
        <f>IF(GEP!S93="-",,GEP!S93)</f>
        <v>0.01</v>
      </c>
      <c r="AE94" s="149">
        <f t="shared" si="2"/>
        <v>9.0499999999999989</v>
      </c>
      <c r="AF94" s="149">
        <f t="shared" si="3"/>
        <v>9.0499999999999989</v>
      </c>
      <c r="AG94" s="106" t="str">
        <f>IF(C94='Table 1.1 complete'!A90,AE94-'Table 1.1 complete'!E90,"error")</f>
        <v>error</v>
      </c>
      <c r="AH94" s="113" t="str">
        <f>IF(C94='Table 1.2 complete'!A90,AE94-'Table 1.2 complete'!K90,"error")</f>
        <v>error</v>
      </c>
      <c r="AI94" s="106">
        <f>'Table 1.2 complete'!K90-'Table 1.1 complete'!E90</f>
        <v>-4.9999999999998934E-2</v>
      </c>
    </row>
    <row r="95" spans="3:35" x14ac:dyDescent="0.25">
      <c r="C95" s="173" t="str">
        <f>GEP_add1!P96</f>
        <v>Dominican Rep.</v>
      </c>
      <c r="D95" s="204">
        <f>GEP_add1!Q96</f>
        <v>74</v>
      </c>
      <c r="E95" s="173" t="str">
        <f>GEP_add1!R96</f>
        <v>ROW</v>
      </c>
      <c r="F95" s="133">
        <f>GEP_add1!S96</f>
        <v>17</v>
      </c>
      <c r="G95" s="267">
        <f>IF(GEP!F94="-",,GEP!F94)</f>
        <v>0</v>
      </c>
      <c r="H95" s="322">
        <f>IF(GEP!G94="-",,GEP!G94/2)</f>
        <v>0.9</v>
      </c>
      <c r="I95" s="322">
        <f>IF(GEP!G94="-",,GEP!G94/2)</f>
        <v>0.9</v>
      </c>
      <c r="J95" s="267">
        <f>IF(GEP!H94="-",,GEP!H94)</f>
        <v>0</v>
      </c>
      <c r="K95" s="321">
        <f>IF(GEP!I94="-",,GEP!I94/2)</f>
        <v>0</v>
      </c>
      <c r="L95" s="321">
        <f>IF(GEP!I94="-",,GEP!I94/2)</f>
        <v>0</v>
      </c>
      <c r="M95" s="113">
        <f>IF(GEP!J94="-",,GEP!J94/2)</f>
        <v>0</v>
      </c>
      <c r="N95" s="113">
        <f>IF(GEP!J94="-",,GEP!J94/2)</f>
        <v>0</v>
      </c>
      <c r="O95" s="267">
        <f>IF(GEP!K94="-",,GEP!K94)</f>
        <v>0</v>
      </c>
      <c r="P95" s="445">
        <f>IF(GEP!N94="-",,GEP!N94/3)</f>
        <v>6.6666666666666671E-3</v>
      </c>
      <c r="Q95" s="445">
        <f>IF(GEP!N94="-",,GEP!N94/3)</f>
        <v>6.6666666666666671E-3</v>
      </c>
      <c r="R95" s="445">
        <f>IF(GEP!N94="-",,GEP!N94/3)</f>
        <v>6.6666666666666671E-3</v>
      </c>
      <c r="S95" s="449">
        <f>IF(GEP!O94="-",,GEP!O94/3)</f>
        <v>1.2333333333333334</v>
      </c>
      <c r="T95" s="449">
        <f>IF(GEP!O94="-",,GEP!O94/3)</f>
        <v>1.2333333333333334</v>
      </c>
      <c r="U95" s="449">
        <f>IF(GEP!O94="-",,GEP!O94/3)</f>
        <v>1.2333333333333334</v>
      </c>
      <c r="V95" s="267">
        <f>IF(GEP!P94="-",IF(GEP!S94="-",,GEP!S94),IF(GEP!S94="-",GEP!P94,GEP!P94+GEP!S94))</f>
        <v>0.12</v>
      </c>
      <c r="W95" s="427">
        <v>0</v>
      </c>
      <c r="X95" s="427">
        <v>0</v>
      </c>
      <c r="Y95" s="113">
        <f>IF(GEP!L94="-",,GEP!L94)</f>
        <v>0</v>
      </c>
      <c r="Z95" s="113">
        <f>IF(GEP!M94="-",,GEP!M94)</f>
        <v>0</v>
      </c>
      <c r="AA95" s="113">
        <f>IF(GEP!Q94="-",,GEP!Q94)</f>
        <v>0</v>
      </c>
      <c r="AB95" s="113">
        <f>IF(GEP!R94="-",,GEP!R94)</f>
        <v>0</v>
      </c>
      <c r="AC95" s="113">
        <f>IF(GEP!P94="-",,GEP!P94)</f>
        <v>0.12</v>
      </c>
      <c r="AD95" s="113">
        <f>IF(GEP!S94="-",,GEP!S94)</f>
        <v>0</v>
      </c>
      <c r="AE95" s="149">
        <f t="shared" si="2"/>
        <v>5.6400000000000006</v>
      </c>
      <c r="AF95" s="149">
        <f t="shared" si="3"/>
        <v>5.6400000000000006</v>
      </c>
      <c r="AG95" s="106" t="str">
        <f>IF(C95='Table 1.1 complete'!A91,AE95-'Table 1.1 complete'!E91,"error")</f>
        <v>error</v>
      </c>
      <c r="AH95" s="113" t="str">
        <f>IF(C95='Table 1.2 complete'!A91,AE95-'Table 1.2 complete'!K91,"error")</f>
        <v>error</v>
      </c>
      <c r="AI95" s="106">
        <f>'Table 1.2 complete'!K91-'Table 1.1 complete'!E91</f>
        <v>3.0000000000000249E-2</v>
      </c>
    </row>
    <row r="96" spans="3:35" x14ac:dyDescent="0.25">
      <c r="C96" s="173" t="str">
        <f>GEP_add1!P97</f>
        <v>DPR of Korea</v>
      </c>
      <c r="D96" s="204">
        <f>GEP_add1!Q97</f>
        <v>96</v>
      </c>
      <c r="E96" s="173" t="str">
        <f>GEP_add1!R97</f>
        <v>ROW</v>
      </c>
      <c r="F96" s="133">
        <f>GEP_add1!S97</f>
        <v>17</v>
      </c>
      <c r="G96" s="267">
        <f>IF(GEP!F95="-",,GEP!F95)</f>
        <v>0</v>
      </c>
      <c r="H96" s="322">
        <f>IF(GEP!G95="-",,GEP!G95/2)</f>
        <v>0.06</v>
      </c>
      <c r="I96" s="322">
        <f>IF(GEP!G95="-",,GEP!G95/2)</f>
        <v>0.06</v>
      </c>
      <c r="J96" s="267">
        <f>IF(GEP!H95="-",,GEP!H95)</f>
        <v>0</v>
      </c>
      <c r="K96" s="321">
        <f>IF(GEP!I95="-",,GEP!I95/2)</f>
        <v>0</v>
      </c>
      <c r="L96" s="321">
        <f>IF(GEP!I95="-",,GEP!I95/2)</f>
        <v>0</v>
      </c>
      <c r="M96" s="113">
        <f>IF(GEP!J95="-",,GEP!J95/2)</f>
        <v>0</v>
      </c>
      <c r="N96" s="113">
        <f>IF(GEP!J95="-",,GEP!J95/2)</f>
        <v>0</v>
      </c>
      <c r="O96" s="267">
        <f>IF(GEP!K95="-",,GEP!K95)</f>
        <v>0</v>
      </c>
      <c r="P96" s="445">
        <f>IF(GEP!N95="-",,GEP!N95/3)</f>
        <v>5.7233333333333336</v>
      </c>
      <c r="Q96" s="445">
        <f>IF(GEP!N95="-",,GEP!N95/3)</f>
        <v>5.7233333333333336</v>
      </c>
      <c r="R96" s="445">
        <f>IF(GEP!N95="-",,GEP!N95/3)</f>
        <v>5.7233333333333336</v>
      </c>
      <c r="S96" s="449">
        <f>IF(GEP!O95="-",,GEP!O95/3)</f>
        <v>0</v>
      </c>
      <c r="T96" s="449">
        <f>IF(GEP!O95="-",,GEP!O95/3)</f>
        <v>0</v>
      </c>
      <c r="U96" s="449">
        <f>IF(GEP!O95="-",,GEP!O95/3)</f>
        <v>0</v>
      </c>
      <c r="V96" s="267">
        <f>IF(GEP!P95="-",IF(GEP!S95="-",,GEP!S95),IF(GEP!S95="-",GEP!P95,GEP!P95+GEP!S95))</f>
        <v>0.33</v>
      </c>
      <c r="W96" s="427">
        <v>0</v>
      </c>
      <c r="X96" s="427">
        <v>0</v>
      </c>
      <c r="Y96" s="113">
        <f>IF(GEP!L95="-",,GEP!L95)</f>
        <v>0</v>
      </c>
      <c r="Z96" s="113">
        <f>IF(GEP!M95="-",,GEP!M95)</f>
        <v>0</v>
      </c>
      <c r="AA96" s="113">
        <f>IF(GEP!Q95="-",,GEP!Q95)</f>
        <v>0</v>
      </c>
      <c r="AB96" s="113">
        <f>IF(GEP!R95="-",,GEP!R95)</f>
        <v>0</v>
      </c>
      <c r="AC96" s="113">
        <f>IF(GEP!P95="-",,GEP!P95)</f>
        <v>0.33</v>
      </c>
      <c r="AD96" s="113">
        <f>IF(GEP!S95="-",,GEP!S95)</f>
        <v>0</v>
      </c>
      <c r="AE96" s="149">
        <f t="shared" si="2"/>
        <v>17.619999999999997</v>
      </c>
      <c r="AF96" s="149">
        <f t="shared" si="3"/>
        <v>17.619999999999997</v>
      </c>
      <c r="AG96" s="106" t="str">
        <f>IF(C96='Table 1.1 complete'!A92,AE96-'Table 1.1 complete'!E92,"error")</f>
        <v>error</v>
      </c>
      <c r="AH96" s="113" t="str">
        <f>IF(C96='Table 1.2 complete'!A92,AE96-'Table 1.2 complete'!K92,"error")</f>
        <v>error</v>
      </c>
      <c r="AI96" s="106">
        <f>'Table 1.2 complete'!K92-'Table 1.1 complete'!E92</f>
        <v>1.9999999999999574E-2</v>
      </c>
    </row>
    <row r="97" spans="3:35" x14ac:dyDescent="0.25">
      <c r="C97" s="173" t="str">
        <f>GEP_add1!P98</f>
        <v>DR of Congo</v>
      </c>
      <c r="D97" s="204">
        <f>GEP_add1!Q98</f>
        <v>44</v>
      </c>
      <c r="E97" s="173" t="str">
        <f>GEP_add1!R98</f>
        <v>ROW</v>
      </c>
      <c r="F97" s="133">
        <f>GEP_add1!S98</f>
        <v>17</v>
      </c>
      <c r="G97" s="267">
        <f>IF(GEP!F96="-",,GEP!F96)</f>
        <v>0</v>
      </c>
      <c r="H97" s="322">
        <f>IF(GEP!G96="-",,GEP!G96/2)</f>
        <v>0.7</v>
      </c>
      <c r="I97" s="322">
        <f>IF(GEP!G96="-",,GEP!G96/2)</f>
        <v>0.7</v>
      </c>
      <c r="J97" s="267">
        <f>IF(GEP!H96="-",,GEP!H96)</f>
        <v>0</v>
      </c>
      <c r="K97" s="321">
        <f>IF(GEP!I96="-",,GEP!I96/2)</f>
        <v>0</v>
      </c>
      <c r="L97" s="321">
        <f>IF(GEP!I96="-",,GEP!I96/2)</f>
        <v>0</v>
      </c>
      <c r="M97" s="113">
        <f>IF(GEP!J96="-",,GEP!J96/2)</f>
        <v>0.98499999999999999</v>
      </c>
      <c r="N97" s="113">
        <f>IF(GEP!J96="-",,GEP!J96/2)</f>
        <v>0.98499999999999999</v>
      </c>
      <c r="O97" s="267">
        <f>IF(GEP!K96="-",,GEP!K96)</f>
        <v>0</v>
      </c>
      <c r="P97" s="445">
        <f>IF(GEP!N96="-",,GEP!N96/3)</f>
        <v>3.2433333333333336</v>
      </c>
      <c r="Q97" s="445">
        <f>IF(GEP!N96="-",,GEP!N96/3)</f>
        <v>3.2433333333333336</v>
      </c>
      <c r="R97" s="445">
        <f>IF(GEP!N96="-",,GEP!N96/3)</f>
        <v>3.2433333333333336</v>
      </c>
      <c r="S97" s="449">
        <f>IF(GEP!O96="-",,GEP!O96/3)</f>
        <v>0.56999999999999995</v>
      </c>
      <c r="T97" s="449">
        <f>IF(GEP!O96="-",,GEP!O96/3)</f>
        <v>0.56999999999999995</v>
      </c>
      <c r="U97" s="449">
        <f>IF(GEP!O96="-",,GEP!O96/3)</f>
        <v>0.56999999999999995</v>
      </c>
      <c r="V97" s="267">
        <f>IF(GEP!P96="-",IF(GEP!S96="-",,GEP!S96),IF(GEP!S96="-",GEP!P96,GEP!P96+GEP!S96))</f>
        <v>0.04</v>
      </c>
      <c r="W97" s="427">
        <v>0</v>
      </c>
      <c r="X97" s="427">
        <v>0</v>
      </c>
      <c r="Y97" s="113">
        <f>IF(GEP!L96="-",,GEP!L96)</f>
        <v>0</v>
      </c>
      <c r="Z97" s="113">
        <f>IF(GEP!M96="-",,GEP!M96)</f>
        <v>0</v>
      </c>
      <c r="AA97" s="113">
        <f>IF(GEP!Q96="-",,GEP!Q96)</f>
        <v>0</v>
      </c>
      <c r="AB97" s="113">
        <f>IF(GEP!R96="-",,GEP!R96)</f>
        <v>0</v>
      </c>
      <c r="AC97" s="113">
        <f>IF(GEP!P96="-",,GEP!P96)</f>
        <v>0.04</v>
      </c>
      <c r="AD97" s="113">
        <f>IF(GEP!S96="-",,GEP!S96)</f>
        <v>0</v>
      </c>
      <c r="AE97" s="149">
        <f t="shared" si="2"/>
        <v>14.850000000000001</v>
      </c>
      <c r="AF97" s="149">
        <f t="shared" si="3"/>
        <v>14.850000000000001</v>
      </c>
      <c r="AG97" s="106" t="str">
        <f>IF(C97='Table 1.1 complete'!A93,AE97-'Table 1.1 complete'!E93,"error")</f>
        <v>error</v>
      </c>
      <c r="AH97" s="113" t="str">
        <f>IF(C97='Table 1.2 complete'!A93,AE97-'Table 1.2 complete'!K93,"error")</f>
        <v>error</v>
      </c>
      <c r="AI97" s="106">
        <f>'Table 1.2 complete'!K93-'Table 1.1 complete'!E93</f>
        <v>3.9999999999999147E-2</v>
      </c>
    </row>
    <row r="98" spans="3:35" x14ac:dyDescent="0.25">
      <c r="C98" s="173" t="str">
        <f>GEP_add1!P99</f>
        <v>El Salvador</v>
      </c>
      <c r="D98" s="204">
        <f>GEP_add1!Q99</f>
        <v>76</v>
      </c>
      <c r="E98" s="173" t="str">
        <f>GEP_add1!R99</f>
        <v>ROW</v>
      </c>
      <c r="F98" s="133">
        <f>GEP_add1!S99</f>
        <v>17</v>
      </c>
      <c r="G98" s="267">
        <f>IF(GEP!F97="-",,GEP!F97)</f>
        <v>0</v>
      </c>
      <c r="H98" s="322">
        <f>IF(GEP!G97="-",,GEP!G97/2)</f>
        <v>6.64</v>
      </c>
      <c r="I98" s="322">
        <f>IF(GEP!G97="-",,GEP!G97/2)</f>
        <v>6.64</v>
      </c>
      <c r="J98" s="267">
        <f>IF(GEP!H97="-",,GEP!H97)</f>
        <v>0</v>
      </c>
      <c r="K98" s="321">
        <f>IF(GEP!I97="-",,GEP!I97/2)</f>
        <v>0</v>
      </c>
      <c r="L98" s="321">
        <f>IF(GEP!I97="-",,GEP!I97/2)</f>
        <v>0</v>
      </c>
      <c r="M98" s="113">
        <f>IF(GEP!J97="-",,GEP!J97/2)</f>
        <v>3.34</v>
      </c>
      <c r="N98" s="113">
        <f>IF(GEP!J97="-",,GEP!J97/2)</f>
        <v>3.34</v>
      </c>
      <c r="O98" s="267">
        <f>IF(GEP!K97="-",,GEP!K97)</f>
        <v>0.81</v>
      </c>
      <c r="P98" s="445">
        <f>IF(GEP!N97="-",,GEP!N97/3)</f>
        <v>0.25333333333333335</v>
      </c>
      <c r="Q98" s="445">
        <f>IF(GEP!N97="-",,GEP!N97/3)</f>
        <v>0.25333333333333335</v>
      </c>
      <c r="R98" s="445">
        <f>IF(GEP!N97="-",,GEP!N97/3)</f>
        <v>0.25333333333333335</v>
      </c>
      <c r="S98" s="449">
        <f>IF(GEP!O97="-",,GEP!O97/3)</f>
        <v>0</v>
      </c>
      <c r="T98" s="449">
        <f>IF(GEP!O97="-",,GEP!O97/3)</f>
        <v>0</v>
      </c>
      <c r="U98" s="449">
        <f>IF(GEP!O97="-",,GEP!O97/3)</f>
        <v>0</v>
      </c>
      <c r="V98" s="267">
        <f>IF(GEP!P97="-",IF(GEP!S97="-",,GEP!S97),IF(GEP!S97="-",GEP!P97,GEP!P97+GEP!S97))</f>
        <v>0</v>
      </c>
      <c r="W98" s="427">
        <v>0</v>
      </c>
      <c r="X98" s="427">
        <v>0</v>
      </c>
      <c r="Y98" s="113">
        <f>IF(GEP!L97="-",,GEP!L97)</f>
        <v>0</v>
      </c>
      <c r="Z98" s="113">
        <f>IF(GEP!M97="-",,GEP!M97)</f>
        <v>0</v>
      </c>
      <c r="AA98" s="113">
        <f>IF(GEP!Q97="-",,GEP!Q97)</f>
        <v>0</v>
      </c>
      <c r="AB98" s="113">
        <f>IF(GEP!R97="-",,GEP!R97)</f>
        <v>0</v>
      </c>
      <c r="AC98" s="113">
        <f>IF(GEP!P97="-",,GEP!P97)</f>
        <v>0</v>
      </c>
      <c r="AD98" s="113">
        <f>IF(GEP!S97="-",,GEP!S97)</f>
        <v>0</v>
      </c>
      <c r="AE98" s="149">
        <f t="shared" si="2"/>
        <v>21.529999999999998</v>
      </c>
      <c r="AF98" s="149">
        <f t="shared" si="3"/>
        <v>21.529999999999998</v>
      </c>
      <c r="AG98" s="106" t="str">
        <f>IF(C98='Table 1.1 complete'!A94,AE98-'Table 1.1 complete'!E94,"error")</f>
        <v>error</v>
      </c>
      <c r="AH98" s="113" t="str">
        <f>IF(C98='Table 1.2 complete'!A94,AE98-'Table 1.2 complete'!K94,"error")</f>
        <v>error</v>
      </c>
      <c r="AI98" s="106">
        <f>'Table 1.2 complete'!K94-'Table 1.1 complete'!E94</f>
        <v>1.9999999999999574E-2</v>
      </c>
    </row>
    <row r="99" spans="3:35" x14ac:dyDescent="0.25">
      <c r="C99" s="173" t="str">
        <f>GEP_add1!P100</f>
        <v>Eritrea</v>
      </c>
      <c r="D99" s="204">
        <f>GEP_add1!Q100</f>
        <v>47</v>
      </c>
      <c r="E99" s="173" t="str">
        <f>GEP_add1!R100</f>
        <v>ROW</v>
      </c>
      <c r="F99" s="133">
        <f>GEP_add1!S100</f>
        <v>17</v>
      </c>
      <c r="G99" s="267">
        <f>IF(GEP!F98="-",,GEP!F98)</f>
        <v>0</v>
      </c>
      <c r="H99" s="322">
        <f>IF(GEP!G98="-",,GEP!G98/2)</f>
        <v>4.1399999999999997</v>
      </c>
      <c r="I99" s="322">
        <f>IF(GEP!G98="-",,GEP!G98/2)</f>
        <v>4.1399999999999997</v>
      </c>
      <c r="J99" s="267">
        <f>IF(GEP!H98="-",,GEP!H98)</f>
        <v>0</v>
      </c>
      <c r="K99" s="321">
        <f>IF(GEP!I98="-",,GEP!I98/2)</f>
        <v>0</v>
      </c>
      <c r="L99" s="321">
        <f>IF(GEP!I98="-",,GEP!I98/2)</f>
        <v>0</v>
      </c>
      <c r="M99" s="113">
        <f>IF(GEP!J98="-",,GEP!J98/2)</f>
        <v>0</v>
      </c>
      <c r="N99" s="113">
        <f>IF(GEP!J98="-",,GEP!J98/2)</f>
        <v>0</v>
      </c>
      <c r="O99" s="267">
        <f>IF(GEP!K98="-",,GEP!K98)</f>
        <v>0</v>
      </c>
      <c r="P99" s="445">
        <f>IF(GEP!N98="-",,GEP!N98/3)</f>
        <v>0.01</v>
      </c>
      <c r="Q99" s="445">
        <f>IF(GEP!N98="-",,GEP!N98/3)</f>
        <v>0.01</v>
      </c>
      <c r="R99" s="445">
        <f>IF(GEP!N98="-",,GEP!N98/3)</f>
        <v>0.01</v>
      </c>
      <c r="S99" s="449">
        <f>IF(GEP!O98="-",,GEP!O98/3)</f>
        <v>0</v>
      </c>
      <c r="T99" s="449">
        <f>IF(GEP!O98="-",,GEP!O98/3)</f>
        <v>0</v>
      </c>
      <c r="U99" s="449">
        <f>IF(GEP!O98="-",,GEP!O98/3)</f>
        <v>0</v>
      </c>
      <c r="V99" s="267">
        <f>IF(GEP!P98="-",IF(GEP!S98="-",,GEP!S98),IF(GEP!S98="-",GEP!P98,GEP!P98+GEP!S98))</f>
        <v>0</v>
      </c>
      <c r="W99" s="427">
        <v>0</v>
      </c>
      <c r="X99" s="427">
        <v>0</v>
      </c>
      <c r="Y99" s="113">
        <f>IF(GEP!L98="-",,GEP!L98)</f>
        <v>0</v>
      </c>
      <c r="Z99" s="113">
        <f>IF(GEP!M98="-",,GEP!M98)</f>
        <v>0</v>
      </c>
      <c r="AA99" s="113">
        <f>IF(GEP!Q98="-",,GEP!Q98)</f>
        <v>0</v>
      </c>
      <c r="AB99" s="113">
        <f>IF(GEP!R98="-",,GEP!R98)</f>
        <v>0</v>
      </c>
      <c r="AC99" s="113">
        <f>IF(GEP!P98="-",,GEP!P98)</f>
        <v>0</v>
      </c>
      <c r="AD99" s="113">
        <f>IF(GEP!S98="-",,GEP!S98)</f>
        <v>0</v>
      </c>
      <c r="AE99" s="149">
        <f t="shared" si="2"/>
        <v>8.3099999999999987</v>
      </c>
      <c r="AF99" s="149">
        <f t="shared" si="3"/>
        <v>8.3099999999999987</v>
      </c>
      <c r="AG99" s="106" t="str">
        <f>IF(C99='Table 1.1 complete'!A95,AE99-'Table 1.1 complete'!E95,"error")</f>
        <v>error</v>
      </c>
      <c r="AH99" s="113" t="str">
        <f>IF(C99='Table 1.2 complete'!A95,AE99-'Table 1.2 complete'!K95,"error")</f>
        <v>error</v>
      </c>
      <c r="AI99" s="106">
        <f>'Table 1.2 complete'!K95-'Table 1.1 complete'!E95</f>
        <v>0</v>
      </c>
    </row>
    <row r="100" spans="3:35" x14ac:dyDescent="0.25">
      <c r="C100" s="173" t="str">
        <f>GEP_add1!P101</f>
        <v>Ethiopia</v>
      </c>
      <c r="D100" s="204">
        <f>GEP_add1!Q101</f>
        <v>48</v>
      </c>
      <c r="E100" s="173" t="str">
        <f>GEP_add1!R101</f>
        <v>ROW</v>
      </c>
      <c r="F100" s="133">
        <f>GEP_add1!S101</f>
        <v>17</v>
      </c>
      <c r="G100" s="267">
        <f>IF(GEP!F99="-",,GEP!F99)</f>
        <v>0</v>
      </c>
      <c r="H100" s="322">
        <f>IF(GEP!G99="-",,GEP!G99/2)</f>
        <v>0.87</v>
      </c>
      <c r="I100" s="322">
        <f>IF(GEP!G99="-",,GEP!G99/2)</f>
        <v>0.87</v>
      </c>
      <c r="J100" s="267">
        <f>IF(GEP!H99="-",,GEP!H99)</f>
        <v>1.38</v>
      </c>
      <c r="K100" s="321">
        <f>IF(GEP!I99="-",,GEP!I99/2)</f>
        <v>0</v>
      </c>
      <c r="L100" s="321">
        <f>IF(GEP!I99="-",,GEP!I99/2)</f>
        <v>0</v>
      </c>
      <c r="M100" s="113">
        <f>IF(GEP!J99="-",,GEP!J99/2)</f>
        <v>0</v>
      </c>
      <c r="N100" s="113">
        <f>IF(GEP!J99="-",,GEP!J99/2)</f>
        <v>0</v>
      </c>
      <c r="O100" s="267">
        <f>IF(GEP!K99="-",,GEP!K99)</f>
        <v>0</v>
      </c>
      <c r="P100" s="445">
        <f>IF(GEP!N99="-",,GEP!N99/3)</f>
        <v>0.8833333333333333</v>
      </c>
      <c r="Q100" s="445">
        <f>IF(GEP!N99="-",,GEP!N99/3)</f>
        <v>0.8833333333333333</v>
      </c>
      <c r="R100" s="445">
        <f>IF(GEP!N99="-",,GEP!N99/3)</f>
        <v>0.8833333333333333</v>
      </c>
      <c r="S100" s="449">
        <f>IF(GEP!O99="-",,GEP!O99/3)</f>
        <v>0</v>
      </c>
      <c r="T100" s="449">
        <f>IF(GEP!O99="-",,GEP!O99/3)</f>
        <v>0</v>
      </c>
      <c r="U100" s="449">
        <f>IF(GEP!O99="-",,GEP!O99/3)</f>
        <v>0</v>
      </c>
      <c r="V100" s="267">
        <f>IF(GEP!P99="-",IF(GEP!S99="-",,GEP!S99),IF(GEP!S99="-",GEP!P99,GEP!P99+GEP!S99))</f>
        <v>0.03</v>
      </c>
      <c r="W100" s="427">
        <v>0</v>
      </c>
      <c r="X100" s="427">
        <v>0</v>
      </c>
      <c r="Y100" s="113">
        <f>IF(GEP!L99="-",,GEP!L99)</f>
        <v>0</v>
      </c>
      <c r="Z100" s="113">
        <f>IF(GEP!M99="-",,GEP!M99)</f>
        <v>0</v>
      </c>
      <c r="AA100" s="113">
        <f>IF(GEP!Q99="-",,GEP!Q99)</f>
        <v>0</v>
      </c>
      <c r="AB100" s="113">
        <f>IF(GEP!R99="-",,GEP!R99)</f>
        <v>0</v>
      </c>
      <c r="AC100" s="113">
        <f>IF(GEP!P99="-",,GEP!P99)</f>
        <v>0.03</v>
      </c>
      <c r="AD100" s="113">
        <f>IF(GEP!S99="-",,GEP!S99)</f>
        <v>0</v>
      </c>
      <c r="AE100" s="149">
        <f t="shared" si="2"/>
        <v>5.8</v>
      </c>
      <c r="AF100" s="149">
        <f t="shared" si="3"/>
        <v>5.8</v>
      </c>
      <c r="AG100" s="106" t="str">
        <f>IF(C100='Table 1.1 complete'!A96,AE100-'Table 1.1 complete'!E96,"error")</f>
        <v>error</v>
      </c>
      <c r="AH100" s="113" t="str">
        <f>IF(C100='Table 1.2 complete'!A96,AE100-'Table 1.2 complete'!K96,"error")</f>
        <v>error</v>
      </c>
      <c r="AI100" s="106">
        <f>'Table 1.2 complete'!K96-'Table 1.1 complete'!E96</f>
        <v>9.9999999999997868E-3</v>
      </c>
    </row>
    <row r="101" spans="3:35" x14ac:dyDescent="0.25">
      <c r="C101" s="173" t="str">
        <f>GEP_add1!P102</f>
        <v>F.Y.R. Macedonia</v>
      </c>
      <c r="D101" s="204">
        <f>GEP_add1!Q102</f>
        <v>118</v>
      </c>
      <c r="E101" s="173" t="str">
        <f>GEP_add1!R102</f>
        <v>ROW</v>
      </c>
      <c r="F101" s="133">
        <f>GEP_add1!S102</f>
        <v>17</v>
      </c>
      <c r="G101" s="267">
        <f>IF(GEP!F100="-",,GEP!F100)</f>
        <v>0</v>
      </c>
      <c r="H101" s="322">
        <f>IF(GEP!G100="-",,GEP!G100/2)</f>
        <v>0</v>
      </c>
      <c r="I101" s="322">
        <f>IF(GEP!G100="-",,GEP!G100/2)</f>
        <v>0</v>
      </c>
      <c r="J101" s="267">
        <f>IF(GEP!H100="-",,GEP!H100)</f>
        <v>0</v>
      </c>
      <c r="K101" s="321">
        <f>IF(GEP!I100="-",,GEP!I100/2)</f>
        <v>0</v>
      </c>
      <c r="L101" s="321">
        <f>IF(GEP!I100="-",,GEP!I100/2)</f>
        <v>0</v>
      </c>
      <c r="M101" s="113">
        <f>IF(GEP!J100="-",,GEP!J100/2)</f>
        <v>0</v>
      </c>
      <c r="N101" s="113">
        <f>IF(GEP!J100="-",,GEP!J100/2)</f>
        <v>0</v>
      </c>
      <c r="O101" s="267">
        <f>IF(GEP!K100="-",,GEP!K100)</f>
        <v>0</v>
      </c>
      <c r="P101" s="445">
        <f>IF(GEP!N100="-",,GEP!N100/3)</f>
        <v>9.6666666666666665E-2</v>
      </c>
      <c r="Q101" s="445">
        <f>IF(GEP!N100="-",,GEP!N100/3)</f>
        <v>9.6666666666666665E-2</v>
      </c>
      <c r="R101" s="445">
        <f>IF(GEP!N100="-",,GEP!N100/3)</f>
        <v>9.6666666666666665E-2</v>
      </c>
      <c r="S101" s="449">
        <f>IF(GEP!O100="-",,GEP!O100/3)</f>
        <v>0</v>
      </c>
      <c r="T101" s="449">
        <f>IF(GEP!O100="-",,GEP!O100/3)</f>
        <v>0</v>
      </c>
      <c r="U101" s="449">
        <f>IF(GEP!O100="-",,GEP!O100/3)</f>
        <v>0</v>
      </c>
      <c r="V101" s="267">
        <f>IF(GEP!P100="-",IF(GEP!S100="-",,GEP!S100),IF(GEP!S100="-",GEP!P100,GEP!P100+GEP!S100))</f>
        <v>0</v>
      </c>
      <c r="W101" s="427">
        <v>0</v>
      </c>
      <c r="X101" s="427">
        <v>0</v>
      </c>
      <c r="Y101" s="113">
        <f>IF(GEP!L100="-",,GEP!L100)</f>
        <v>0</v>
      </c>
      <c r="Z101" s="113">
        <f>IF(GEP!M100="-",,GEP!M100)</f>
        <v>0</v>
      </c>
      <c r="AA101" s="113">
        <f>IF(GEP!Q100="-",,GEP!Q100)</f>
        <v>0</v>
      </c>
      <c r="AB101" s="113">
        <f>IF(GEP!R100="-",,GEP!R100)</f>
        <v>0</v>
      </c>
      <c r="AC101" s="113">
        <f>IF(GEP!P100="-",,GEP!P100)</f>
        <v>0</v>
      </c>
      <c r="AD101" s="113">
        <f>IF(GEP!S100="-",,GEP!S100)</f>
        <v>0</v>
      </c>
      <c r="AE101" s="149">
        <f t="shared" si="2"/>
        <v>0.28999999999999998</v>
      </c>
      <c r="AF101" s="149">
        <f t="shared" si="3"/>
        <v>0.28999999999999998</v>
      </c>
      <c r="AG101" s="106" t="str">
        <f>IF(C101='Table 1.1 complete'!A97,AE101-'Table 1.1 complete'!E97,"error")</f>
        <v>error</v>
      </c>
      <c r="AH101" s="113" t="str">
        <f>IF(C101='Table 1.2 complete'!A97,AE101-'Table 1.2 complete'!K97,"error")</f>
        <v>error</v>
      </c>
      <c r="AI101" s="106">
        <f>'Table 1.2 complete'!K97-'Table 1.1 complete'!E97</f>
        <v>-1.0000000000000009E-2</v>
      </c>
    </row>
    <row r="102" spans="3:35" x14ac:dyDescent="0.25">
      <c r="C102" s="173" t="str">
        <f>GEP_add1!P103</f>
        <v>Gabon</v>
      </c>
      <c r="D102" s="204">
        <f>GEP_add1!Q103</f>
        <v>49</v>
      </c>
      <c r="E102" s="173" t="str">
        <f>GEP_add1!R103</f>
        <v>ROW</v>
      </c>
      <c r="F102" s="133">
        <f>GEP_add1!S103</f>
        <v>17</v>
      </c>
      <c r="G102" s="267">
        <f>IF(GEP!F101="-",,GEP!F101)</f>
        <v>0</v>
      </c>
      <c r="H102" s="322">
        <f>IF(GEP!G101="-",,GEP!G101/2)</f>
        <v>1.6850000000000001</v>
      </c>
      <c r="I102" s="322">
        <f>IF(GEP!G101="-",,GEP!G101/2)</f>
        <v>1.6850000000000001</v>
      </c>
      <c r="J102" s="267">
        <f>IF(GEP!H101="-",,GEP!H101)</f>
        <v>0</v>
      </c>
      <c r="K102" s="321">
        <f>IF(GEP!I101="-",,GEP!I101/2)</f>
        <v>0</v>
      </c>
      <c r="L102" s="321">
        <f>IF(GEP!I101="-",,GEP!I101/2)</f>
        <v>0</v>
      </c>
      <c r="M102" s="113">
        <f>IF(GEP!J101="-",,GEP!J101/2)</f>
        <v>0</v>
      </c>
      <c r="N102" s="113">
        <f>IF(GEP!J101="-",,GEP!J101/2)</f>
        <v>0</v>
      </c>
      <c r="O102" s="267">
        <f>IF(GEP!K101="-",,GEP!K101)</f>
        <v>0</v>
      </c>
      <c r="P102" s="445">
        <f>IF(GEP!N101="-",,GEP!N101/3)</f>
        <v>4.3333333333333335E-2</v>
      </c>
      <c r="Q102" s="445">
        <f>IF(GEP!N101="-",,GEP!N101/3)</f>
        <v>4.3333333333333335E-2</v>
      </c>
      <c r="R102" s="445">
        <f>IF(GEP!N101="-",,GEP!N101/3)</f>
        <v>4.3333333333333335E-2</v>
      </c>
      <c r="S102" s="449">
        <f>IF(GEP!O101="-",,GEP!O101/3)</f>
        <v>0</v>
      </c>
      <c r="T102" s="449">
        <f>IF(GEP!O101="-",,GEP!O101/3)</f>
        <v>0</v>
      </c>
      <c r="U102" s="449">
        <f>IF(GEP!O101="-",,GEP!O101/3)</f>
        <v>0</v>
      </c>
      <c r="V102" s="267">
        <f>IF(GEP!P101="-",IF(GEP!S101="-",,GEP!S101),IF(GEP!S101="-",GEP!P101,GEP!P101+GEP!S101))</f>
        <v>0</v>
      </c>
      <c r="W102" s="427">
        <v>0</v>
      </c>
      <c r="X102" s="427">
        <v>0</v>
      </c>
      <c r="Y102" s="113">
        <f>IF(GEP!L101="-",,GEP!L101)</f>
        <v>0</v>
      </c>
      <c r="Z102" s="113">
        <f>IF(GEP!M101="-",,GEP!M101)</f>
        <v>0</v>
      </c>
      <c r="AA102" s="113">
        <f>IF(GEP!Q101="-",,GEP!Q101)</f>
        <v>0</v>
      </c>
      <c r="AB102" s="113">
        <f>IF(GEP!R101="-",,GEP!R101)</f>
        <v>0</v>
      </c>
      <c r="AC102" s="113">
        <f>IF(GEP!P101="-",,GEP!P101)</f>
        <v>0</v>
      </c>
      <c r="AD102" s="113">
        <f>IF(GEP!S101="-",,GEP!S101)</f>
        <v>0</v>
      </c>
      <c r="AE102" s="149">
        <f t="shared" si="2"/>
        <v>3.5000000000000004</v>
      </c>
      <c r="AF102" s="149">
        <f t="shared" si="3"/>
        <v>3.5000000000000004</v>
      </c>
      <c r="AG102" s="106" t="str">
        <f>IF(C102='Table 1.1 complete'!A98,AE102-'Table 1.1 complete'!E98,"error")</f>
        <v>error</v>
      </c>
      <c r="AH102" s="113" t="str">
        <f>IF(C102='Table 1.2 complete'!A98,AE102-'Table 1.2 complete'!K98,"error")</f>
        <v>error</v>
      </c>
      <c r="AI102" s="106">
        <f>'Table 1.2 complete'!K98-'Table 1.1 complete'!E98</f>
        <v>0</v>
      </c>
    </row>
    <row r="103" spans="3:35" x14ac:dyDescent="0.25">
      <c r="C103" s="173" t="str">
        <f>GEP_add1!P104</f>
        <v>Georgia</v>
      </c>
      <c r="D103" s="204">
        <f>GEP_add1!Q104</f>
        <v>129</v>
      </c>
      <c r="E103" s="173" t="str">
        <f>GEP_add1!R104</f>
        <v>ROW</v>
      </c>
      <c r="F103" s="133">
        <f>GEP_add1!S104</f>
        <v>17</v>
      </c>
      <c r="G103" s="267">
        <f>IF(GEP!F102="-",,GEP!F102)</f>
        <v>0</v>
      </c>
      <c r="H103" s="322">
        <f>IF(GEP!G102="-",,GEP!G102/2)</f>
        <v>0.505</v>
      </c>
      <c r="I103" s="322">
        <f>IF(GEP!G102="-",,GEP!G102/2)</f>
        <v>0.505</v>
      </c>
      <c r="J103" s="267">
        <f>IF(GEP!H102="-",,GEP!H102)</f>
        <v>0</v>
      </c>
      <c r="K103" s="321">
        <f>IF(GEP!I102="-",,GEP!I102/2)</f>
        <v>0</v>
      </c>
      <c r="L103" s="321">
        <f>IF(GEP!I102="-",,GEP!I102/2)</f>
        <v>0</v>
      </c>
      <c r="M103" s="113">
        <f>IF(GEP!J102="-",,GEP!J102/2)</f>
        <v>0</v>
      </c>
      <c r="N103" s="113">
        <f>IF(GEP!J102="-",,GEP!J102/2)</f>
        <v>0</v>
      </c>
      <c r="O103" s="267">
        <f>IF(GEP!K102="-",,GEP!K102)</f>
        <v>5.24</v>
      </c>
      <c r="P103" s="445">
        <f>IF(GEP!N102="-",,GEP!N102/3)</f>
        <v>0.16</v>
      </c>
      <c r="Q103" s="445">
        <f>IF(GEP!N102="-",,GEP!N102/3)</f>
        <v>0.16</v>
      </c>
      <c r="R103" s="445">
        <f>IF(GEP!N102="-",,GEP!N102/3)</f>
        <v>0.16</v>
      </c>
      <c r="S103" s="449">
        <f>IF(GEP!O102="-",,GEP!O102/3)</f>
        <v>0</v>
      </c>
      <c r="T103" s="449">
        <f>IF(GEP!O102="-",,GEP!O102/3)</f>
        <v>0</v>
      </c>
      <c r="U103" s="449">
        <f>IF(GEP!O102="-",,GEP!O102/3)</f>
        <v>0</v>
      </c>
      <c r="V103" s="267">
        <f>IF(GEP!P102="-",IF(GEP!S102="-",,GEP!S102),IF(GEP!S102="-",GEP!P102,GEP!P102+GEP!S102))</f>
        <v>0</v>
      </c>
      <c r="W103" s="427">
        <v>0</v>
      </c>
      <c r="X103" s="427">
        <v>0</v>
      </c>
      <c r="Y103" s="113">
        <f>IF(GEP!L102="-",,GEP!L102)</f>
        <v>0</v>
      </c>
      <c r="Z103" s="113">
        <f>IF(GEP!M102="-",,GEP!M102)</f>
        <v>0</v>
      </c>
      <c r="AA103" s="113">
        <f>IF(GEP!Q102="-",,GEP!Q102)</f>
        <v>0</v>
      </c>
      <c r="AB103" s="113">
        <f>IF(GEP!R102="-",,GEP!R102)</f>
        <v>0</v>
      </c>
      <c r="AC103" s="113">
        <f>IF(GEP!P102="-",,GEP!P102)</f>
        <v>0</v>
      </c>
      <c r="AD103" s="113">
        <f>IF(GEP!S102="-",,GEP!S102)</f>
        <v>0</v>
      </c>
      <c r="AE103" s="149">
        <f t="shared" si="2"/>
        <v>6.73</v>
      </c>
      <c r="AF103" s="149">
        <f t="shared" si="3"/>
        <v>6.73</v>
      </c>
      <c r="AG103" s="106" t="str">
        <f>IF(C103='Table 1.1 complete'!A99,AE103-'Table 1.1 complete'!E99,"error")</f>
        <v>error</v>
      </c>
      <c r="AH103" s="113" t="str">
        <f>IF(C103='Table 1.2 complete'!A99,AE103-'Table 1.2 complete'!K99,"error")</f>
        <v>error</v>
      </c>
      <c r="AI103" s="106">
        <f>'Table 1.2 complete'!K99-'Table 1.1 complete'!E99</f>
        <v>3.0000000000000249E-2</v>
      </c>
    </row>
    <row r="104" spans="3:35" x14ac:dyDescent="0.25">
      <c r="C104" s="172" t="str">
        <f>GEP_add1!P105</f>
        <v>Ghana</v>
      </c>
      <c r="D104" s="203">
        <f>GEP_add1!Q105</f>
        <v>50</v>
      </c>
      <c r="E104" s="172" t="str">
        <f>GEP_add1!R105</f>
        <v>ROW</v>
      </c>
      <c r="F104" s="132">
        <f>GEP_add1!S105</f>
        <v>17</v>
      </c>
      <c r="G104" s="267">
        <f>IF(GEP!F103="-",,GEP!F103)</f>
        <v>0</v>
      </c>
      <c r="H104" s="322">
        <f>IF(GEP!G103="-",,GEP!G103/2)</f>
        <v>0.4</v>
      </c>
      <c r="I104" s="322">
        <f>IF(GEP!G103="-",,GEP!G103/2)</f>
        <v>0.4</v>
      </c>
      <c r="J104" s="267">
        <f>IF(GEP!H103="-",,GEP!H103)</f>
        <v>0</v>
      </c>
      <c r="K104" s="321">
        <f>IF(GEP!I103="-",,GEP!I103/2)</f>
        <v>0</v>
      </c>
      <c r="L104" s="321">
        <f>IF(GEP!I103="-",,GEP!I103/2)</f>
        <v>0</v>
      </c>
      <c r="M104" s="113">
        <f>IF(GEP!J103="-",,GEP!J103/2)</f>
        <v>0</v>
      </c>
      <c r="N104" s="113">
        <f>IF(GEP!J103="-",,GEP!J103/2)</f>
        <v>0</v>
      </c>
      <c r="O104" s="267">
        <f>IF(GEP!K103="-",,GEP!K103)</f>
        <v>0</v>
      </c>
      <c r="P104" s="445">
        <f>IF(GEP!N103="-",,GEP!N103/3)</f>
        <v>0.24666666666666667</v>
      </c>
      <c r="Q104" s="445">
        <f>IF(GEP!N103="-",,GEP!N103/3)</f>
        <v>0.24666666666666667</v>
      </c>
      <c r="R104" s="445">
        <f>IF(GEP!N103="-",,GEP!N103/3)</f>
        <v>0.24666666666666667</v>
      </c>
      <c r="S104" s="449">
        <f>IF(GEP!O103="-",,GEP!O103/3)</f>
        <v>9.9999999999999992E-2</v>
      </c>
      <c r="T104" s="449">
        <f>IF(GEP!O103="-",,GEP!O103/3)</f>
        <v>9.9999999999999992E-2</v>
      </c>
      <c r="U104" s="449">
        <f>IF(GEP!O103="-",,GEP!O103/3)</f>
        <v>9.9999999999999992E-2</v>
      </c>
      <c r="V104" s="267">
        <f>IF(GEP!P103="-",IF(GEP!S103="-",,GEP!S103),IF(GEP!S103="-",GEP!P103,GEP!P103+GEP!S103))</f>
        <v>0.01</v>
      </c>
      <c r="W104" s="427">
        <v>0</v>
      </c>
      <c r="X104" s="427">
        <v>0</v>
      </c>
      <c r="Y104" s="113">
        <f>IF(GEP!L103="-",,GEP!L103)</f>
        <v>0</v>
      </c>
      <c r="Z104" s="113">
        <f>IF(GEP!M103="-",,GEP!M103)</f>
        <v>0</v>
      </c>
      <c r="AA104" s="113">
        <f>IF(GEP!Q103="-",,GEP!Q103)</f>
        <v>0</v>
      </c>
      <c r="AB104" s="113">
        <f>IF(GEP!R103="-",,GEP!R103)</f>
        <v>0</v>
      </c>
      <c r="AC104" s="113">
        <f>IF(GEP!P103="-",,GEP!P103)</f>
        <v>0.01</v>
      </c>
      <c r="AD104" s="113">
        <f>IF(GEP!S103="-",,GEP!S103)</f>
        <v>0</v>
      </c>
      <c r="AE104" s="149">
        <f t="shared" si="2"/>
        <v>1.85</v>
      </c>
      <c r="AF104" s="149">
        <f t="shared" si="3"/>
        <v>1.85</v>
      </c>
      <c r="AG104" s="106" t="str">
        <f>IF(C104='Table 1.1 complete'!A100,AE104-'Table 1.1 complete'!E100,"error")</f>
        <v>error</v>
      </c>
      <c r="AH104" s="113" t="str">
        <f>IF(C104='Table 1.2 complete'!A100,AE104-'Table 1.2 complete'!K100,"error")</f>
        <v>error</v>
      </c>
      <c r="AI104" s="106">
        <f>'Table 1.2 complete'!K100-'Table 1.1 complete'!E100</f>
        <v>4.0000000000000036E-2</v>
      </c>
    </row>
    <row r="105" spans="3:35" x14ac:dyDescent="0.25">
      <c r="C105" s="172" t="str">
        <f>GEP_add1!P106</f>
        <v>Guatemala</v>
      </c>
      <c r="D105" s="203">
        <f>GEP_add1!Q106</f>
        <v>77</v>
      </c>
      <c r="E105" s="172" t="str">
        <f>GEP_add1!R106</f>
        <v>ROW</v>
      </c>
      <c r="F105" s="132">
        <f>GEP_add1!S106</f>
        <v>17</v>
      </c>
      <c r="G105" s="267">
        <f>IF(GEP!F104="-",,GEP!F104)</f>
        <v>0</v>
      </c>
      <c r="H105" s="322">
        <f>IF(GEP!G104="-",,GEP!G104/2)</f>
        <v>3.41</v>
      </c>
      <c r="I105" s="322">
        <f>IF(GEP!G104="-",,GEP!G104/2)</f>
        <v>3.41</v>
      </c>
      <c r="J105" s="267">
        <f>IF(GEP!H104="-",,GEP!H104)</f>
        <v>0</v>
      </c>
      <c r="K105" s="321">
        <f>IF(GEP!I104="-",,GEP!I104/2)</f>
        <v>0</v>
      </c>
      <c r="L105" s="321">
        <f>IF(GEP!I104="-",,GEP!I104/2)</f>
        <v>0</v>
      </c>
      <c r="M105" s="113">
        <f>IF(GEP!J104="-",,GEP!J104/2)</f>
        <v>0</v>
      </c>
      <c r="N105" s="113">
        <f>IF(GEP!J104="-",,GEP!J104/2)</f>
        <v>0</v>
      </c>
      <c r="O105" s="267">
        <f>IF(GEP!K104="-",,GEP!K104)</f>
        <v>0</v>
      </c>
      <c r="P105" s="445">
        <f>IF(GEP!N104="-",,GEP!N104/3)</f>
        <v>6.6666666666666671E-3</v>
      </c>
      <c r="Q105" s="445">
        <f>IF(GEP!N104="-",,GEP!N104/3)</f>
        <v>6.6666666666666671E-3</v>
      </c>
      <c r="R105" s="445">
        <f>IF(GEP!N104="-",,GEP!N104/3)</f>
        <v>6.6666666666666671E-3</v>
      </c>
      <c r="S105" s="449">
        <f>IF(GEP!O104="-",,GEP!O104/3)</f>
        <v>0.49666666666666665</v>
      </c>
      <c r="T105" s="449">
        <f>IF(GEP!O104="-",,GEP!O104/3)</f>
        <v>0.49666666666666665</v>
      </c>
      <c r="U105" s="449">
        <f>IF(GEP!O104="-",,GEP!O104/3)</f>
        <v>0.49666666666666665</v>
      </c>
      <c r="V105" s="267">
        <f>IF(GEP!P104="-",IF(GEP!S104="-",,GEP!S104),IF(GEP!S104="-",GEP!P104,GEP!P104+GEP!S104))</f>
        <v>0</v>
      </c>
      <c r="W105" s="427">
        <v>0</v>
      </c>
      <c r="X105" s="427">
        <v>0</v>
      </c>
      <c r="Y105" s="113">
        <f>IF(GEP!L104="-",,GEP!L104)</f>
        <v>0</v>
      </c>
      <c r="Z105" s="113">
        <f>IF(GEP!M104="-",,GEP!M104)</f>
        <v>0</v>
      </c>
      <c r="AA105" s="113">
        <f>IF(GEP!Q104="-",,GEP!Q104)</f>
        <v>0</v>
      </c>
      <c r="AB105" s="113">
        <f>IF(GEP!R104="-",,GEP!R104)</f>
        <v>0</v>
      </c>
      <c r="AC105" s="113">
        <f>IF(GEP!P104="-",,GEP!P104)</f>
        <v>0</v>
      </c>
      <c r="AD105" s="113">
        <f>IF(GEP!S104="-",,GEP!S104)</f>
        <v>0</v>
      </c>
      <c r="AE105" s="149">
        <f t="shared" si="2"/>
        <v>8.3300000000000018</v>
      </c>
      <c r="AF105" s="149">
        <f t="shared" si="3"/>
        <v>8.3300000000000018</v>
      </c>
      <c r="AG105" s="106" t="str">
        <f>IF(C105='Table 1.1 complete'!A101,AE105-'Table 1.1 complete'!E101,"error")</f>
        <v>error</v>
      </c>
      <c r="AH105" s="113" t="str">
        <f>IF(C105='Table 1.2 complete'!A101,AE105-'Table 1.2 complete'!K101,"error")</f>
        <v>error</v>
      </c>
      <c r="AI105" s="106">
        <f>'Table 1.2 complete'!K101-'Table 1.1 complete'!E101</f>
        <v>2.9999999999999361E-2</v>
      </c>
    </row>
    <row r="106" spans="3:35" x14ac:dyDescent="0.25">
      <c r="C106" s="172" t="str">
        <f>GEP_add1!P107</f>
        <v xml:space="preserve">Haiti             </v>
      </c>
      <c r="D106" s="203">
        <f>GEP_add1!Q107</f>
        <v>78</v>
      </c>
      <c r="E106" s="172" t="str">
        <f>GEP_add1!R107</f>
        <v>ROW</v>
      </c>
      <c r="F106" s="132">
        <f>GEP_add1!S107</f>
        <v>17</v>
      </c>
      <c r="G106" s="267">
        <f>IF(GEP!F105="-",,GEP!F105)</f>
        <v>0</v>
      </c>
      <c r="H106" s="322">
        <f>IF(GEP!G105="-",,GEP!G105/2)</f>
        <v>1.865</v>
      </c>
      <c r="I106" s="322">
        <f>IF(GEP!G105="-",,GEP!G105/2)</f>
        <v>1.865</v>
      </c>
      <c r="J106" s="267">
        <f>IF(GEP!H105="-",,GEP!H105)</f>
        <v>0</v>
      </c>
      <c r="K106" s="321">
        <f>IF(GEP!I105="-",,GEP!I105/2)</f>
        <v>0</v>
      </c>
      <c r="L106" s="321">
        <f>IF(GEP!I105="-",,GEP!I105/2)</f>
        <v>0</v>
      </c>
      <c r="M106" s="113">
        <f>IF(GEP!J105="-",,GEP!J105/2)</f>
        <v>0</v>
      </c>
      <c r="N106" s="113">
        <f>IF(GEP!J105="-",,GEP!J105/2)</f>
        <v>0</v>
      </c>
      <c r="O106" s="267">
        <f>IF(GEP!K105="-",,GEP!K105)</f>
        <v>0</v>
      </c>
      <c r="P106" s="445">
        <f>IF(GEP!N105="-",,GEP!N105/3)</f>
        <v>1.0833333333333333</v>
      </c>
      <c r="Q106" s="445">
        <f>IF(GEP!N105="-",,GEP!N105/3)</f>
        <v>1.0833333333333333</v>
      </c>
      <c r="R106" s="445">
        <f>IF(GEP!N105="-",,GEP!N105/3)</f>
        <v>1.0833333333333333</v>
      </c>
      <c r="S106" s="449">
        <f>IF(GEP!O105="-",,GEP!O105/3)</f>
        <v>0</v>
      </c>
      <c r="T106" s="449">
        <f>IF(GEP!O105="-",,GEP!O105/3)</f>
        <v>0</v>
      </c>
      <c r="U106" s="449">
        <f>IF(GEP!O105="-",,GEP!O105/3)</f>
        <v>0</v>
      </c>
      <c r="V106" s="267">
        <f>IF(GEP!P105="-",IF(GEP!S105="-",,GEP!S105),IF(GEP!S105="-",GEP!P105,GEP!P105+GEP!S105))</f>
        <v>0</v>
      </c>
      <c r="W106" s="427">
        <v>0</v>
      </c>
      <c r="X106" s="427">
        <v>0</v>
      </c>
      <c r="Y106" s="113">
        <f>IF(GEP!L105="-",,GEP!L105)</f>
        <v>0</v>
      </c>
      <c r="Z106" s="113">
        <f>IF(GEP!M105="-",,GEP!M105)</f>
        <v>0</v>
      </c>
      <c r="AA106" s="113">
        <f>IF(GEP!Q105="-",,GEP!Q105)</f>
        <v>0</v>
      </c>
      <c r="AB106" s="113">
        <f>IF(GEP!R105="-",,GEP!R105)</f>
        <v>0</v>
      </c>
      <c r="AC106" s="113">
        <f>IF(GEP!P105="-",,GEP!P105)</f>
        <v>0</v>
      </c>
      <c r="AD106" s="113">
        <f>IF(GEP!S105="-",,GEP!S105)</f>
        <v>0</v>
      </c>
      <c r="AE106" s="149">
        <f t="shared" si="2"/>
        <v>6.9799999999999995</v>
      </c>
      <c r="AF106" s="149">
        <f t="shared" si="3"/>
        <v>6.9799999999999995</v>
      </c>
      <c r="AG106" s="106" t="str">
        <f>IF(C106='Table 1.1 complete'!A102,AE106-'Table 1.1 complete'!E102,"error")</f>
        <v>error</v>
      </c>
      <c r="AH106" s="113" t="str">
        <f>IF(C106='Table 1.2 complete'!A102,AE106-'Table 1.2 complete'!K102,"error")</f>
        <v>error</v>
      </c>
      <c r="AI106" s="106">
        <f>'Table 1.2 complete'!K102-'Table 1.1 complete'!E102</f>
        <v>-1.9999999999999574E-2</v>
      </c>
    </row>
    <row r="107" spans="3:35" x14ac:dyDescent="0.25">
      <c r="C107" s="172" t="str">
        <f>GEP_add1!P108</f>
        <v xml:space="preserve">Honduras          </v>
      </c>
      <c r="D107" s="203">
        <f>GEP_add1!Q108</f>
        <v>79</v>
      </c>
      <c r="E107" s="172" t="str">
        <f>GEP_add1!R108</f>
        <v>ROW</v>
      </c>
      <c r="F107" s="132">
        <f>GEP_add1!S108</f>
        <v>17</v>
      </c>
      <c r="G107" s="267">
        <f>IF(GEP!F106="-",,GEP!F106)</f>
        <v>0</v>
      </c>
      <c r="H107" s="322">
        <f>IF(GEP!G106="-",,GEP!G106/2)</f>
        <v>1.8149999999999999</v>
      </c>
      <c r="I107" s="322">
        <f>IF(GEP!G106="-",,GEP!G106/2)</f>
        <v>1.8149999999999999</v>
      </c>
      <c r="J107" s="267">
        <f>IF(GEP!H106="-",,GEP!H106)</f>
        <v>0</v>
      </c>
      <c r="K107" s="321">
        <f>IF(GEP!I106="-",,GEP!I106/2)</f>
        <v>0</v>
      </c>
      <c r="L107" s="321">
        <f>IF(GEP!I106="-",,GEP!I106/2)</f>
        <v>0</v>
      </c>
      <c r="M107" s="113">
        <f>IF(GEP!J106="-",,GEP!J106/2)</f>
        <v>0.56000000000000005</v>
      </c>
      <c r="N107" s="113">
        <f>IF(GEP!J106="-",,GEP!J106/2)</f>
        <v>0.56000000000000005</v>
      </c>
      <c r="O107" s="267">
        <f>IF(GEP!K106="-",,GEP!K106)</f>
        <v>0</v>
      </c>
      <c r="P107" s="445">
        <f>IF(GEP!N106="-",,GEP!N106/3)</f>
        <v>0.87666666666666659</v>
      </c>
      <c r="Q107" s="445">
        <f>IF(GEP!N106="-",,GEP!N106/3)</f>
        <v>0.87666666666666659</v>
      </c>
      <c r="R107" s="445">
        <f>IF(GEP!N106="-",,GEP!N106/3)</f>
        <v>0.87666666666666659</v>
      </c>
      <c r="S107" s="449">
        <f>IF(GEP!O106="-",,GEP!O106/3)</f>
        <v>0</v>
      </c>
      <c r="T107" s="449">
        <f>IF(GEP!O106="-",,GEP!O106/3)</f>
        <v>0</v>
      </c>
      <c r="U107" s="449">
        <f>IF(GEP!O106="-",,GEP!O106/3)</f>
        <v>0</v>
      </c>
      <c r="V107" s="267">
        <f>IF(GEP!P106="-",IF(GEP!S106="-",,GEP!S106),IF(GEP!S106="-",GEP!P106,GEP!P106+GEP!S106))</f>
        <v>1.37</v>
      </c>
      <c r="W107" s="427">
        <v>0</v>
      </c>
      <c r="X107" s="427">
        <v>0</v>
      </c>
      <c r="Y107" s="113">
        <f>IF(GEP!L106="-",,GEP!L106)</f>
        <v>0</v>
      </c>
      <c r="Z107" s="113">
        <f>IF(GEP!M106="-",,GEP!M106)</f>
        <v>0</v>
      </c>
      <c r="AA107" s="113">
        <f>IF(GEP!Q106="-",,GEP!Q106)</f>
        <v>0</v>
      </c>
      <c r="AB107" s="113">
        <f>IF(GEP!R106="-",,GEP!R106)</f>
        <v>0</v>
      </c>
      <c r="AC107" s="113">
        <f>IF(GEP!P106="-",,GEP!P106)</f>
        <v>1.37</v>
      </c>
      <c r="AD107" s="113">
        <f>IF(GEP!S106="-",,GEP!S106)</f>
        <v>0</v>
      </c>
      <c r="AE107" s="149">
        <f t="shared" si="2"/>
        <v>8.75</v>
      </c>
      <c r="AF107" s="149">
        <f t="shared" si="3"/>
        <v>8.75</v>
      </c>
      <c r="AG107" s="106" t="str">
        <f>IF(C107='Table 1.1 complete'!A103,AE107-'Table 1.1 complete'!E103,"error")</f>
        <v>error</v>
      </c>
      <c r="AH107" s="113" t="str">
        <f>IF(C107='Table 1.2 complete'!A103,AE107-'Table 1.2 complete'!K103,"error")</f>
        <v>error</v>
      </c>
      <c r="AI107" s="106">
        <f>'Table 1.2 complete'!K103-'Table 1.1 complete'!E103</f>
        <v>-4.0000000000000924E-2</v>
      </c>
    </row>
    <row r="108" spans="3:35" x14ac:dyDescent="0.25">
      <c r="C108" s="172" t="str">
        <f>GEP_add1!P109</f>
        <v>Israel</v>
      </c>
      <c r="D108" s="203">
        <f>GEP_add1!Q109</f>
        <v>144</v>
      </c>
      <c r="E108" s="172" t="str">
        <f>GEP_add1!R109</f>
        <v>ROW</v>
      </c>
      <c r="F108" s="132">
        <f>GEP_add1!S109</f>
        <v>17</v>
      </c>
      <c r="G108" s="267">
        <f>IF(GEP!F107="-",,GEP!F107)</f>
        <v>0</v>
      </c>
      <c r="H108" s="322">
        <f>IF(GEP!G107="-",,GEP!G107/2)</f>
        <v>7.4999999999999997E-2</v>
      </c>
      <c r="I108" s="322">
        <f>IF(GEP!G107="-",,GEP!G107/2)</f>
        <v>7.4999999999999997E-2</v>
      </c>
      <c r="J108" s="267">
        <f>IF(GEP!H107="-",,GEP!H107)</f>
        <v>0</v>
      </c>
      <c r="K108" s="321">
        <f>IF(GEP!I107="-",,GEP!I107/2)</f>
        <v>0</v>
      </c>
      <c r="L108" s="321">
        <f>IF(GEP!I107="-",,GEP!I107/2)</f>
        <v>0</v>
      </c>
      <c r="M108" s="113">
        <f>IF(GEP!J107="-",,GEP!J107/2)</f>
        <v>0</v>
      </c>
      <c r="N108" s="113">
        <f>IF(GEP!J107="-",,GEP!J107/2)</f>
        <v>0</v>
      </c>
      <c r="O108" s="267">
        <f>IF(GEP!K107="-",,GEP!K107)</f>
        <v>0</v>
      </c>
      <c r="P108" s="445">
        <f>IF(GEP!N107="-",,GEP!N107/3)</f>
        <v>0.10666666666666667</v>
      </c>
      <c r="Q108" s="445">
        <f>IF(GEP!N107="-",,GEP!N107/3)</f>
        <v>0.10666666666666667</v>
      </c>
      <c r="R108" s="445">
        <f>IF(GEP!N107="-",,GEP!N107/3)</f>
        <v>0.10666666666666667</v>
      </c>
      <c r="S108" s="449">
        <f>IF(GEP!O107="-",,GEP!O107/3)</f>
        <v>0</v>
      </c>
      <c r="T108" s="449">
        <f>IF(GEP!O107="-",,GEP!O107/3)</f>
        <v>0</v>
      </c>
      <c r="U108" s="449">
        <f>IF(GEP!O107="-",,GEP!O107/3)</f>
        <v>0</v>
      </c>
      <c r="V108" s="267">
        <f>IF(GEP!P107="-",IF(GEP!S107="-",,GEP!S107),IF(GEP!S107="-",GEP!P107,GEP!P107+GEP!S107))</f>
        <v>0</v>
      </c>
      <c r="W108" s="427">
        <v>0</v>
      </c>
      <c r="X108" s="427">
        <v>0</v>
      </c>
      <c r="Y108" s="113">
        <f>IF(GEP!L107="-",,GEP!L107)</f>
        <v>0</v>
      </c>
      <c r="Z108" s="113">
        <f>IF(GEP!M107="-",,GEP!M107)</f>
        <v>0</v>
      </c>
      <c r="AA108" s="113">
        <f>IF(GEP!Q107="-",,GEP!Q107)</f>
        <v>0</v>
      </c>
      <c r="AB108" s="113">
        <f>IF(GEP!R107="-",,GEP!R107)</f>
        <v>0</v>
      </c>
      <c r="AC108" s="113">
        <f>IF(GEP!P107="-",,GEP!P107)</f>
        <v>0</v>
      </c>
      <c r="AD108" s="113">
        <f>IF(GEP!S107="-",,GEP!S107)</f>
        <v>0</v>
      </c>
      <c r="AE108" s="149">
        <f t="shared" si="2"/>
        <v>0.47000000000000003</v>
      </c>
      <c r="AF108" s="149">
        <f t="shared" si="3"/>
        <v>0.47000000000000003</v>
      </c>
      <c r="AG108" s="106" t="str">
        <f>IF(C108='Table 1.1 complete'!A104,AE108-'Table 1.1 complete'!E104,"error")</f>
        <v>error</v>
      </c>
      <c r="AH108" s="113" t="str">
        <f>IF(C108='Table 1.2 complete'!A104,AE108-'Table 1.2 complete'!K104,"error")</f>
        <v>error</v>
      </c>
      <c r="AI108" s="106">
        <f>'Table 1.2 complete'!K104-'Table 1.1 complete'!E104</f>
        <v>-3.0000000000000027E-2</v>
      </c>
    </row>
    <row r="109" spans="3:35" x14ac:dyDescent="0.25">
      <c r="C109" s="172" t="str">
        <f>GEP_add1!P110</f>
        <v>Jamaica</v>
      </c>
      <c r="D109" s="203">
        <f>GEP_add1!Q110</f>
        <v>80</v>
      </c>
      <c r="E109" s="172" t="str">
        <f>GEP_add1!R110</f>
        <v>ROW</v>
      </c>
      <c r="F109" s="132">
        <f>GEP_add1!S110</f>
        <v>17</v>
      </c>
      <c r="G109" s="267">
        <f>IF(GEP!F108="-",,GEP!F108)</f>
        <v>0</v>
      </c>
      <c r="H109" s="322">
        <f>IF(GEP!G108="-",,GEP!G108/2)</f>
        <v>1.105</v>
      </c>
      <c r="I109" s="322">
        <f>IF(GEP!G108="-",,GEP!G108/2)</f>
        <v>1.105</v>
      </c>
      <c r="J109" s="267">
        <f>IF(GEP!H108="-",,GEP!H108)</f>
        <v>0</v>
      </c>
      <c r="K109" s="321">
        <f>IF(GEP!I108="-",,GEP!I108/2)</f>
        <v>0</v>
      </c>
      <c r="L109" s="321">
        <f>IF(GEP!I108="-",,GEP!I108/2)</f>
        <v>0</v>
      </c>
      <c r="M109" s="113">
        <f>IF(GEP!J108="-",,GEP!J108/2)</f>
        <v>0</v>
      </c>
      <c r="N109" s="113">
        <f>IF(GEP!J108="-",,GEP!J108/2)</f>
        <v>0</v>
      </c>
      <c r="O109" s="267">
        <f>IF(GEP!K108="-",,GEP!K108)</f>
        <v>0</v>
      </c>
      <c r="P109" s="445">
        <f>IF(GEP!N108="-",,GEP!N108/3)</f>
        <v>1.31</v>
      </c>
      <c r="Q109" s="445">
        <f>IF(GEP!N108="-",,GEP!N108/3)</f>
        <v>1.31</v>
      </c>
      <c r="R109" s="445">
        <f>IF(GEP!N108="-",,GEP!N108/3)</f>
        <v>1.31</v>
      </c>
      <c r="S109" s="449">
        <f>IF(GEP!O108="-",,GEP!O108/3)</f>
        <v>0</v>
      </c>
      <c r="T109" s="449">
        <f>IF(GEP!O108="-",,GEP!O108/3)</f>
        <v>0</v>
      </c>
      <c r="U109" s="449">
        <f>IF(GEP!O108="-",,GEP!O108/3)</f>
        <v>0</v>
      </c>
      <c r="V109" s="267">
        <f>IF(GEP!P108="-",IF(GEP!S108="-",,GEP!S108),IF(GEP!S108="-",GEP!P108,GEP!P108+GEP!S108))</f>
        <v>0.17</v>
      </c>
      <c r="W109" s="427">
        <v>0</v>
      </c>
      <c r="X109" s="427">
        <v>0</v>
      </c>
      <c r="Y109" s="113">
        <f>IF(GEP!L108="-",,GEP!L108)</f>
        <v>0</v>
      </c>
      <c r="Z109" s="113">
        <f>IF(GEP!M108="-",,GEP!M108)</f>
        <v>0</v>
      </c>
      <c r="AA109" s="113">
        <f>IF(GEP!Q108="-",,GEP!Q108)</f>
        <v>0</v>
      </c>
      <c r="AB109" s="113">
        <f>IF(GEP!R108="-",,GEP!R108)</f>
        <v>0</v>
      </c>
      <c r="AC109" s="113">
        <f>IF(GEP!P108="-",,GEP!P108)</f>
        <v>0.17</v>
      </c>
      <c r="AD109" s="113">
        <f>IF(GEP!S108="-",,GEP!S108)</f>
        <v>0</v>
      </c>
      <c r="AE109" s="149">
        <f t="shared" si="2"/>
        <v>6.3100000000000005</v>
      </c>
      <c r="AF109" s="149">
        <f t="shared" si="3"/>
        <v>6.3100000000000005</v>
      </c>
      <c r="AG109" s="106" t="str">
        <f>IF(C109='Table 1.1 complete'!A105,AE109-'Table 1.1 complete'!E105,"error")</f>
        <v>error</v>
      </c>
      <c r="AH109" s="113" t="str">
        <f>IF(C109='Table 1.2 complete'!A105,AE109-'Table 1.2 complete'!K105,"error")</f>
        <v>error</v>
      </c>
      <c r="AI109" s="106">
        <f>'Table 1.2 complete'!K105-'Table 1.1 complete'!E105</f>
        <v>2.0000000000000462E-2</v>
      </c>
    </row>
    <row r="110" spans="3:35" x14ac:dyDescent="0.25">
      <c r="C110" s="172" t="str">
        <f>GEP_add1!P111</f>
        <v>Kazakhstan</v>
      </c>
      <c r="D110" s="203">
        <f>GEP_add1!Q111</f>
        <v>130</v>
      </c>
      <c r="E110" s="172" t="str">
        <f>GEP_add1!R111</f>
        <v>ROW</v>
      </c>
      <c r="F110" s="132">
        <f>GEP_add1!S111</f>
        <v>17</v>
      </c>
      <c r="G110" s="267">
        <f>IF(GEP!F109="-",,GEP!F109)</f>
        <v>0</v>
      </c>
      <c r="H110" s="322">
        <f>IF(GEP!G109="-",,GEP!G109/2)</f>
        <v>1.4999999999999999E-2</v>
      </c>
      <c r="I110" s="322">
        <f>IF(GEP!G109="-",,GEP!G109/2)</f>
        <v>1.4999999999999999E-2</v>
      </c>
      <c r="J110" s="267">
        <f>IF(GEP!H109="-",,GEP!H109)</f>
        <v>0</v>
      </c>
      <c r="K110" s="321">
        <f>IF(GEP!I109="-",,GEP!I109/2)</f>
        <v>5.0000000000000001E-3</v>
      </c>
      <c r="L110" s="321">
        <f>IF(GEP!I109="-",,GEP!I109/2)</f>
        <v>5.0000000000000001E-3</v>
      </c>
      <c r="M110" s="113">
        <f>IF(GEP!J109="-",,GEP!J109/2)</f>
        <v>18.625</v>
      </c>
      <c r="N110" s="113">
        <f>IF(GEP!J109="-",,GEP!J109/2)</f>
        <v>18.625</v>
      </c>
      <c r="O110" s="267">
        <f>IF(GEP!K109="-",,GEP!K109)</f>
        <v>0.16</v>
      </c>
      <c r="P110" s="445">
        <f>IF(GEP!N109="-",,GEP!N109/3)</f>
        <v>2.27</v>
      </c>
      <c r="Q110" s="445">
        <f>IF(GEP!N109="-",,GEP!N109/3)</f>
        <v>2.27</v>
      </c>
      <c r="R110" s="445">
        <f>IF(GEP!N109="-",,GEP!N109/3)</f>
        <v>2.27</v>
      </c>
      <c r="S110" s="449">
        <f>IF(GEP!O109="-",,GEP!O109/3)</f>
        <v>3.5233333333333334</v>
      </c>
      <c r="T110" s="449">
        <f>IF(GEP!O109="-",,GEP!O109/3)</f>
        <v>3.5233333333333334</v>
      </c>
      <c r="U110" s="449">
        <f>IF(GEP!O109="-",,GEP!O109/3)</f>
        <v>3.5233333333333334</v>
      </c>
      <c r="V110" s="267">
        <f>IF(GEP!P109="-",IF(GEP!S109="-",,GEP!S109),IF(GEP!S109="-",GEP!P109,GEP!P109+GEP!S109))</f>
        <v>0</v>
      </c>
      <c r="W110" s="427">
        <v>0</v>
      </c>
      <c r="X110" s="427">
        <v>0</v>
      </c>
      <c r="Y110" s="113">
        <f>IF(GEP!L109="-",,GEP!L109)</f>
        <v>0</v>
      </c>
      <c r="Z110" s="113">
        <f>IF(GEP!M109="-",,GEP!M109)</f>
        <v>0</v>
      </c>
      <c r="AA110" s="113">
        <f>IF(GEP!Q109="-",,GEP!Q109)</f>
        <v>0</v>
      </c>
      <c r="AB110" s="113">
        <f>IF(GEP!R109="-",,GEP!R109)</f>
        <v>0</v>
      </c>
      <c r="AC110" s="113">
        <f>IF(GEP!P109="-",,GEP!P109)</f>
        <v>0</v>
      </c>
      <c r="AD110" s="113">
        <f>IF(GEP!S109="-",,GEP!S109)</f>
        <v>0</v>
      </c>
      <c r="AE110" s="149">
        <f t="shared" si="2"/>
        <v>54.830000000000005</v>
      </c>
      <c r="AF110" s="149">
        <f t="shared" si="3"/>
        <v>54.830000000000005</v>
      </c>
      <c r="AG110" s="106" t="str">
        <f>IF(C110='Table 1.1 complete'!A106,AE110-'Table 1.1 complete'!E106,"error")</f>
        <v>error</v>
      </c>
      <c r="AH110" s="113" t="str">
        <f>IF(C110='Table 1.2 complete'!A106,AE110-'Table 1.2 complete'!K106,"error")</f>
        <v>error</v>
      </c>
      <c r="AI110" s="106">
        <f>'Table 1.2 complete'!K106-'Table 1.1 complete'!E106</f>
        <v>2.0000000000003126E-2</v>
      </c>
    </row>
    <row r="111" spans="3:35" x14ac:dyDescent="0.25">
      <c r="C111" s="172" t="str">
        <f>GEP_add1!P112</f>
        <v>Kenya</v>
      </c>
      <c r="D111" s="203">
        <f>GEP_add1!Q112</f>
        <v>51</v>
      </c>
      <c r="E111" s="172" t="str">
        <f>GEP_add1!R112</f>
        <v>ROW</v>
      </c>
      <c r="F111" s="132">
        <f>GEP_add1!S112</f>
        <v>17</v>
      </c>
      <c r="G111" s="267">
        <f>IF(GEP!F110="-",,GEP!F110)</f>
        <v>0</v>
      </c>
      <c r="H111" s="322">
        <f>IF(GEP!G110="-",,GEP!G110/2)</f>
        <v>0.08</v>
      </c>
      <c r="I111" s="322">
        <f>IF(GEP!G110="-",,GEP!G110/2)</f>
        <v>0.08</v>
      </c>
      <c r="J111" s="267">
        <f>IF(GEP!H110="-",,GEP!H110)</f>
        <v>0</v>
      </c>
      <c r="K111" s="321">
        <f>IF(GEP!I110="-",,GEP!I110/2)</f>
        <v>2.5000000000000001E-2</v>
      </c>
      <c r="L111" s="321">
        <f>IF(GEP!I110="-",,GEP!I110/2)</f>
        <v>2.5000000000000001E-2</v>
      </c>
      <c r="M111" s="113">
        <f>IF(GEP!J110="-",,GEP!J110/2)</f>
        <v>0</v>
      </c>
      <c r="N111" s="113">
        <f>IF(GEP!J110="-",,GEP!J110/2)</f>
        <v>0</v>
      </c>
      <c r="O111" s="267">
        <f>IF(GEP!K110="-",,GEP!K110)</f>
        <v>0</v>
      </c>
      <c r="P111" s="445">
        <f>IF(GEP!N110="-",,GEP!N110/3)</f>
        <v>2.4866666666666668</v>
      </c>
      <c r="Q111" s="445">
        <f>IF(GEP!N110="-",,GEP!N110/3)</f>
        <v>2.4866666666666668</v>
      </c>
      <c r="R111" s="445">
        <f>IF(GEP!N110="-",,GEP!N110/3)</f>
        <v>2.4866666666666668</v>
      </c>
      <c r="S111" s="449">
        <f>IF(GEP!O110="-",,GEP!O110/3)</f>
        <v>0</v>
      </c>
      <c r="T111" s="449">
        <f>IF(GEP!O110="-",,GEP!O110/3)</f>
        <v>0</v>
      </c>
      <c r="U111" s="449">
        <f>IF(GEP!O110="-",,GEP!O110/3)</f>
        <v>0</v>
      </c>
      <c r="V111" s="267">
        <f>IF(GEP!P110="-",IF(GEP!S110="-",,GEP!S110),IF(GEP!S110="-",GEP!P110,GEP!P110+GEP!S110))</f>
        <v>0.11</v>
      </c>
      <c r="W111" s="427">
        <v>0</v>
      </c>
      <c r="X111" s="427">
        <v>0</v>
      </c>
      <c r="Y111" s="113">
        <f>IF(GEP!L110="-",,GEP!L110)</f>
        <v>0</v>
      </c>
      <c r="Z111" s="113">
        <f>IF(GEP!M110="-",,GEP!M110)</f>
        <v>0</v>
      </c>
      <c r="AA111" s="113">
        <f>IF(GEP!Q110="-",,GEP!Q110)</f>
        <v>0</v>
      </c>
      <c r="AB111" s="113">
        <f>IF(GEP!R110="-",,GEP!R110)</f>
        <v>0</v>
      </c>
      <c r="AC111" s="113">
        <f>IF(GEP!P110="-",,GEP!P110)</f>
        <v>0.11</v>
      </c>
      <c r="AD111" s="113">
        <f>IF(GEP!S110="-",,GEP!S110)</f>
        <v>0</v>
      </c>
      <c r="AE111" s="149">
        <f t="shared" si="2"/>
        <v>7.78</v>
      </c>
      <c r="AF111" s="149">
        <f t="shared" si="3"/>
        <v>7.78</v>
      </c>
      <c r="AG111" s="106" t="str">
        <f>IF(C111='Table 1.1 complete'!A107,AE111-'Table 1.1 complete'!E107,"error")</f>
        <v>error</v>
      </c>
      <c r="AH111" s="113" t="str">
        <f>IF(C111='Table 1.2 complete'!A107,AE111-'Table 1.2 complete'!K107,"error")</f>
        <v>error</v>
      </c>
      <c r="AI111" s="106">
        <f>'Table 1.2 complete'!K107-'Table 1.1 complete'!E107</f>
        <v>-1.9999999999999574E-2</v>
      </c>
    </row>
    <row r="112" spans="3:35" x14ac:dyDescent="0.25">
      <c r="C112" s="172" t="str">
        <f>GEP_add1!P113</f>
        <v>Kyrgyzstan</v>
      </c>
      <c r="D112" s="203">
        <f>GEP_add1!Q113</f>
        <v>131</v>
      </c>
      <c r="E112" s="172" t="str">
        <f>GEP_add1!R113</f>
        <v>ROW</v>
      </c>
      <c r="F112" s="132">
        <f>GEP_add1!S113</f>
        <v>17</v>
      </c>
      <c r="G112" s="267">
        <f>IF(GEP!F111="-",,GEP!F111)</f>
        <v>0</v>
      </c>
      <c r="H112" s="322">
        <f>IF(GEP!G111="-",,GEP!G111/2)</f>
        <v>4.085</v>
      </c>
      <c r="I112" s="322">
        <f>IF(GEP!G111="-",,GEP!G111/2)</f>
        <v>4.085</v>
      </c>
      <c r="J112" s="267">
        <f>IF(GEP!H111="-",,GEP!H111)</f>
        <v>0</v>
      </c>
      <c r="K112" s="321">
        <f>IF(GEP!I111="-",,GEP!I111/2)</f>
        <v>0</v>
      </c>
      <c r="L112" s="321">
        <f>IF(GEP!I111="-",,GEP!I111/2)</f>
        <v>0</v>
      </c>
      <c r="M112" s="113">
        <f>IF(GEP!J111="-",,GEP!J111/2)</f>
        <v>26.94</v>
      </c>
      <c r="N112" s="113">
        <f>IF(GEP!J111="-",,GEP!J111/2)</f>
        <v>26.94</v>
      </c>
      <c r="O112" s="267">
        <f>IF(GEP!K111="-",,GEP!K111)</f>
        <v>0</v>
      </c>
      <c r="P112" s="445">
        <f>IF(GEP!N111="-",,GEP!N111/3)</f>
        <v>2.1233333333333335</v>
      </c>
      <c r="Q112" s="445">
        <f>IF(GEP!N111="-",,GEP!N111/3)</f>
        <v>2.1233333333333335</v>
      </c>
      <c r="R112" s="445">
        <f>IF(GEP!N111="-",,GEP!N111/3)</f>
        <v>2.1233333333333335</v>
      </c>
      <c r="S112" s="449">
        <f>IF(GEP!O111="-",,GEP!O111/3)</f>
        <v>2.7266666666666666</v>
      </c>
      <c r="T112" s="449">
        <f>IF(GEP!O111="-",,GEP!O111/3)</f>
        <v>2.7266666666666666</v>
      </c>
      <c r="U112" s="449">
        <f>IF(GEP!O111="-",,GEP!O111/3)</f>
        <v>2.7266666666666666</v>
      </c>
      <c r="V112" s="267">
        <f>IF(GEP!P111="-",IF(GEP!S111="-",,GEP!S111),IF(GEP!S111="-",GEP!P111,GEP!P111+GEP!S111))</f>
        <v>0</v>
      </c>
      <c r="W112" s="427">
        <v>0</v>
      </c>
      <c r="X112" s="427">
        <v>0</v>
      </c>
      <c r="Y112" s="113">
        <f>IF(GEP!L111="-",,GEP!L111)</f>
        <v>0</v>
      </c>
      <c r="Z112" s="113">
        <f>IF(GEP!M111="-",,GEP!M111)</f>
        <v>0</v>
      </c>
      <c r="AA112" s="113">
        <f>IF(GEP!Q111="-",,GEP!Q111)</f>
        <v>0</v>
      </c>
      <c r="AB112" s="113">
        <f>IF(GEP!R111="-",,GEP!R111)</f>
        <v>0</v>
      </c>
      <c r="AC112" s="113">
        <f>IF(GEP!P111="-",,GEP!P111)</f>
        <v>0</v>
      </c>
      <c r="AD112" s="113">
        <f>IF(GEP!S111="-",,GEP!S111)</f>
        <v>0</v>
      </c>
      <c r="AE112" s="149">
        <f t="shared" si="2"/>
        <v>76.599999999999994</v>
      </c>
      <c r="AF112" s="149">
        <f t="shared" si="3"/>
        <v>76.599999999999994</v>
      </c>
      <c r="AG112" s="106" t="str">
        <f>IF(C112='Table 1.1 complete'!A108,AE112-'Table 1.1 complete'!E108,"error")</f>
        <v>error</v>
      </c>
      <c r="AH112" s="113" t="str">
        <f>IF(C112='Table 1.2 complete'!A108,AE112-'Table 1.2 complete'!K108,"error")</f>
        <v>error</v>
      </c>
      <c r="AI112" s="106">
        <f>'Table 1.2 complete'!K108-'Table 1.1 complete'!E108</f>
        <v>0</v>
      </c>
    </row>
    <row r="113" spans="3:35" x14ac:dyDescent="0.25">
      <c r="C113" s="172" t="str">
        <f>GEP_add1!P114</f>
        <v>Malaysia</v>
      </c>
      <c r="D113" s="203">
        <f>GEP_add1!Q114</f>
        <v>97</v>
      </c>
      <c r="E113" s="172" t="str">
        <f>GEP_add1!R114</f>
        <v>ROW</v>
      </c>
      <c r="F113" s="132">
        <f>GEP_add1!S114</f>
        <v>17</v>
      </c>
      <c r="G113" s="267">
        <f>IF(GEP!F112="-",,GEP!F112)</f>
        <v>0</v>
      </c>
      <c r="H113" s="322">
        <f>IF(GEP!G112="-",,GEP!G112/2)</f>
        <v>1.74</v>
      </c>
      <c r="I113" s="322">
        <f>IF(GEP!G112="-",,GEP!G112/2)</f>
        <v>1.74</v>
      </c>
      <c r="J113" s="267">
        <f>IF(GEP!H112="-",,GEP!H112)</f>
        <v>1.02</v>
      </c>
      <c r="K113" s="321">
        <f>IF(GEP!I112="-",,GEP!I112/2)</f>
        <v>0</v>
      </c>
      <c r="L113" s="321">
        <f>IF(GEP!I112="-",,GEP!I112/2)</f>
        <v>0</v>
      </c>
      <c r="M113" s="113">
        <f>IF(GEP!J112="-",,GEP!J112/2)</f>
        <v>0</v>
      </c>
      <c r="N113" s="113">
        <f>IF(GEP!J112="-",,GEP!J112/2)</f>
        <v>0</v>
      </c>
      <c r="O113" s="267">
        <f>IF(GEP!K112="-",,GEP!K112)</f>
        <v>0</v>
      </c>
      <c r="P113" s="445">
        <f>IF(GEP!N112="-",,GEP!N112/3)</f>
        <v>0.65</v>
      </c>
      <c r="Q113" s="445">
        <f>IF(GEP!N112="-",,GEP!N112/3)</f>
        <v>0.65</v>
      </c>
      <c r="R113" s="445">
        <f>IF(GEP!N112="-",,GEP!N112/3)</f>
        <v>0.65</v>
      </c>
      <c r="S113" s="449">
        <f>IF(GEP!O112="-",,GEP!O112/3)</f>
        <v>0</v>
      </c>
      <c r="T113" s="449">
        <f>IF(GEP!O112="-",,GEP!O112/3)</f>
        <v>0</v>
      </c>
      <c r="U113" s="449">
        <f>IF(GEP!O112="-",,GEP!O112/3)</f>
        <v>0</v>
      </c>
      <c r="V113" s="267">
        <f>IF(GEP!P112="-",IF(GEP!S112="-",,GEP!S112),IF(GEP!S112="-",GEP!P112,GEP!P112+GEP!S112))</f>
        <v>0.32</v>
      </c>
      <c r="W113" s="427">
        <v>0</v>
      </c>
      <c r="X113" s="427">
        <v>0</v>
      </c>
      <c r="Y113" s="113">
        <f>IF(GEP!L112="-",,GEP!L112)</f>
        <v>0</v>
      </c>
      <c r="Z113" s="113">
        <f>IF(GEP!M112="-",,GEP!M112)</f>
        <v>0</v>
      </c>
      <c r="AA113" s="113">
        <f>IF(GEP!Q112="-",,GEP!Q112)</f>
        <v>0</v>
      </c>
      <c r="AB113" s="113">
        <f>IF(GEP!R112="-",,GEP!R112)</f>
        <v>0</v>
      </c>
      <c r="AC113" s="113">
        <f>IF(GEP!P112="-",,GEP!P112)</f>
        <v>0.32</v>
      </c>
      <c r="AD113" s="113">
        <f>IF(GEP!S112="-",,GEP!S112)</f>
        <v>0</v>
      </c>
      <c r="AE113" s="149">
        <f t="shared" si="2"/>
        <v>6.7700000000000014</v>
      </c>
      <c r="AF113" s="149">
        <f t="shared" si="3"/>
        <v>6.7700000000000014</v>
      </c>
      <c r="AG113" s="106" t="str">
        <f>IF(C113='Table 1.1 complete'!A109,AE113-'Table 1.1 complete'!E109,"error")</f>
        <v>error</v>
      </c>
      <c r="AH113" s="113" t="str">
        <f>IF(C113='Table 1.2 complete'!A109,AE113-'Table 1.2 complete'!K109,"error")</f>
        <v>error</v>
      </c>
      <c r="AI113" s="106">
        <f>'Table 1.2 complete'!K109-'Table 1.1 complete'!E109</f>
        <v>-3.0000000000000249E-2</v>
      </c>
    </row>
    <row r="114" spans="3:35" x14ac:dyDescent="0.25">
      <c r="C114" s="172" t="str">
        <f>GEP_add1!P115</f>
        <v>Mongolia</v>
      </c>
      <c r="D114" s="203">
        <f>GEP_add1!Q115</f>
        <v>98</v>
      </c>
      <c r="E114" s="172" t="str">
        <f>GEP_add1!R115</f>
        <v>ROW</v>
      </c>
      <c r="F114" s="132">
        <f>GEP_add1!S115</f>
        <v>17</v>
      </c>
      <c r="G114" s="267">
        <f>IF(GEP!F113="-",,GEP!F113)</f>
        <v>0</v>
      </c>
      <c r="H114" s="322">
        <f>IF(GEP!G113="-",,GEP!G113/2)</f>
        <v>6.9749999999999996</v>
      </c>
      <c r="I114" s="322">
        <f>IF(GEP!G113="-",,GEP!G113/2)</f>
        <v>6.9749999999999996</v>
      </c>
      <c r="J114" s="267">
        <f>IF(GEP!H113="-",,GEP!H113)</f>
        <v>0</v>
      </c>
      <c r="K114" s="321">
        <f>IF(GEP!I113="-",,GEP!I113/2)</f>
        <v>0</v>
      </c>
      <c r="L114" s="321">
        <f>IF(GEP!I113="-",,GEP!I113/2)</f>
        <v>0</v>
      </c>
      <c r="M114" s="113">
        <f>IF(GEP!J113="-",,GEP!J113/2)</f>
        <v>0.27</v>
      </c>
      <c r="N114" s="113">
        <f>IF(GEP!J113="-",,GEP!J113/2)</f>
        <v>0.27</v>
      </c>
      <c r="O114" s="267">
        <f>IF(GEP!K113="-",,GEP!K113)</f>
        <v>0</v>
      </c>
      <c r="P114" s="445">
        <f>IF(GEP!N113="-",,GEP!N113/3)</f>
        <v>0</v>
      </c>
      <c r="Q114" s="445">
        <f>IF(GEP!N113="-",,GEP!N113/3)</f>
        <v>0</v>
      </c>
      <c r="R114" s="445">
        <f>IF(GEP!N113="-",,GEP!N113/3)</f>
        <v>0</v>
      </c>
      <c r="S114" s="449">
        <f>IF(GEP!O113="-",,GEP!O113/3)</f>
        <v>0.58333333333333337</v>
      </c>
      <c r="T114" s="449">
        <f>IF(GEP!O113="-",,GEP!O113/3)</f>
        <v>0.58333333333333337</v>
      </c>
      <c r="U114" s="449">
        <f>IF(GEP!O113="-",,GEP!O113/3)</f>
        <v>0.58333333333333337</v>
      </c>
      <c r="V114" s="267">
        <f>IF(GEP!P113="-",IF(GEP!S113="-",,GEP!S113),IF(GEP!S113="-",GEP!P113,GEP!P113+GEP!S113))</f>
        <v>0</v>
      </c>
      <c r="W114" s="427">
        <v>0</v>
      </c>
      <c r="X114" s="427">
        <v>0</v>
      </c>
      <c r="Y114" s="113">
        <f>IF(GEP!L113="-",,GEP!L113)</f>
        <v>0</v>
      </c>
      <c r="Z114" s="113">
        <f>IF(GEP!M113="-",,GEP!M113)</f>
        <v>0</v>
      </c>
      <c r="AA114" s="113">
        <f>IF(GEP!Q113="-",,GEP!Q113)</f>
        <v>0</v>
      </c>
      <c r="AB114" s="113">
        <f>IF(GEP!R113="-",,GEP!R113)</f>
        <v>0</v>
      </c>
      <c r="AC114" s="113">
        <f>IF(GEP!P113="-",,GEP!P113)</f>
        <v>0</v>
      </c>
      <c r="AD114" s="113">
        <f>IF(GEP!S113="-",,GEP!S113)</f>
        <v>0</v>
      </c>
      <c r="AE114" s="149">
        <f t="shared" si="2"/>
        <v>16.239999999999998</v>
      </c>
      <c r="AF114" s="149">
        <f t="shared" si="3"/>
        <v>16.239999999999998</v>
      </c>
      <c r="AG114" s="106" t="str">
        <f>IF(C114='Table 1.1 complete'!A110,AE114-'Table 1.1 complete'!E110,"error")</f>
        <v>error</v>
      </c>
      <c r="AH114" s="113" t="str">
        <f>IF(C114='Table 1.2 complete'!A110,AE114-'Table 1.2 complete'!K110,"error")</f>
        <v>error</v>
      </c>
      <c r="AI114" s="106">
        <f>'Table 1.2 complete'!K110-'Table 1.1 complete'!E110</f>
        <v>3.9999999999999147E-2</v>
      </c>
    </row>
    <row r="115" spans="3:35" x14ac:dyDescent="0.25">
      <c r="C115" s="172" t="str">
        <f>GEP_add1!P116</f>
        <v>Mozambique</v>
      </c>
      <c r="D115" s="203">
        <f>GEP_add1!Q116</f>
        <v>54</v>
      </c>
      <c r="E115" s="172" t="str">
        <f>GEP_add1!R116</f>
        <v>ROW</v>
      </c>
      <c r="F115" s="132">
        <f>GEP_add1!S116</f>
        <v>17</v>
      </c>
      <c r="G115" s="267">
        <f>IF(GEP!F114="-",,GEP!F114)</f>
        <v>0</v>
      </c>
      <c r="H115" s="322">
        <f>IF(GEP!G114="-",,GEP!G114/2)</f>
        <v>3.2450000000000001</v>
      </c>
      <c r="I115" s="322">
        <f>IF(GEP!G114="-",,GEP!G114/2)</f>
        <v>3.2450000000000001</v>
      </c>
      <c r="J115" s="267">
        <f>IF(GEP!H114="-",,GEP!H114)</f>
        <v>0</v>
      </c>
      <c r="K115" s="321">
        <f>IF(GEP!I114="-",,GEP!I114/2)</f>
        <v>0</v>
      </c>
      <c r="L115" s="321">
        <f>IF(GEP!I114="-",,GEP!I114/2)</f>
        <v>0</v>
      </c>
      <c r="M115" s="113">
        <f>IF(GEP!J114="-",,GEP!J114/2)</f>
        <v>14.95</v>
      </c>
      <c r="N115" s="113">
        <f>IF(GEP!J114="-",,GEP!J114/2)</f>
        <v>14.95</v>
      </c>
      <c r="O115" s="267">
        <f>IF(GEP!K114="-",,GEP!K114)</f>
        <v>0</v>
      </c>
      <c r="P115" s="445">
        <f>IF(GEP!N114="-",,GEP!N114/3)</f>
        <v>0.69</v>
      </c>
      <c r="Q115" s="445">
        <f>IF(GEP!N114="-",,GEP!N114/3)</f>
        <v>0.69</v>
      </c>
      <c r="R115" s="445">
        <f>IF(GEP!N114="-",,GEP!N114/3)</f>
        <v>0.69</v>
      </c>
      <c r="S115" s="449">
        <f>IF(GEP!O114="-",,GEP!O114/3)</f>
        <v>20.953333333333333</v>
      </c>
      <c r="T115" s="449">
        <f>IF(GEP!O114="-",,GEP!O114/3)</f>
        <v>20.953333333333333</v>
      </c>
      <c r="U115" s="449">
        <f>IF(GEP!O114="-",,GEP!O114/3)</f>
        <v>20.953333333333333</v>
      </c>
      <c r="V115" s="267">
        <f>IF(GEP!P114="-",IF(GEP!S114="-",,GEP!S114),IF(GEP!S114="-",GEP!P114,GEP!P114+GEP!S114))</f>
        <v>0</v>
      </c>
      <c r="W115" s="427">
        <v>0</v>
      </c>
      <c r="X115" s="427">
        <v>0</v>
      </c>
      <c r="Y115" s="113">
        <f>IF(GEP!L114="-",,GEP!L114)</f>
        <v>0</v>
      </c>
      <c r="Z115" s="113">
        <f>IF(GEP!M114="-",,GEP!M114)</f>
        <v>0</v>
      </c>
      <c r="AA115" s="113">
        <f>IF(GEP!Q114="-",,GEP!Q114)</f>
        <v>0</v>
      </c>
      <c r="AB115" s="113">
        <f>IF(GEP!R114="-",,GEP!R114)</f>
        <v>0</v>
      </c>
      <c r="AC115" s="113">
        <f>IF(GEP!P114="-",,GEP!P114)</f>
        <v>0</v>
      </c>
      <c r="AD115" s="113">
        <f>IF(GEP!S114="-",,GEP!S114)</f>
        <v>0</v>
      </c>
      <c r="AE115" s="149">
        <f t="shared" si="2"/>
        <v>101.32</v>
      </c>
      <c r="AF115" s="149">
        <f t="shared" si="3"/>
        <v>101.32</v>
      </c>
      <c r="AG115" s="106" t="str">
        <f>IF(C115='Table 1.1 complete'!A111,AE115-'Table 1.1 complete'!E111,"error")</f>
        <v>error</v>
      </c>
      <c r="AH115" s="113" t="str">
        <f>IF(C115='Table 1.2 complete'!A111,AE115-'Table 1.2 complete'!K111,"error")</f>
        <v>error</v>
      </c>
      <c r="AI115" s="106">
        <f>'Table 1.2 complete'!K111-'Table 1.1 complete'!E111</f>
        <v>3.0000000000001137E-2</v>
      </c>
    </row>
    <row r="116" spans="3:35" x14ac:dyDescent="0.25">
      <c r="C116" s="172" t="str">
        <f>GEP_add1!P117</f>
        <v>Myanmar</v>
      </c>
      <c r="D116" s="203">
        <f>GEP_add1!Q117</f>
        <v>99</v>
      </c>
      <c r="E116" s="172" t="str">
        <f>GEP_add1!R117</f>
        <v>ROW</v>
      </c>
      <c r="F116" s="132">
        <f>GEP_add1!S117</f>
        <v>17</v>
      </c>
      <c r="G116" s="267">
        <f>IF(GEP!F115="-",,GEP!F115)</f>
        <v>0</v>
      </c>
      <c r="H116" s="322">
        <f>IF(GEP!G115="-",,GEP!G115/2)</f>
        <v>0</v>
      </c>
      <c r="I116" s="322">
        <f>IF(GEP!G115="-",,GEP!G115/2)</f>
        <v>0</v>
      </c>
      <c r="J116" s="267">
        <f>IF(GEP!H115="-",,GEP!H115)</f>
        <v>0</v>
      </c>
      <c r="K116" s="321">
        <f>IF(GEP!I115="-",,GEP!I115/2)</f>
        <v>0</v>
      </c>
      <c r="L116" s="321">
        <f>IF(GEP!I115="-",,GEP!I115/2)</f>
        <v>0</v>
      </c>
      <c r="M116" s="113">
        <f>IF(GEP!J115="-",,GEP!J115/2)</f>
        <v>0</v>
      </c>
      <c r="N116" s="113">
        <f>IF(GEP!J115="-",,GEP!J115/2)</f>
        <v>0</v>
      </c>
      <c r="O116" s="267">
        <f>IF(GEP!K115="-",,GEP!K115)</f>
        <v>3.68</v>
      </c>
      <c r="P116" s="445">
        <f>IF(GEP!N115="-",,GEP!N115/3)</f>
        <v>4.9999999999999996E-2</v>
      </c>
      <c r="Q116" s="445">
        <f>IF(GEP!N115="-",,GEP!N115/3)</f>
        <v>4.9999999999999996E-2</v>
      </c>
      <c r="R116" s="445">
        <f>IF(GEP!N115="-",,GEP!N115/3)</f>
        <v>4.9999999999999996E-2</v>
      </c>
      <c r="S116" s="449">
        <f>IF(GEP!O115="-",,GEP!O115/3)</f>
        <v>0</v>
      </c>
      <c r="T116" s="449">
        <f>IF(GEP!O115="-",,GEP!O115/3)</f>
        <v>0</v>
      </c>
      <c r="U116" s="449">
        <f>IF(GEP!O115="-",,GEP!O115/3)</f>
        <v>0</v>
      </c>
      <c r="V116" s="267">
        <f>IF(GEP!P115="-",IF(GEP!S115="-",,GEP!S115),IF(GEP!S115="-",GEP!P115,GEP!P115+GEP!S115))</f>
        <v>0</v>
      </c>
      <c r="W116" s="427">
        <v>0</v>
      </c>
      <c r="X116" s="427">
        <v>0</v>
      </c>
      <c r="Y116" s="113">
        <f>IF(GEP!L115="-",,GEP!L115)</f>
        <v>0</v>
      </c>
      <c r="Z116" s="113">
        <f>IF(GEP!M115="-",,GEP!M115)</f>
        <v>0</v>
      </c>
      <c r="AA116" s="113">
        <f>IF(GEP!Q115="-",,GEP!Q115)</f>
        <v>0</v>
      </c>
      <c r="AB116" s="113">
        <f>IF(GEP!R115="-",,GEP!R115)</f>
        <v>0</v>
      </c>
      <c r="AC116" s="113">
        <f>IF(GEP!P115="-",,GEP!P115)</f>
        <v>0</v>
      </c>
      <c r="AD116" s="113">
        <f>IF(GEP!S115="-",,GEP!S115)</f>
        <v>0</v>
      </c>
      <c r="AE116" s="149">
        <f t="shared" si="2"/>
        <v>3.8299999999999996</v>
      </c>
      <c r="AF116" s="149">
        <f t="shared" si="3"/>
        <v>3.8299999999999996</v>
      </c>
      <c r="AG116" s="106" t="str">
        <f>IF(C116='Table 1.1 complete'!A112,AE116-'Table 1.1 complete'!E112,"error")</f>
        <v>error</v>
      </c>
      <c r="AH116" s="113" t="str">
        <f>IF(C116='Table 1.2 complete'!A112,AE116-'Table 1.2 complete'!K112,"error")</f>
        <v>error</v>
      </c>
      <c r="AI116" s="106">
        <f>'Table 1.2 complete'!K112-'Table 1.1 complete'!E112</f>
        <v>3.0000000000000249E-2</v>
      </c>
    </row>
    <row r="117" spans="3:35" x14ac:dyDescent="0.25">
      <c r="C117" s="172" t="str">
        <f>GEP_add1!P118</f>
        <v>N. Antilles</v>
      </c>
      <c r="D117" s="203">
        <f>GEP_add1!Q118</f>
        <v>81</v>
      </c>
      <c r="E117" s="172" t="str">
        <f>GEP_add1!R118</f>
        <v>ROW</v>
      </c>
      <c r="F117" s="132">
        <f>GEP_add1!S118</f>
        <v>17</v>
      </c>
      <c r="G117" s="267">
        <f>IF(GEP!F116="-",,GEP!F116)</f>
        <v>0</v>
      </c>
      <c r="H117" s="322">
        <f>IF(GEP!G116="-",,GEP!G116/2)</f>
        <v>8.0299999999999994</v>
      </c>
      <c r="I117" s="322">
        <f>IF(GEP!G116="-",,GEP!G116/2)</f>
        <v>8.0299999999999994</v>
      </c>
      <c r="J117" s="267">
        <f>IF(GEP!H116="-",,GEP!H116)</f>
        <v>0</v>
      </c>
      <c r="K117" s="321">
        <f>IF(GEP!I116="-",,GEP!I116/2)</f>
        <v>0</v>
      </c>
      <c r="L117" s="321">
        <f>IF(GEP!I116="-",,GEP!I116/2)</f>
        <v>0</v>
      </c>
      <c r="M117" s="113">
        <f>IF(GEP!J116="-",,GEP!J116/2)</f>
        <v>0</v>
      </c>
      <c r="N117" s="113">
        <f>IF(GEP!J116="-",,GEP!J116/2)</f>
        <v>0</v>
      </c>
      <c r="O117" s="267">
        <f>IF(GEP!K116="-",,GEP!K116)</f>
        <v>0</v>
      </c>
      <c r="P117" s="445">
        <f>IF(GEP!N116="-",,GEP!N116/3)</f>
        <v>0</v>
      </c>
      <c r="Q117" s="445">
        <f>IF(GEP!N116="-",,GEP!N116/3)</f>
        <v>0</v>
      </c>
      <c r="R117" s="445">
        <f>IF(GEP!N116="-",,GEP!N116/3)</f>
        <v>0</v>
      </c>
      <c r="S117" s="449">
        <f>IF(GEP!O116="-",,GEP!O116/3)</f>
        <v>3.3333333333333335E-3</v>
      </c>
      <c r="T117" s="449">
        <f>IF(GEP!O116="-",,GEP!O116/3)</f>
        <v>3.3333333333333335E-3</v>
      </c>
      <c r="U117" s="449">
        <f>IF(GEP!O116="-",,GEP!O116/3)</f>
        <v>3.3333333333333335E-3</v>
      </c>
      <c r="V117" s="267">
        <f>IF(GEP!P116="-",IF(GEP!S116="-",,GEP!S116),IF(GEP!S116="-",GEP!P116,GEP!P116+GEP!S116))</f>
        <v>0</v>
      </c>
      <c r="W117" s="427">
        <v>0</v>
      </c>
      <c r="X117" s="427">
        <v>0</v>
      </c>
      <c r="Y117" s="113">
        <f>IF(GEP!L116="-",,GEP!L116)</f>
        <v>0</v>
      </c>
      <c r="Z117" s="113">
        <f>IF(GEP!M116="-",,GEP!M116)</f>
        <v>0</v>
      </c>
      <c r="AA117" s="113">
        <f>IF(GEP!Q116="-",,GEP!Q116)</f>
        <v>0</v>
      </c>
      <c r="AB117" s="113">
        <f>IF(GEP!R116="-",,GEP!R116)</f>
        <v>0</v>
      </c>
      <c r="AC117" s="113">
        <f>IF(GEP!P116="-",,GEP!P116)</f>
        <v>0</v>
      </c>
      <c r="AD117" s="113">
        <f>IF(GEP!S116="-",,GEP!S116)</f>
        <v>0</v>
      </c>
      <c r="AE117" s="149">
        <f t="shared" si="2"/>
        <v>16.07</v>
      </c>
      <c r="AF117" s="149">
        <f t="shared" si="3"/>
        <v>16.07</v>
      </c>
      <c r="AG117" s="106" t="str">
        <f>IF(C117='Table 1.1 complete'!A113,AE117-'Table 1.1 complete'!E113,"error")</f>
        <v>error</v>
      </c>
      <c r="AH117" s="113" t="str">
        <f>IF(C117='Table 1.2 complete'!A113,AE117-'Table 1.2 complete'!K113,"error")</f>
        <v>error</v>
      </c>
      <c r="AI117" s="106">
        <f>'Table 1.2 complete'!K113-'Table 1.1 complete'!E113</f>
        <v>-2.0000000000003126E-2</v>
      </c>
    </row>
    <row r="118" spans="3:35" x14ac:dyDescent="0.25">
      <c r="C118" s="172" t="str">
        <f>GEP_add1!P119</f>
        <v>Namibia</v>
      </c>
      <c r="D118" s="203">
        <f>GEP_add1!Q119</f>
        <v>55</v>
      </c>
      <c r="E118" s="172" t="str">
        <f>GEP_add1!R119</f>
        <v>ROW</v>
      </c>
      <c r="F118" s="132">
        <f>GEP_add1!S119</f>
        <v>17</v>
      </c>
      <c r="G118" s="267">
        <f>IF(GEP!F117="-",,GEP!F117)</f>
        <v>0</v>
      </c>
      <c r="H118" s="322">
        <f>IF(GEP!G117="-",,GEP!G117/2)</f>
        <v>1.7549999999999999</v>
      </c>
      <c r="I118" s="322">
        <f>IF(GEP!G117="-",,GEP!G117/2)</f>
        <v>1.7549999999999999</v>
      </c>
      <c r="J118" s="267">
        <f>IF(GEP!H117="-",,GEP!H117)</f>
        <v>0</v>
      </c>
      <c r="K118" s="321">
        <f>IF(GEP!I117="-",,GEP!I117/2)</f>
        <v>0</v>
      </c>
      <c r="L118" s="321">
        <f>IF(GEP!I117="-",,GEP!I117/2)</f>
        <v>0</v>
      </c>
      <c r="M118" s="113">
        <f>IF(GEP!J117="-",,GEP!J117/2)</f>
        <v>0</v>
      </c>
      <c r="N118" s="113">
        <f>IF(GEP!J117="-",,GEP!J117/2)</f>
        <v>0</v>
      </c>
      <c r="O118" s="267">
        <f>IF(GEP!K117="-",,GEP!K117)</f>
        <v>0</v>
      </c>
      <c r="P118" s="445">
        <f>IF(GEP!N117="-",,GEP!N117/3)</f>
        <v>9.6666666666666665E-2</v>
      </c>
      <c r="Q118" s="445">
        <f>IF(GEP!N117="-",,GEP!N117/3)</f>
        <v>9.6666666666666665E-2</v>
      </c>
      <c r="R118" s="445">
        <f>IF(GEP!N117="-",,GEP!N117/3)</f>
        <v>9.6666666666666665E-2</v>
      </c>
      <c r="S118" s="449">
        <f>IF(GEP!O117="-",,GEP!O117/3)</f>
        <v>0.9</v>
      </c>
      <c r="T118" s="449">
        <f>IF(GEP!O117="-",,GEP!O117/3)</f>
        <v>0.9</v>
      </c>
      <c r="U118" s="449">
        <f>IF(GEP!O117="-",,GEP!O117/3)</f>
        <v>0.9</v>
      </c>
      <c r="V118" s="267">
        <f>IF(GEP!P117="-",IF(GEP!S117="-",,GEP!S117),IF(GEP!S117="-",GEP!P117,GEP!P117+GEP!S117))</f>
        <v>0</v>
      </c>
      <c r="W118" s="427">
        <v>0</v>
      </c>
      <c r="X118" s="427">
        <v>0</v>
      </c>
      <c r="Y118" s="113">
        <f>IF(GEP!L117="-",,GEP!L117)</f>
        <v>0</v>
      </c>
      <c r="Z118" s="113">
        <f>IF(GEP!M117="-",,GEP!M117)</f>
        <v>0</v>
      </c>
      <c r="AA118" s="113">
        <f>IF(GEP!Q117="-",,GEP!Q117)</f>
        <v>0</v>
      </c>
      <c r="AB118" s="113">
        <f>IF(GEP!R117="-",,GEP!R117)</f>
        <v>0</v>
      </c>
      <c r="AC118" s="113">
        <f>IF(GEP!P117="-",,GEP!P117)</f>
        <v>0</v>
      </c>
      <c r="AD118" s="113">
        <f>IF(GEP!S117="-",,GEP!S117)</f>
        <v>0</v>
      </c>
      <c r="AE118" s="149">
        <f t="shared" si="2"/>
        <v>6.5000000000000009</v>
      </c>
      <c r="AF118" s="149">
        <f t="shared" si="3"/>
        <v>6.5000000000000009</v>
      </c>
      <c r="AG118" s="106" t="str">
        <f>IF(C118='Table 1.1 complete'!A114,AE118-'Table 1.1 complete'!E114,"error")</f>
        <v>error</v>
      </c>
      <c r="AH118" s="113" t="str">
        <f>IF(C118='Table 1.2 complete'!A114,AE118-'Table 1.2 complete'!K114,"error")</f>
        <v>error</v>
      </c>
      <c r="AI118" s="106">
        <f>'Table 1.2 complete'!K114-'Table 1.1 complete'!E114</f>
        <v>0</v>
      </c>
    </row>
    <row r="119" spans="3:35" x14ac:dyDescent="0.25">
      <c r="C119" s="172" t="str">
        <f>GEP_add1!P120</f>
        <v>Nepal</v>
      </c>
      <c r="D119" s="203">
        <f>GEP_add1!Q120</f>
        <v>100</v>
      </c>
      <c r="E119" s="172" t="str">
        <f>GEP_add1!R120</f>
        <v>ROW</v>
      </c>
      <c r="F119" s="132">
        <f>GEP_add1!S120</f>
        <v>17</v>
      </c>
      <c r="G119" s="267">
        <f>IF(GEP!F118="-",,GEP!F118)</f>
        <v>0</v>
      </c>
      <c r="H119" s="322">
        <f>IF(GEP!G118="-",,GEP!G118/2)</f>
        <v>0</v>
      </c>
      <c r="I119" s="322">
        <f>IF(GEP!G118="-",,GEP!G118/2)</f>
        <v>0</v>
      </c>
      <c r="J119" s="267">
        <f>IF(GEP!H118="-",,GEP!H118)</f>
        <v>0</v>
      </c>
      <c r="K119" s="321">
        <f>IF(GEP!I118="-",,GEP!I118/2)</f>
        <v>0</v>
      </c>
      <c r="L119" s="321">
        <f>IF(GEP!I118="-",,GEP!I118/2)</f>
        <v>0</v>
      </c>
      <c r="M119" s="113">
        <f>IF(GEP!J118="-",,GEP!J118/2)</f>
        <v>0</v>
      </c>
      <c r="N119" s="113">
        <f>IF(GEP!J118="-",,GEP!J118/2)</f>
        <v>0</v>
      </c>
      <c r="O119" s="267">
        <f>IF(GEP!K118="-",,GEP!K118)</f>
        <v>0</v>
      </c>
      <c r="P119" s="445">
        <f>IF(GEP!N118="-",,GEP!N118/3)</f>
        <v>0.43</v>
      </c>
      <c r="Q119" s="445">
        <f>IF(GEP!N118="-",,GEP!N118/3)</f>
        <v>0.43</v>
      </c>
      <c r="R119" s="445">
        <f>IF(GEP!N118="-",,GEP!N118/3)</f>
        <v>0.43</v>
      </c>
      <c r="S119" s="449">
        <f>IF(GEP!O118="-",,GEP!O118/3)</f>
        <v>0</v>
      </c>
      <c r="T119" s="449">
        <f>IF(GEP!O118="-",,GEP!O118/3)</f>
        <v>0</v>
      </c>
      <c r="U119" s="449">
        <f>IF(GEP!O118="-",,GEP!O118/3)</f>
        <v>0</v>
      </c>
      <c r="V119" s="267">
        <f>IF(GEP!P118="-",IF(GEP!S118="-",,GEP!S118),IF(GEP!S118="-",GEP!P118,GEP!P118+GEP!S118))</f>
        <v>0</v>
      </c>
      <c r="W119" s="427">
        <v>0</v>
      </c>
      <c r="X119" s="427">
        <v>0</v>
      </c>
      <c r="Y119" s="113">
        <f>IF(GEP!L118="-",,GEP!L118)</f>
        <v>0</v>
      </c>
      <c r="Z119" s="113">
        <f>IF(GEP!M118="-",,GEP!M118)</f>
        <v>0</v>
      </c>
      <c r="AA119" s="113">
        <f>IF(GEP!Q118="-",,GEP!Q118)</f>
        <v>0</v>
      </c>
      <c r="AB119" s="113">
        <f>IF(GEP!R118="-",,GEP!R118)</f>
        <v>0</v>
      </c>
      <c r="AC119" s="113">
        <f>IF(GEP!P118="-",,GEP!P118)</f>
        <v>0</v>
      </c>
      <c r="AD119" s="113">
        <f>IF(GEP!S118="-",,GEP!S118)</f>
        <v>0</v>
      </c>
      <c r="AE119" s="149">
        <f t="shared" si="2"/>
        <v>1.29</v>
      </c>
      <c r="AF119" s="149">
        <f t="shared" si="3"/>
        <v>1.29</v>
      </c>
      <c r="AG119" s="106" t="str">
        <f>IF(C119='Table 1.1 complete'!A115,AE119-'Table 1.1 complete'!E115,"error")</f>
        <v>error</v>
      </c>
      <c r="AH119" s="113" t="str">
        <f>IF(C119='Table 1.2 complete'!A115,AE119-'Table 1.2 complete'!K115,"error")</f>
        <v>error</v>
      </c>
      <c r="AI119" s="106">
        <f>'Table 1.2 complete'!K115-'Table 1.1 complete'!E115</f>
        <v>-1.0000000000000009E-2</v>
      </c>
    </row>
    <row r="120" spans="3:35" x14ac:dyDescent="0.25">
      <c r="C120" s="172" t="str">
        <f>GEP_add1!P121</f>
        <v>Nicaragua</v>
      </c>
      <c r="D120" s="203">
        <f>GEP_add1!Q121</f>
        <v>82</v>
      </c>
      <c r="E120" s="172" t="str">
        <f>GEP_add1!R121</f>
        <v>ROW</v>
      </c>
      <c r="F120" s="132">
        <f>GEP_add1!S121</f>
        <v>17</v>
      </c>
      <c r="G120" s="267">
        <f>IF(GEP!F119="-",,GEP!F119)</f>
        <v>0</v>
      </c>
      <c r="H120" s="322">
        <f>IF(GEP!G119="-",,GEP!G119/2)</f>
        <v>0.78</v>
      </c>
      <c r="I120" s="322">
        <f>IF(GEP!G119="-",,GEP!G119/2)</f>
        <v>0.78</v>
      </c>
      <c r="J120" s="267">
        <f>IF(GEP!H119="-",,GEP!H119)</f>
        <v>0</v>
      </c>
      <c r="K120" s="321">
        <f>IF(GEP!I119="-",,GEP!I119/2)</f>
        <v>0</v>
      </c>
      <c r="L120" s="321">
        <f>IF(GEP!I119="-",,GEP!I119/2)</f>
        <v>0</v>
      </c>
      <c r="M120" s="113">
        <f>IF(GEP!J119="-",,GEP!J119/2)</f>
        <v>0.06</v>
      </c>
      <c r="N120" s="113">
        <f>IF(GEP!J119="-",,GEP!J119/2)</f>
        <v>0.06</v>
      </c>
      <c r="O120" s="267">
        <f>IF(GEP!K119="-",,GEP!K119)</f>
        <v>0</v>
      </c>
      <c r="P120" s="445">
        <f>IF(GEP!N119="-",,GEP!N119/3)</f>
        <v>3.3333333333333335E-3</v>
      </c>
      <c r="Q120" s="445">
        <f>IF(GEP!N119="-",,GEP!N119/3)</f>
        <v>3.3333333333333335E-3</v>
      </c>
      <c r="R120" s="445">
        <f>IF(GEP!N119="-",,GEP!N119/3)</f>
        <v>3.3333333333333335E-3</v>
      </c>
      <c r="S120" s="449">
        <f>IF(GEP!O119="-",,GEP!O119/3)</f>
        <v>0</v>
      </c>
      <c r="T120" s="449">
        <f>IF(GEP!O119="-",,GEP!O119/3)</f>
        <v>0</v>
      </c>
      <c r="U120" s="449">
        <f>IF(GEP!O119="-",,GEP!O119/3)</f>
        <v>0</v>
      </c>
      <c r="V120" s="267">
        <f>IF(GEP!P119="-",IF(GEP!S119="-",,GEP!S119),IF(GEP!S119="-",GEP!P119,GEP!P119+GEP!S119))</f>
        <v>0</v>
      </c>
      <c r="W120" s="427">
        <v>0</v>
      </c>
      <c r="X120" s="427">
        <v>0</v>
      </c>
      <c r="Y120" s="113">
        <f>IF(GEP!L119="-",,GEP!L119)</f>
        <v>0</v>
      </c>
      <c r="Z120" s="113">
        <f>IF(GEP!M119="-",,GEP!M119)</f>
        <v>0</v>
      </c>
      <c r="AA120" s="113">
        <f>IF(GEP!Q119="-",,GEP!Q119)</f>
        <v>0</v>
      </c>
      <c r="AB120" s="113">
        <f>IF(GEP!R119="-",,GEP!R119)</f>
        <v>0</v>
      </c>
      <c r="AC120" s="113">
        <f>IF(GEP!P119="-",,GEP!P119)</f>
        <v>0</v>
      </c>
      <c r="AD120" s="113">
        <f>IF(GEP!S119="-",,GEP!S119)</f>
        <v>0</v>
      </c>
      <c r="AE120" s="149">
        <f t="shared" si="2"/>
        <v>1.6900000000000004</v>
      </c>
      <c r="AF120" s="149">
        <f t="shared" si="3"/>
        <v>1.6900000000000004</v>
      </c>
      <c r="AG120" s="106" t="str">
        <f>IF(C120='Table 1.1 complete'!A116,AE120-'Table 1.1 complete'!E116,"error")</f>
        <v>error</v>
      </c>
      <c r="AH120" s="113" t="str">
        <f>IF(C120='Table 1.2 complete'!A116,AE120-'Table 1.2 complete'!K116,"error")</f>
        <v>error</v>
      </c>
      <c r="AI120" s="106">
        <f>'Table 1.2 complete'!K116-'Table 1.1 complete'!E116</f>
        <v>-1.0000000000000009E-2</v>
      </c>
    </row>
    <row r="121" spans="3:35" x14ac:dyDescent="0.25">
      <c r="C121" s="172" t="str">
        <f>GEP_add1!P122</f>
        <v>Oth. Lat. America</v>
      </c>
      <c r="D121" s="203">
        <f>GEP_add1!Q122</f>
        <v>89</v>
      </c>
      <c r="E121" s="172" t="str">
        <f>GEP_add1!R122</f>
        <v>ROW</v>
      </c>
      <c r="F121" s="132">
        <f>GEP_add1!S122</f>
        <v>17</v>
      </c>
      <c r="G121" s="267">
        <f>IF(GEP!F120="-",,GEP!F120)</f>
        <v>0</v>
      </c>
      <c r="H121" s="322">
        <f>IF(GEP!G120="-",,GEP!G120/2)</f>
        <v>1.4</v>
      </c>
      <c r="I121" s="322">
        <f>IF(GEP!G120="-",,GEP!G120/2)</f>
        <v>1.4</v>
      </c>
      <c r="J121" s="267">
        <f>IF(GEP!H120="-",,GEP!H120)</f>
        <v>0</v>
      </c>
      <c r="K121" s="321">
        <f>IF(GEP!I120="-",,GEP!I120/2)</f>
        <v>0</v>
      </c>
      <c r="L121" s="321">
        <f>IF(GEP!I120="-",,GEP!I120/2)</f>
        <v>0</v>
      </c>
      <c r="M121" s="113">
        <f>IF(GEP!J120="-",,GEP!J120/2)</f>
        <v>0</v>
      </c>
      <c r="N121" s="113">
        <f>IF(GEP!J120="-",,GEP!J120/2)</f>
        <v>0</v>
      </c>
      <c r="O121" s="267">
        <f>IF(GEP!K120="-",,GEP!K120)</f>
        <v>0</v>
      </c>
      <c r="P121" s="445">
        <f>IF(GEP!N120="-",,GEP!N120/3)</f>
        <v>3.3333333333333335E-3</v>
      </c>
      <c r="Q121" s="445">
        <f>IF(GEP!N120="-",,GEP!N120/3)</f>
        <v>3.3333333333333335E-3</v>
      </c>
      <c r="R121" s="445">
        <f>IF(GEP!N120="-",,GEP!N120/3)</f>
        <v>3.3333333333333335E-3</v>
      </c>
      <c r="S121" s="449">
        <f>IF(GEP!O120="-",,GEP!O120/3)</f>
        <v>0</v>
      </c>
      <c r="T121" s="449">
        <f>IF(GEP!O120="-",,GEP!O120/3)</f>
        <v>0</v>
      </c>
      <c r="U121" s="449">
        <f>IF(GEP!O120="-",,GEP!O120/3)</f>
        <v>0</v>
      </c>
      <c r="V121" s="267">
        <f>IF(GEP!P120="-",IF(GEP!S120="-",,GEP!S120),IF(GEP!S120="-",GEP!P120,GEP!P120+GEP!S120))</f>
        <v>0</v>
      </c>
      <c r="W121" s="427">
        <v>0</v>
      </c>
      <c r="X121" s="427">
        <v>0</v>
      </c>
      <c r="Y121" s="113">
        <f>IF(GEP!L120="-",,GEP!L120)</f>
        <v>0</v>
      </c>
      <c r="Z121" s="113">
        <f>IF(GEP!M120="-",,GEP!M120)</f>
        <v>0</v>
      </c>
      <c r="AA121" s="113">
        <f>IF(GEP!Q120="-",,GEP!Q120)</f>
        <v>0</v>
      </c>
      <c r="AB121" s="113">
        <f>IF(GEP!R120="-",,GEP!R120)</f>
        <v>0</v>
      </c>
      <c r="AC121" s="113">
        <f>IF(GEP!P120="-",,GEP!P120)</f>
        <v>0</v>
      </c>
      <c r="AD121" s="113">
        <f>IF(GEP!S120="-",,GEP!S120)</f>
        <v>0</v>
      </c>
      <c r="AE121" s="149">
        <f t="shared" si="2"/>
        <v>2.81</v>
      </c>
      <c r="AF121" s="149">
        <f t="shared" si="3"/>
        <v>2.81</v>
      </c>
      <c r="AG121" s="106" t="str">
        <f>IF(C121='Table 1.1 complete'!A117,AE121-'Table 1.1 complete'!E117,"error")</f>
        <v>error</v>
      </c>
      <c r="AH121" s="113" t="str">
        <f>IF(C121='Table 1.2 complete'!A117,AE121-'Table 1.2 complete'!K117,"error")</f>
        <v>error</v>
      </c>
      <c r="AI121" s="106">
        <f>'Table 1.2 complete'!K117-'Table 1.1 complete'!E117</f>
        <v>1.0000000000000231E-2</v>
      </c>
    </row>
    <row r="122" spans="3:35" x14ac:dyDescent="0.25">
      <c r="C122" s="172" t="str">
        <f>GEP_add1!P123</f>
        <v>Other Africa</v>
      </c>
      <c r="D122" s="203">
        <f>GEP_add1!Q123</f>
        <v>65</v>
      </c>
      <c r="E122" s="172" t="str">
        <f>GEP_add1!R123</f>
        <v>ROW</v>
      </c>
      <c r="F122" s="132">
        <f>GEP_add1!S123</f>
        <v>17</v>
      </c>
      <c r="G122" s="267">
        <f>IF(GEP!F121="-",,GEP!F121)</f>
        <v>0</v>
      </c>
      <c r="H122" s="322">
        <f>IF(GEP!G121="-",,GEP!G121/2)</f>
        <v>0.155</v>
      </c>
      <c r="I122" s="322">
        <f>IF(GEP!G121="-",,GEP!G121/2)</f>
        <v>0.155</v>
      </c>
      <c r="J122" s="267">
        <f>IF(GEP!H121="-",,GEP!H121)</f>
        <v>0.24</v>
      </c>
      <c r="K122" s="321">
        <f>IF(GEP!I121="-",,GEP!I121/2)</f>
        <v>0</v>
      </c>
      <c r="L122" s="321">
        <f>IF(GEP!I121="-",,GEP!I121/2)</f>
        <v>0</v>
      </c>
      <c r="M122" s="113">
        <f>IF(GEP!J121="-",,GEP!J121/2)</f>
        <v>0</v>
      </c>
      <c r="N122" s="113">
        <f>IF(GEP!J121="-",,GEP!J121/2)</f>
        <v>0</v>
      </c>
      <c r="O122" s="267">
        <f>IF(GEP!K121="-",,GEP!K121)</f>
        <v>0</v>
      </c>
      <c r="P122" s="445">
        <f>IF(GEP!N121="-",,GEP!N121/3)</f>
        <v>0.7599999999999999</v>
      </c>
      <c r="Q122" s="445">
        <f>IF(GEP!N121="-",,GEP!N121/3)</f>
        <v>0.7599999999999999</v>
      </c>
      <c r="R122" s="445">
        <f>IF(GEP!N121="-",,GEP!N121/3)</f>
        <v>0.7599999999999999</v>
      </c>
      <c r="S122" s="449">
        <f>IF(GEP!O121="-",,GEP!O121/3)</f>
        <v>0</v>
      </c>
      <c r="T122" s="449">
        <f>IF(GEP!O121="-",,GEP!O121/3)</f>
        <v>0</v>
      </c>
      <c r="U122" s="449">
        <f>IF(GEP!O121="-",,GEP!O121/3)</f>
        <v>0</v>
      </c>
      <c r="V122" s="267">
        <f>IF(GEP!P121="-",IF(GEP!S121="-",,GEP!S121),IF(GEP!S121="-",GEP!P121,GEP!P121+GEP!S121))</f>
        <v>0.38</v>
      </c>
      <c r="W122" s="427">
        <v>0</v>
      </c>
      <c r="X122" s="427">
        <v>0</v>
      </c>
      <c r="Y122" s="113">
        <f>IF(GEP!L121="-",,GEP!L121)</f>
        <v>0</v>
      </c>
      <c r="Z122" s="113">
        <f>IF(GEP!M121="-",,GEP!M121)</f>
        <v>0</v>
      </c>
      <c r="AA122" s="113">
        <f>IF(GEP!Q121="-",,GEP!Q121)</f>
        <v>0</v>
      </c>
      <c r="AB122" s="113">
        <f>IF(GEP!R121="-",,GEP!R121)</f>
        <v>0</v>
      </c>
      <c r="AC122" s="113">
        <f>IF(GEP!P121="-",,GEP!P121)</f>
        <v>0.38</v>
      </c>
      <c r="AD122" s="113">
        <f>IF(GEP!S121="-",,GEP!S121)</f>
        <v>0</v>
      </c>
      <c r="AE122" s="149">
        <f t="shared" si="2"/>
        <v>3.2099999999999995</v>
      </c>
      <c r="AF122" s="149">
        <f t="shared" si="3"/>
        <v>3.2099999999999995</v>
      </c>
      <c r="AG122" s="106" t="str">
        <f>IF(C122='Table 1.1 complete'!A118,AE122-'Table 1.1 complete'!E118,"error")</f>
        <v>error</v>
      </c>
      <c r="AH122" s="113" t="str">
        <f>IF(C122='Table 1.2 complete'!A118,AE122-'Table 1.2 complete'!K118,"error")</f>
        <v>error</v>
      </c>
      <c r="AI122" s="106">
        <f>'Table 1.2 complete'!K118-'Table 1.1 complete'!E118</f>
        <v>9.9999999999997868E-3</v>
      </c>
    </row>
    <row r="123" spans="3:35" x14ac:dyDescent="0.25">
      <c r="C123" s="172" t="str">
        <f>GEP_add1!P124</f>
        <v>Other Asia</v>
      </c>
      <c r="D123" s="203">
        <f>GEP_add1!Q124</f>
        <v>108</v>
      </c>
      <c r="E123" s="172" t="str">
        <f>GEP_add1!R124</f>
        <v>ROW</v>
      </c>
      <c r="F123" s="132">
        <f>GEP_add1!S124</f>
        <v>17</v>
      </c>
      <c r="G123" s="267">
        <f>IF(GEP!F122="-",,GEP!F122)</f>
        <v>0</v>
      </c>
      <c r="H123" s="322">
        <f>IF(GEP!G122="-",,GEP!G122/2)</f>
        <v>0.52</v>
      </c>
      <c r="I123" s="322">
        <f>IF(GEP!G122="-",,GEP!G122/2)</f>
        <v>0.52</v>
      </c>
      <c r="J123" s="267">
        <f>IF(GEP!H122="-",,GEP!H122)</f>
        <v>0</v>
      </c>
      <c r="K123" s="321">
        <f>IF(GEP!I122="-",,GEP!I122/2)</f>
        <v>0</v>
      </c>
      <c r="L123" s="321">
        <f>IF(GEP!I122="-",,GEP!I122/2)</f>
        <v>0</v>
      </c>
      <c r="M123" s="113">
        <f>IF(GEP!J122="-",,GEP!J122/2)</f>
        <v>0</v>
      </c>
      <c r="N123" s="113">
        <f>IF(GEP!J122="-",,GEP!J122/2)</f>
        <v>0</v>
      </c>
      <c r="O123" s="267">
        <f>IF(GEP!K122="-",,GEP!K122)</f>
        <v>0</v>
      </c>
      <c r="P123" s="445">
        <f>IF(GEP!N122="-",,GEP!N122/3)</f>
        <v>3.7266666666666666</v>
      </c>
      <c r="Q123" s="445">
        <f>IF(GEP!N122="-",,GEP!N122/3)</f>
        <v>3.7266666666666666</v>
      </c>
      <c r="R123" s="445">
        <f>IF(GEP!N122="-",,GEP!N122/3)</f>
        <v>3.7266666666666666</v>
      </c>
      <c r="S123" s="449">
        <f>IF(GEP!O122="-",,GEP!O122/3)</f>
        <v>3.3333333333333335E-3</v>
      </c>
      <c r="T123" s="449">
        <f>IF(GEP!O122="-",,GEP!O122/3)</f>
        <v>3.3333333333333335E-3</v>
      </c>
      <c r="U123" s="449">
        <f>IF(GEP!O122="-",,GEP!O122/3)</f>
        <v>3.3333333333333335E-3</v>
      </c>
      <c r="V123" s="267">
        <f>IF(GEP!P122="-",IF(GEP!S122="-",,GEP!S122),IF(GEP!S122="-",GEP!P122,GEP!P122+GEP!S122))</f>
        <v>0.1</v>
      </c>
      <c r="W123" s="427">
        <v>0</v>
      </c>
      <c r="X123" s="427">
        <v>0</v>
      </c>
      <c r="Y123" s="113">
        <f>IF(GEP!L122="-",,GEP!L122)</f>
        <v>0</v>
      </c>
      <c r="Z123" s="113">
        <f>IF(GEP!M122="-",,GEP!M122)</f>
        <v>0</v>
      </c>
      <c r="AA123" s="113">
        <f>IF(GEP!Q122="-",,GEP!Q122)</f>
        <v>0</v>
      </c>
      <c r="AB123" s="113">
        <f>IF(GEP!R122="-",,GEP!R122)</f>
        <v>0</v>
      </c>
      <c r="AC123" s="113">
        <f>IF(GEP!P122="-",,GEP!P122)</f>
        <v>0.1</v>
      </c>
      <c r="AD123" s="113">
        <f>IF(GEP!S122="-",,GEP!S122)</f>
        <v>0</v>
      </c>
      <c r="AE123" s="149">
        <f t="shared" si="2"/>
        <v>12.33</v>
      </c>
      <c r="AF123" s="149">
        <f t="shared" si="3"/>
        <v>12.33</v>
      </c>
      <c r="AG123" s="106" t="str">
        <f>IF(C123='Table 1.1 complete'!A119,AE123-'Table 1.1 complete'!E119,"error")</f>
        <v>error</v>
      </c>
      <c r="AH123" s="113" t="str">
        <f>IF(C123='Table 1.2 complete'!A119,AE123-'Table 1.2 complete'!K119,"error")</f>
        <v>error</v>
      </c>
      <c r="AI123" s="106">
        <f>'Table 1.2 complete'!K119-'Table 1.1 complete'!E119</f>
        <v>3.9999999999999147E-2</v>
      </c>
    </row>
    <row r="124" spans="3:35" x14ac:dyDescent="0.25">
      <c r="C124" s="172" t="str">
        <f>GEP_add1!P125</f>
        <v>Pakistan</v>
      </c>
      <c r="D124" s="203">
        <f>GEP_add1!Q125</f>
        <v>101</v>
      </c>
      <c r="E124" s="172" t="str">
        <f>GEP_add1!R125</f>
        <v>ROW</v>
      </c>
      <c r="F124" s="132">
        <f>GEP_add1!S125</f>
        <v>17</v>
      </c>
      <c r="G124" s="267">
        <f>IF(GEP!F123="-",,GEP!F123)</f>
        <v>0</v>
      </c>
      <c r="H124" s="322">
        <f>IF(GEP!G123="-",,GEP!G123/2)</f>
        <v>2.7250000000000001</v>
      </c>
      <c r="I124" s="322">
        <f>IF(GEP!G123="-",,GEP!G123/2)</f>
        <v>2.7250000000000001</v>
      </c>
      <c r="J124" s="267">
        <f>IF(GEP!H123="-",,GEP!H123)</f>
        <v>0</v>
      </c>
      <c r="K124" s="321">
        <f>IF(GEP!I123="-",,GEP!I123/2)</f>
        <v>5.0000000000000001E-3</v>
      </c>
      <c r="L124" s="321">
        <f>IF(GEP!I123="-",,GEP!I123/2)</f>
        <v>5.0000000000000001E-3</v>
      </c>
      <c r="M124" s="113">
        <f>IF(GEP!J123="-",,GEP!J123/2)</f>
        <v>0.94499999999999995</v>
      </c>
      <c r="N124" s="113">
        <f>IF(GEP!J123="-",,GEP!J123/2)</f>
        <v>0.94499999999999995</v>
      </c>
      <c r="O124" s="267">
        <f>IF(GEP!K123="-",,GEP!K123)</f>
        <v>0</v>
      </c>
      <c r="P124" s="445">
        <f>IF(GEP!N123="-",,GEP!N123/3)</f>
        <v>2.1566666666666667</v>
      </c>
      <c r="Q124" s="445">
        <f>IF(GEP!N123="-",,GEP!N123/3)</f>
        <v>2.1566666666666667</v>
      </c>
      <c r="R124" s="445">
        <f>IF(GEP!N123="-",,GEP!N123/3)</f>
        <v>2.1566666666666667</v>
      </c>
      <c r="S124" s="449">
        <f>IF(GEP!O123="-",,GEP!O123/3)</f>
        <v>0</v>
      </c>
      <c r="T124" s="449">
        <f>IF(GEP!O123="-",,GEP!O123/3)</f>
        <v>0</v>
      </c>
      <c r="U124" s="449">
        <f>IF(GEP!O123="-",,GEP!O123/3)</f>
        <v>0</v>
      </c>
      <c r="V124" s="267">
        <f>IF(GEP!P123="-",IF(GEP!S123="-",,GEP!S123),IF(GEP!S123="-",GEP!P123,GEP!P123+GEP!S123))</f>
        <v>0</v>
      </c>
      <c r="W124" s="427">
        <v>0</v>
      </c>
      <c r="X124" s="427">
        <v>0</v>
      </c>
      <c r="Y124" s="113">
        <f>IF(GEP!L123="-",,GEP!L123)</f>
        <v>0</v>
      </c>
      <c r="Z124" s="113">
        <f>IF(GEP!M123="-",,GEP!M123)</f>
        <v>0</v>
      </c>
      <c r="AA124" s="113">
        <f>IF(GEP!Q123="-",,GEP!Q123)</f>
        <v>0</v>
      </c>
      <c r="AB124" s="113">
        <f>IF(GEP!R123="-",,GEP!R123)</f>
        <v>0</v>
      </c>
      <c r="AC124" s="113">
        <f>IF(GEP!P123="-",,GEP!P123)</f>
        <v>0</v>
      </c>
      <c r="AD124" s="113">
        <f>IF(GEP!S123="-",,GEP!S123)</f>
        <v>0</v>
      </c>
      <c r="AE124" s="149">
        <f t="shared" si="2"/>
        <v>13.82</v>
      </c>
      <c r="AF124" s="149">
        <f t="shared" si="3"/>
        <v>13.82</v>
      </c>
      <c r="AG124" s="106" t="str">
        <f>IF(C124='Table 1.1 complete'!A120,AE124-'Table 1.1 complete'!E120,"error")</f>
        <v>error</v>
      </c>
      <c r="AH124" s="113" t="str">
        <f>IF(C124='Table 1.2 complete'!A120,AE124-'Table 1.2 complete'!K120,"error")</f>
        <v>error</v>
      </c>
      <c r="AI124" s="106">
        <f>'Table 1.2 complete'!K120-'Table 1.1 complete'!E120</f>
        <v>1.9999999999999574E-2</v>
      </c>
    </row>
    <row r="125" spans="3:35" x14ac:dyDescent="0.25">
      <c r="C125" s="174" t="str">
        <f>GEP_add1!P126</f>
        <v>Panama</v>
      </c>
      <c r="D125" s="205">
        <f>GEP_add1!Q126</f>
        <v>83</v>
      </c>
      <c r="E125" s="174" t="str">
        <f>GEP_add1!R126</f>
        <v>ROW</v>
      </c>
      <c r="F125" s="134">
        <f>GEP_add1!S126</f>
        <v>17</v>
      </c>
      <c r="G125" s="267">
        <f>IF(GEP!F124="-",,GEP!F124)</f>
        <v>0</v>
      </c>
      <c r="H125" s="322">
        <f>IF(GEP!G124="-",,GEP!G124/2)</f>
        <v>4.9000000000000004</v>
      </c>
      <c r="I125" s="322">
        <f>IF(GEP!G124="-",,GEP!G124/2)</f>
        <v>4.9000000000000004</v>
      </c>
      <c r="J125" s="267">
        <f>IF(GEP!H124="-",,GEP!H124)</f>
        <v>0</v>
      </c>
      <c r="K125" s="321">
        <f>IF(GEP!I124="-",,GEP!I124/2)</f>
        <v>0</v>
      </c>
      <c r="L125" s="321">
        <f>IF(GEP!I124="-",,GEP!I124/2)</f>
        <v>0</v>
      </c>
      <c r="M125" s="113">
        <f>IF(GEP!J124="-",,GEP!J124/2)</f>
        <v>0</v>
      </c>
      <c r="N125" s="113">
        <f>IF(GEP!J124="-",,GEP!J124/2)</f>
        <v>0</v>
      </c>
      <c r="O125" s="267">
        <f>IF(GEP!K124="-",,GEP!K124)</f>
        <v>0</v>
      </c>
      <c r="P125" s="445">
        <f>IF(GEP!N124="-",,GEP!N124/3)</f>
        <v>2.8266666666666667</v>
      </c>
      <c r="Q125" s="445">
        <f>IF(GEP!N124="-",,GEP!N124/3)</f>
        <v>2.8266666666666667</v>
      </c>
      <c r="R125" s="445">
        <f>IF(GEP!N124="-",,GEP!N124/3)</f>
        <v>2.8266666666666667</v>
      </c>
      <c r="S125" s="449">
        <f>IF(GEP!O124="-",,GEP!O124/3)</f>
        <v>0</v>
      </c>
      <c r="T125" s="449">
        <f>IF(GEP!O124="-",,GEP!O124/3)</f>
        <v>0</v>
      </c>
      <c r="U125" s="449">
        <f>IF(GEP!O124="-",,GEP!O124/3)</f>
        <v>0</v>
      </c>
      <c r="V125" s="267">
        <f>IF(GEP!P124="-",IF(GEP!S124="-",,GEP!S124),IF(GEP!S124="-",GEP!P124,GEP!P124+GEP!S124))</f>
        <v>0</v>
      </c>
      <c r="W125" s="427">
        <v>0</v>
      </c>
      <c r="X125" s="427">
        <v>0</v>
      </c>
      <c r="Y125" s="113">
        <f>IF(GEP!L124="-",,GEP!L124)</f>
        <v>0</v>
      </c>
      <c r="Z125" s="113">
        <f>IF(GEP!M124="-",,GEP!M124)</f>
        <v>0</v>
      </c>
      <c r="AA125" s="113">
        <f>IF(GEP!Q124="-",,GEP!Q124)</f>
        <v>0</v>
      </c>
      <c r="AB125" s="113">
        <f>IF(GEP!R124="-",,GEP!R124)</f>
        <v>0</v>
      </c>
      <c r="AC125" s="113">
        <f>IF(GEP!P124="-",,GEP!P124)</f>
        <v>0</v>
      </c>
      <c r="AD125" s="113">
        <f>IF(GEP!S124="-",,GEP!S124)</f>
        <v>0</v>
      </c>
      <c r="AE125" s="149">
        <f t="shared" si="2"/>
        <v>18.28</v>
      </c>
      <c r="AF125" s="149">
        <f t="shared" si="3"/>
        <v>18.28</v>
      </c>
      <c r="AG125" s="106" t="str">
        <f>IF(C125='Table 1.1 complete'!A121,AE125-'Table 1.1 complete'!E121,"error")</f>
        <v>error</v>
      </c>
      <c r="AH125" s="113" t="str">
        <f>IF(C125='Table 1.2 complete'!A121,AE125-'Table 1.2 complete'!K121,"error")</f>
        <v>error</v>
      </c>
      <c r="AI125" s="106">
        <f>'Table 1.2 complete'!K121-'Table 1.1 complete'!E121</f>
        <v>-1.9999999999999574E-2</v>
      </c>
    </row>
    <row r="126" spans="3:35" x14ac:dyDescent="0.25">
      <c r="C126" s="175" t="str">
        <f>GEP_add1!P127</f>
        <v>Paraguay</v>
      </c>
      <c r="D126" s="206">
        <f>GEP_add1!Q127</f>
        <v>84</v>
      </c>
      <c r="E126" s="175" t="str">
        <f>GEP_add1!R127</f>
        <v>ROW</v>
      </c>
      <c r="F126" s="141">
        <f>GEP_add1!S127</f>
        <v>17</v>
      </c>
      <c r="G126" s="267">
        <f>IF(GEP!F125="-",,GEP!F125)</f>
        <v>3.08</v>
      </c>
      <c r="H126" s="322">
        <f>IF(GEP!G125="-",,GEP!G125/2)</f>
        <v>14.355</v>
      </c>
      <c r="I126" s="322">
        <f>IF(GEP!G125="-",,GEP!G125/2)</f>
        <v>14.355</v>
      </c>
      <c r="J126" s="267">
        <f>IF(GEP!H125="-",,GEP!H125)</f>
        <v>0</v>
      </c>
      <c r="K126" s="321">
        <f>IF(GEP!I125="-",,GEP!I125/2)</f>
        <v>0</v>
      </c>
      <c r="L126" s="321">
        <f>IF(GEP!I125="-",,GEP!I125/2)</f>
        <v>0</v>
      </c>
      <c r="M126" s="113">
        <f>IF(GEP!J125="-",,GEP!J125/2)</f>
        <v>7.0000000000000007E-2</v>
      </c>
      <c r="N126" s="113">
        <f>IF(GEP!J125="-",,GEP!J125/2)</f>
        <v>7.0000000000000007E-2</v>
      </c>
      <c r="O126" s="267">
        <f>IF(GEP!K125="-",,GEP!K125)</f>
        <v>0</v>
      </c>
      <c r="P126" s="445">
        <f>IF(GEP!N125="-",,GEP!N125/3)</f>
        <v>10.283333333333333</v>
      </c>
      <c r="Q126" s="445">
        <f>IF(GEP!N125="-",,GEP!N125/3)</f>
        <v>10.283333333333333</v>
      </c>
      <c r="R126" s="445">
        <f>IF(GEP!N125="-",,GEP!N125/3)</f>
        <v>10.283333333333333</v>
      </c>
      <c r="S126" s="449">
        <f>IF(GEP!O125="-",,GEP!O125/3)</f>
        <v>10.973333333333334</v>
      </c>
      <c r="T126" s="449">
        <f>IF(GEP!O125="-",,GEP!O125/3)</f>
        <v>10.973333333333334</v>
      </c>
      <c r="U126" s="449">
        <f>IF(GEP!O125="-",,GEP!O125/3)</f>
        <v>10.973333333333334</v>
      </c>
      <c r="V126" s="267">
        <f>IF(GEP!P125="-",IF(GEP!S125="-",,GEP!S125),IF(GEP!S125="-",GEP!P125,GEP!P125+GEP!S125))</f>
        <v>0</v>
      </c>
      <c r="W126" s="427">
        <v>0</v>
      </c>
      <c r="X126" s="427">
        <v>0</v>
      </c>
      <c r="Y126" s="113">
        <f>IF(GEP!L125="-",,GEP!L125)</f>
        <v>0</v>
      </c>
      <c r="Z126" s="113">
        <f>IF(GEP!M125="-",,GEP!M125)</f>
        <v>0</v>
      </c>
      <c r="AA126" s="113">
        <f>IF(GEP!Q125="-",,GEP!Q125)</f>
        <v>0</v>
      </c>
      <c r="AB126" s="113">
        <f>IF(GEP!R125="-",,GEP!R125)</f>
        <v>0</v>
      </c>
      <c r="AC126" s="113">
        <f>IF(GEP!P125="-",,GEP!P125)</f>
        <v>0</v>
      </c>
      <c r="AD126" s="113">
        <f>IF(GEP!S125="-",,GEP!S125)</f>
        <v>0</v>
      </c>
      <c r="AE126" s="149">
        <f t="shared" si="2"/>
        <v>95.699999999999989</v>
      </c>
      <c r="AF126" s="149">
        <f t="shared" si="3"/>
        <v>95.699999999999989</v>
      </c>
      <c r="AG126" s="106" t="str">
        <f>IF(C126='Table 1.1 complete'!A122,AE126-'Table 1.1 complete'!E122,"error")</f>
        <v>error</v>
      </c>
      <c r="AH126" s="113" t="str">
        <f>IF(C126='Table 1.2 complete'!A122,AE126-'Table 1.2 complete'!K122,"error")</f>
        <v>error</v>
      </c>
      <c r="AI126" s="106">
        <f>'Table 1.2 complete'!K122-'Table 1.1 complete'!E122</f>
        <v>-1.0000000000005116E-2</v>
      </c>
    </row>
    <row r="127" spans="3:35" x14ac:dyDescent="0.25">
      <c r="C127" s="174" t="str">
        <f>GEP_add1!P128</f>
        <v>Peru</v>
      </c>
      <c r="D127" s="205">
        <f>GEP_add1!Q128</f>
        <v>85</v>
      </c>
      <c r="E127" s="174" t="str">
        <f>GEP_add1!R128</f>
        <v>ROW</v>
      </c>
      <c r="F127" s="134">
        <f>GEP_add1!S128</f>
        <v>17</v>
      </c>
      <c r="G127" s="267">
        <f>IF(GEP!F126="-",,GEP!F126)</f>
        <v>0</v>
      </c>
      <c r="H127" s="322">
        <f>IF(GEP!G126="-",,GEP!G126/2)</f>
        <v>1.835</v>
      </c>
      <c r="I127" s="322">
        <f>IF(GEP!G126="-",,GEP!G126/2)</f>
        <v>1.835</v>
      </c>
      <c r="J127" s="267">
        <f>IF(GEP!H126="-",,GEP!H126)</f>
        <v>0</v>
      </c>
      <c r="K127" s="321">
        <f>IF(GEP!I126="-",,GEP!I126/2)</f>
        <v>0</v>
      </c>
      <c r="L127" s="321">
        <f>IF(GEP!I126="-",,GEP!I126/2)</f>
        <v>0</v>
      </c>
      <c r="M127" s="113">
        <f>IF(GEP!J126="-",,GEP!J126/2)</f>
        <v>0</v>
      </c>
      <c r="N127" s="113">
        <f>IF(GEP!J126="-",,GEP!J126/2)</f>
        <v>0</v>
      </c>
      <c r="O127" s="267">
        <f>IF(GEP!K126="-",,GEP!K126)</f>
        <v>0</v>
      </c>
      <c r="P127" s="445">
        <f>IF(GEP!N126="-",,GEP!N126/3)</f>
        <v>0.93</v>
      </c>
      <c r="Q127" s="445">
        <f>IF(GEP!N126="-",,GEP!N126/3)</f>
        <v>0.93</v>
      </c>
      <c r="R127" s="445">
        <f>IF(GEP!N126="-",,GEP!N126/3)</f>
        <v>0.93</v>
      </c>
      <c r="S127" s="449">
        <f>IF(GEP!O126="-",,GEP!O126/3)</f>
        <v>0</v>
      </c>
      <c r="T127" s="449">
        <f>IF(GEP!O126="-",,GEP!O126/3)</f>
        <v>0</v>
      </c>
      <c r="U127" s="449">
        <f>IF(GEP!O126="-",,GEP!O126/3)</f>
        <v>0</v>
      </c>
      <c r="V127" s="267">
        <f>IF(GEP!P126="-",IF(GEP!S126="-",,GEP!S126),IF(GEP!S126="-",GEP!P126,GEP!P126+GEP!S126))</f>
        <v>0.02</v>
      </c>
      <c r="W127" s="427">
        <v>0</v>
      </c>
      <c r="X127" s="427">
        <v>0</v>
      </c>
      <c r="Y127" s="113">
        <f>IF(GEP!L126="-",,GEP!L126)</f>
        <v>0</v>
      </c>
      <c r="Z127" s="113">
        <f>IF(GEP!M126="-",,GEP!M126)</f>
        <v>0</v>
      </c>
      <c r="AA127" s="113">
        <f>IF(GEP!Q126="-",,GEP!Q126)</f>
        <v>0</v>
      </c>
      <c r="AB127" s="113">
        <f>IF(GEP!R126="-",,GEP!R126)</f>
        <v>0</v>
      </c>
      <c r="AC127" s="113">
        <f>IF(GEP!P126="-",,GEP!P126)</f>
        <v>0.02</v>
      </c>
      <c r="AD127" s="113">
        <f>IF(GEP!S126="-",,GEP!S126)</f>
        <v>0</v>
      </c>
      <c r="AE127" s="149">
        <f t="shared" si="2"/>
        <v>6.4799999999999986</v>
      </c>
      <c r="AF127" s="149">
        <f t="shared" si="3"/>
        <v>6.4799999999999986</v>
      </c>
      <c r="AG127" s="106" t="str">
        <f>IF(C127='Table 1.1 complete'!A123,AE127-'Table 1.1 complete'!E123,"error")</f>
        <v>error</v>
      </c>
      <c r="AH127" s="113" t="str">
        <f>IF(C127='Table 1.2 complete'!A123,AE127-'Table 1.2 complete'!K123,"error")</f>
        <v>error</v>
      </c>
      <c r="AI127" s="106">
        <f>'Table 1.2 complete'!K123-'Table 1.1 complete'!E123</f>
        <v>-1.9999999999999574E-2</v>
      </c>
    </row>
    <row r="128" spans="3:35" x14ac:dyDescent="0.25">
      <c r="C128" s="174" t="str">
        <f>GEP_add1!P129</f>
        <v>Philippines</v>
      </c>
      <c r="D128" s="205">
        <f>GEP_add1!Q129</f>
        <v>102</v>
      </c>
      <c r="E128" s="174" t="str">
        <f>GEP_add1!R129</f>
        <v>ROW</v>
      </c>
      <c r="F128" s="134">
        <f>GEP_add1!S129</f>
        <v>17</v>
      </c>
      <c r="G128" s="267">
        <f>IF(GEP!F127="-",,GEP!F127)</f>
        <v>0</v>
      </c>
      <c r="H128" s="322">
        <f>IF(GEP!G127="-",,GEP!G127/2)</f>
        <v>26.864999999999998</v>
      </c>
      <c r="I128" s="322">
        <f>IF(GEP!G127="-",,GEP!G127/2)</f>
        <v>26.864999999999998</v>
      </c>
      <c r="J128" s="267">
        <f>IF(GEP!H127="-",,GEP!H127)</f>
        <v>0</v>
      </c>
      <c r="K128" s="321">
        <f>IF(GEP!I127="-",,GEP!I127/2)</f>
        <v>0</v>
      </c>
      <c r="L128" s="321">
        <f>IF(GEP!I127="-",,GEP!I127/2)</f>
        <v>0</v>
      </c>
      <c r="M128" s="113">
        <f>IF(GEP!J127="-",,GEP!J127/2)</f>
        <v>0</v>
      </c>
      <c r="N128" s="113">
        <f>IF(GEP!J127="-",,GEP!J127/2)</f>
        <v>0</v>
      </c>
      <c r="O128" s="267">
        <f>IF(GEP!K127="-",,GEP!K127)</f>
        <v>0</v>
      </c>
      <c r="P128" s="445">
        <f>IF(GEP!N127="-",,GEP!N127/3)</f>
        <v>0</v>
      </c>
      <c r="Q128" s="445">
        <f>IF(GEP!N127="-",,GEP!N127/3)</f>
        <v>0</v>
      </c>
      <c r="R128" s="445">
        <f>IF(GEP!N127="-",,GEP!N127/3)</f>
        <v>0</v>
      </c>
      <c r="S128" s="449">
        <f>IF(GEP!O127="-",,GEP!O127/3)</f>
        <v>0</v>
      </c>
      <c r="T128" s="449">
        <f>IF(GEP!O127="-",,GEP!O127/3)</f>
        <v>0</v>
      </c>
      <c r="U128" s="449">
        <f>IF(GEP!O127="-",,GEP!O127/3)</f>
        <v>0</v>
      </c>
      <c r="V128" s="267">
        <f>IF(GEP!P127="-",IF(GEP!S127="-",,GEP!S127),IF(GEP!S127="-",GEP!P127,GEP!P127+GEP!S127))</f>
        <v>0</v>
      </c>
      <c r="W128" s="427">
        <v>0</v>
      </c>
      <c r="X128" s="427">
        <v>0</v>
      </c>
      <c r="Y128" s="113">
        <f>IF(GEP!L127="-",,GEP!L127)</f>
        <v>0</v>
      </c>
      <c r="Z128" s="113">
        <f>IF(GEP!M127="-",,GEP!M127)</f>
        <v>0</v>
      </c>
      <c r="AA128" s="113">
        <f>IF(GEP!Q127="-",,GEP!Q127)</f>
        <v>0</v>
      </c>
      <c r="AB128" s="113">
        <f>IF(GEP!R127="-",,GEP!R127)</f>
        <v>0</v>
      </c>
      <c r="AC128" s="113">
        <f>IF(GEP!P127="-",,GEP!P127)</f>
        <v>0</v>
      </c>
      <c r="AD128" s="113">
        <f>IF(GEP!S127="-",,GEP!S127)</f>
        <v>0</v>
      </c>
      <c r="AE128" s="149">
        <f t="shared" si="2"/>
        <v>53.73</v>
      </c>
      <c r="AF128" s="149">
        <f t="shared" si="3"/>
        <v>53.73</v>
      </c>
      <c r="AG128" s="106" t="str">
        <f>IF(C128='Table 1.1 complete'!A124,AE128-'Table 1.1 complete'!E124,"error")</f>
        <v>error</v>
      </c>
      <c r="AH128" s="113" t="str">
        <f>IF(C128='Table 1.2 complete'!A124,AE128-'Table 1.2 complete'!K124,"error")</f>
        <v>error</v>
      </c>
      <c r="AI128" s="106">
        <f>'Table 1.2 complete'!K124-'Table 1.1 complete'!E124</f>
        <v>2.9999999999994031E-2</v>
      </c>
    </row>
    <row r="129" spans="3:35" x14ac:dyDescent="0.25">
      <c r="C129" s="174" t="str">
        <f>GEP_add1!P130</f>
        <v>Rep. of Moldova</v>
      </c>
      <c r="D129" s="205">
        <f>GEP_add1!Q130</f>
        <v>134</v>
      </c>
      <c r="E129" s="174" t="str">
        <f>GEP_add1!R130</f>
        <v>ROW</v>
      </c>
      <c r="F129" s="134">
        <f>GEP_add1!S130</f>
        <v>17</v>
      </c>
      <c r="G129" s="267">
        <f>IF(GEP!F128="-",,GEP!F128)</f>
        <v>0</v>
      </c>
      <c r="H129" s="322">
        <f>IF(GEP!G128="-",,GEP!G128/2)</f>
        <v>9.7750000000000004</v>
      </c>
      <c r="I129" s="322">
        <f>IF(GEP!G128="-",,GEP!G128/2)</f>
        <v>9.7750000000000004</v>
      </c>
      <c r="J129" s="267">
        <f>IF(GEP!H128="-",,GEP!H128)</f>
        <v>0</v>
      </c>
      <c r="K129" s="321">
        <f>IF(GEP!I128="-",,GEP!I128/2)</f>
        <v>0</v>
      </c>
      <c r="L129" s="321">
        <f>IF(GEP!I128="-",,GEP!I128/2)</f>
        <v>0</v>
      </c>
      <c r="M129" s="113">
        <f>IF(GEP!J128="-",,GEP!J128/2)</f>
        <v>0.42499999999999999</v>
      </c>
      <c r="N129" s="113">
        <f>IF(GEP!J128="-",,GEP!J128/2)</f>
        <v>0.42499999999999999</v>
      </c>
      <c r="O129" s="267">
        <f>IF(GEP!K128="-",,GEP!K128)</f>
        <v>0</v>
      </c>
      <c r="P129" s="445">
        <f>IF(GEP!N128="-",,GEP!N128/3)</f>
        <v>0.6</v>
      </c>
      <c r="Q129" s="445">
        <f>IF(GEP!N128="-",,GEP!N128/3)</f>
        <v>0.6</v>
      </c>
      <c r="R129" s="445">
        <f>IF(GEP!N128="-",,GEP!N128/3)</f>
        <v>0.6</v>
      </c>
      <c r="S129" s="449">
        <f>IF(GEP!O128="-",,GEP!O128/3)</f>
        <v>2.4300000000000002</v>
      </c>
      <c r="T129" s="449">
        <f>IF(GEP!O128="-",,GEP!O128/3)</f>
        <v>2.4300000000000002</v>
      </c>
      <c r="U129" s="449">
        <f>IF(GEP!O128="-",,GEP!O128/3)</f>
        <v>2.4300000000000002</v>
      </c>
      <c r="V129" s="267">
        <f>IF(GEP!P128="-",IF(GEP!S128="-",,GEP!S128),IF(GEP!S128="-",GEP!P128,GEP!P128+GEP!S128))</f>
        <v>0.45</v>
      </c>
      <c r="W129" s="427">
        <v>0</v>
      </c>
      <c r="X129" s="427">
        <v>0</v>
      </c>
      <c r="Y129" s="113">
        <f>IF(GEP!L128="-",,GEP!L128)</f>
        <v>0</v>
      </c>
      <c r="Z129" s="113">
        <f>IF(GEP!M128="-",,GEP!M128)</f>
        <v>0</v>
      </c>
      <c r="AA129" s="113">
        <f>IF(GEP!Q128="-",,GEP!Q128)</f>
        <v>0</v>
      </c>
      <c r="AB129" s="113">
        <f>IF(GEP!R128="-",,GEP!R128)</f>
        <v>0</v>
      </c>
      <c r="AC129" s="113">
        <f>IF(GEP!P128="-",,GEP!P128)</f>
        <v>0.45</v>
      </c>
      <c r="AD129" s="113">
        <f>IF(GEP!S128="-",,GEP!S128)</f>
        <v>0</v>
      </c>
      <c r="AE129" s="149">
        <f t="shared" si="2"/>
        <v>29.940000000000005</v>
      </c>
      <c r="AF129" s="149">
        <f t="shared" si="3"/>
        <v>29.940000000000005</v>
      </c>
      <c r="AG129" s="106" t="str">
        <f>IF(C129='Table 1.1 complete'!A125,AE129-'Table 1.1 complete'!E125,"error")</f>
        <v>error</v>
      </c>
      <c r="AH129" s="113" t="str">
        <f>IF(C129='Table 1.2 complete'!A125,AE129-'Table 1.2 complete'!K125,"error")</f>
        <v>error</v>
      </c>
      <c r="AI129" s="106">
        <f>'Table 1.2 complete'!K125-'Table 1.1 complete'!E125</f>
        <v>3.0000000000001137E-2</v>
      </c>
    </row>
    <row r="130" spans="3:35" x14ac:dyDescent="0.25">
      <c r="C130" s="174" t="str">
        <f>GEP_add1!P131</f>
        <v>Senegal</v>
      </c>
      <c r="D130" s="205">
        <f>GEP_add1!Q131</f>
        <v>57</v>
      </c>
      <c r="E130" s="174" t="str">
        <f>GEP_add1!R131</f>
        <v>ROW</v>
      </c>
      <c r="F130" s="134">
        <f>GEP_add1!S131</f>
        <v>17</v>
      </c>
      <c r="G130" s="267">
        <f>IF(GEP!F129="-",,GEP!F129)</f>
        <v>0</v>
      </c>
      <c r="H130" s="322">
        <f>IF(GEP!G129="-",,GEP!G129/2)</f>
        <v>4.28</v>
      </c>
      <c r="I130" s="322">
        <f>IF(GEP!G129="-",,GEP!G129/2)</f>
        <v>4.28</v>
      </c>
      <c r="J130" s="267">
        <f>IF(GEP!H129="-",,GEP!H129)</f>
        <v>10.220000000000001</v>
      </c>
      <c r="K130" s="321">
        <f>IF(GEP!I129="-",,GEP!I129/2)</f>
        <v>0.03</v>
      </c>
      <c r="L130" s="321">
        <f>IF(GEP!I129="-",,GEP!I129/2)</f>
        <v>0.03</v>
      </c>
      <c r="M130" s="113">
        <f>IF(GEP!J129="-",,GEP!J129/2)</f>
        <v>8.42</v>
      </c>
      <c r="N130" s="113">
        <f>IF(GEP!J129="-",,GEP!J129/2)</f>
        <v>8.42</v>
      </c>
      <c r="O130" s="267">
        <f>IF(GEP!K129="-",,GEP!K129)</f>
        <v>0</v>
      </c>
      <c r="P130" s="445">
        <f>IF(GEP!N129="-",,GEP!N129/3)</f>
        <v>1.5</v>
      </c>
      <c r="Q130" s="445">
        <f>IF(GEP!N129="-",,GEP!N129/3)</f>
        <v>1.5</v>
      </c>
      <c r="R130" s="445">
        <f>IF(GEP!N129="-",,GEP!N129/3)</f>
        <v>1.5</v>
      </c>
      <c r="S130" s="449">
        <f>IF(GEP!O129="-",,GEP!O129/3)</f>
        <v>6.48</v>
      </c>
      <c r="T130" s="449">
        <f>IF(GEP!O129="-",,GEP!O129/3)</f>
        <v>6.48</v>
      </c>
      <c r="U130" s="449">
        <f>IF(GEP!O129="-",,GEP!O129/3)</f>
        <v>6.48</v>
      </c>
      <c r="V130" s="267">
        <f>IF(GEP!P129="-",IF(GEP!S129="-",,GEP!S129),IF(GEP!S129="-",GEP!P129,GEP!P129+GEP!S129))</f>
        <v>0</v>
      </c>
      <c r="W130" s="427">
        <v>0</v>
      </c>
      <c r="X130" s="427">
        <v>0</v>
      </c>
      <c r="Y130" s="113">
        <f>IF(GEP!L129="-",,GEP!L129)</f>
        <v>0</v>
      </c>
      <c r="Z130" s="113">
        <f>IF(GEP!M129="-",,GEP!M129)</f>
        <v>0</v>
      </c>
      <c r="AA130" s="113">
        <f>IF(GEP!Q129="-",,GEP!Q129)</f>
        <v>0</v>
      </c>
      <c r="AB130" s="113">
        <f>IF(GEP!R129="-",,GEP!R129)</f>
        <v>0</v>
      </c>
      <c r="AC130" s="113">
        <f>IF(GEP!P129="-",,GEP!P129)</f>
        <v>0</v>
      </c>
      <c r="AD130" s="113">
        <f>IF(GEP!S129="-",,GEP!S129)</f>
        <v>0</v>
      </c>
      <c r="AE130" s="149">
        <f t="shared" si="2"/>
        <v>59.620000000000019</v>
      </c>
      <c r="AF130" s="149">
        <f t="shared" si="3"/>
        <v>59.620000000000019</v>
      </c>
      <c r="AG130" s="106" t="str">
        <f>IF(C130='Table 1.1 complete'!A126,AE130-'Table 1.1 complete'!E126,"error")</f>
        <v>error</v>
      </c>
      <c r="AH130" s="113" t="str">
        <f>IF(C130='Table 1.2 complete'!A126,AE130-'Table 1.2 complete'!K126,"error")</f>
        <v>error</v>
      </c>
      <c r="AI130" s="106">
        <f>'Table 1.2 complete'!K126-'Table 1.1 complete'!E126</f>
        <v>9.9999999999980105E-3</v>
      </c>
    </row>
    <row r="131" spans="3:35" x14ac:dyDescent="0.25">
      <c r="C131" s="174" t="str">
        <f>GEP_add1!P132</f>
        <v>Serbia</v>
      </c>
      <c r="D131" s="205">
        <f>GEP_add1!Q132</f>
        <v>122</v>
      </c>
      <c r="E131" s="174" t="str">
        <f>GEP_add1!R132</f>
        <v>ROW</v>
      </c>
      <c r="F131" s="134">
        <f>GEP_add1!S132</f>
        <v>17</v>
      </c>
      <c r="G131" s="267">
        <f>IF(GEP!F130="-",,GEP!F130)</f>
        <v>0</v>
      </c>
      <c r="H131" s="322">
        <f>IF(GEP!G130="-",,GEP!G130/2)</f>
        <v>1.4999999999999999E-2</v>
      </c>
      <c r="I131" s="322">
        <f>IF(GEP!G130="-",,GEP!G130/2)</f>
        <v>1.4999999999999999E-2</v>
      </c>
      <c r="J131" s="267">
        <f>IF(GEP!H130="-",,GEP!H130)</f>
        <v>0</v>
      </c>
      <c r="K131" s="321">
        <f>IF(GEP!I130="-",,GEP!I130/2)</f>
        <v>0</v>
      </c>
      <c r="L131" s="321">
        <f>IF(GEP!I130="-",,GEP!I130/2)</f>
        <v>0</v>
      </c>
      <c r="M131" s="113">
        <f>IF(GEP!J130="-",,GEP!J130/2)</f>
        <v>0</v>
      </c>
      <c r="N131" s="113">
        <f>IF(GEP!J130="-",,GEP!J130/2)</f>
        <v>0</v>
      </c>
      <c r="O131" s="267">
        <f>IF(GEP!K130="-",,GEP!K130)</f>
        <v>0</v>
      </c>
      <c r="P131" s="445">
        <f>IF(GEP!N130="-",,GEP!N130/3)</f>
        <v>1.3333333333333334E-2</v>
      </c>
      <c r="Q131" s="445">
        <f>IF(GEP!N130="-",,GEP!N130/3)</f>
        <v>1.3333333333333334E-2</v>
      </c>
      <c r="R131" s="445">
        <f>IF(GEP!N130="-",,GEP!N130/3)</f>
        <v>1.3333333333333334E-2</v>
      </c>
      <c r="S131" s="449">
        <f>IF(GEP!O130="-",,GEP!O130/3)</f>
        <v>1.26</v>
      </c>
      <c r="T131" s="449">
        <f>IF(GEP!O130="-",,GEP!O130/3)</f>
        <v>1.26</v>
      </c>
      <c r="U131" s="449">
        <f>IF(GEP!O130="-",,GEP!O130/3)</f>
        <v>1.26</v>
      </c>
      <c r="V131" s="267">
        <f>IF(GEP!P130="-",IF(GEP!S130="-",,GEP!S130),IF(GEP!S130="-",GEP!P130,GEP!P130+GEP!S130))</f>
        <v>0</v>
      </c>
      <c r="W131" s="427">
        <v>0</v>
      </c>
      <c r="X131" s="427">
        <v>0</v>
      </c>
      <c r="Y131" s="113">
        <f>IF(GEP!L130="-",,GEP!L130)</f>
        <v>0</v>
      </c>
      <c r="Z131" s="113">
        <f>IF(GEP!M130="-",,GEP!M130)</f>
        <v>0</v>
      </c>
      <c r="AA131" s="113">
        <f>IF(GEP!Q130="-",,GEP!Q130)</f>
        <v>0</v>
      </c>
      <c r="AB131" s="113">
        <f>IF(GEP!R130="-",,GEP!R130)</f>
        <v>0</v>
      </c>
      <c r="AC131" s="113">
        <f>IF(GEP!P130="-",,GEP!P130)</f>
        <v>0</v>
      </c>
      <c r="AD131" s="113">
        <f>IF(GEP!S130="-",,GEP!S130)</f>
        <v>0</v>
      </c>
      <c r="AE131" s="149">
        <f t="shared" si="2"/>
        <v>3.8499999999999996</v>
      </c>
      <c r="AF131" s="149">
        <f t="shared" si="3"/>
        <v>3.8499999999999996</v>
      </c>
      <c r="AG131" s="106" t="str">
        <f>IF(C131='Table 1.1 complete'!A127,AE131-'Table 1.1 complete'!E127,"error")</f>
        <v>error</v>
      </c>
      <c r="AH131" s="113" t="str">
        <f>IF(C131='Table 1.2 complete'!A127,AE131-'Table 1.2 complete'!K127,"error")</f>
        <v>error</v>
      </c>
      <c r="AI131" s="106">
        <f>'Table 1.2 complete'!K127-'Table 1.1 complete'!E127</f>
        <v>5.0000000000000266E-2</v>
      </c>
    </row>
    <row r="132" spans="3:35" x14ac:dyDescent="0.25">
      <c r="C132" s="174" t="str">
        <f>GEP_add1!P133</f>
        <v>Singapore</v>
      </c>
      <c r="D132" s="205">
        <f>GEP_add1!Q133</f>
        <v>103</v>
      </c>
      <c r="E132" s="174" t="str">
        <f>GEP_add1!R133</f>
        <v>ROW</v>
      </c>
      <c r="F132" s="134">
        <f>GEP_add1!S133</f>
        <v>17</v>
      </c>
      <c r="G132" s="267">
        <f>IF(GEP!F131="-",,GEP!F131)</f>
        <v>0</v>
      </c>
      <c r="H132" s="322">
        <f>IF(GEP!G131="-",,GEP!G131/2)</f>
        <v>0.11</v>
      </c>
      <c r="I132" s="322">
        <f>IF(GEP!G131="-",,GEP!G131/2)</f>
        <v>0.11</v>
      </c>
      <c r="J132" s="267">
        <f>IF(GEP!H131="-",,GEP!H131)</f>
        <v>0</v>
      </c>
      <c r="K132" s="321">
        <f>IF(GEP!I131="-",,GEP!I131/2)</f>
        <v>1.4999999999999999E-2</v>
      </c>
      <c r="L132" s="321">
        <f>IF(GEP!I131="-",,GEP!I131/2)</f>
        <v>1.4999999999999999E-2</v>
      </c>
      <c r="M132" s="113">
        <f>IF(GEP!J131="-",,GEP!J131/2)</f>
        <v>0</v>
      </c>
      <c r="N132" s="113">
        <f>IF(GEP!J131="-",,GEP!J131/2)</f>
        <v>0</v>
      </c>
      <c r="O132" s="267">
        <f>IF(GEP!K131="-",,GEP!K131)</f>
        <v>0</v>
      </c>
      <c r="P132" s="445">
        <f>IF(GEP!N131="-",,GEP!N131/3)</f>
        <v>0.55999999999999994</v>
      </c>
      <c r="Q132" s="445">
        <f>IF(GEP!N131="-",,GEP!N131/3)</f>
        <v>0.55999999999999994</v>
      </c>
      <c r="R132" s="445">
        <f>IF(GEP!N131="-",,GEP!N131/3)</f>
        <v>0.55999999999999994</v>
      </c>
      <c r="S132" s="449">
        <f>IF(GEP!O131="-",,GEP!O131/3)</f>
        <v>1.3333333333333334E-2</v>
      </c>
      <c r="T132" s="449">
        <f>IF(GEP!O131="-",,GEP!O131/3)</f>
        <v>1.3333333333333334E-2</v>
      </c>
      <c r="U132" s="449">
        <f>IF(GEP!O131="-",,GEP!O131/3)</f>
        <v>1.3333333333333334E-2</v>
      </c>
      <c r="V132" s="267">
        <f>IF(GEP!P131="-",IF(GEP!S131="-",,GEP!S131),IF(GEP!S131="-",GEP!P131,GEP!P131+GEP!S131))</f>
        <v>0.05</v>
      </c>
      <c r="W132" s="427">
        <v>0</v>
      </c>
      <c r="X132" s="427">
        <v>0</v>
      </c>
      <c r="Y132" s="113">
        <f>IF(GEP!L131="-",,GEP!L131)</f>
        <v>0</v>
      </c>
      <c r="Z132" s="113">
        <f>IF(GEP!M131="-",,GEP!M131)</f>
        <v>0</v>
      </c>
      <c r="AA132" s="113">
        <f>IF(GEP!Q131="-",,GEP!Q131)</f>
        <v>0</v>
      </c>
      <c r="AB132" s="113">
        <f>IF(GEP!R131="-",,GEP!R131)</f>
        <v>0</v>
      </c>
      <c r="AC132" s="113">
        <f>IF(GEP!P131="-",,GEP!P131)</f>
        <v>0.05</v>
      </c>
      <c r="AD132" s="113">
        <f>IF(GEP!S131="-",,GEP!S131)</f>
        <v>0</v>
      </c>
      <c r="AE132" s="149">
        <f t="shared" si="2"/>
        <v>2.02</v>
      </c>
      <c r="AF132" s="149">
        <f t="shared" si="3"/>
        <v>2.02</v>
      </c>
      <c r="AG132" s="106" t="str">
        <f>IF(C132='Table 1.1 complete'!A128,AE132-'Table 1.1 complete'!E128,"error")</f>
        <v>error</v>
      </c>
      <c r="AH132" s="113" t="str">
        <f>IF(C132='Table 1.2 complete'!A128,AE132-'Table 1.2 complete'!K128,"error")</f>
        <v>error</v>
      </c>
      <c r="AI132" s="106">
        <f>'Table 1.2 complete'!K128-'Table 1.1 complete'!E128</f>
        <v>2.0000000000000018E-2</v>
      </c>
    </row>
    <row r="133" spans="3:35" x14ac:dyDescent="0.25">
      <c r="C133" s="174" t="str">
        <f>GEP_add1!P134</f>
        <v>Sri Lanka</v>
      </c>
      <c r="D133" s="205">
        <f>GEP_add1!Q134</f>
        <v>104</v>
      </c>
      <c r="E133" s="174" t="str">
        <f>GEP_add1!R134</f>
        <v>ROW</v>
      </c>
      <c r="F133" s="134">
        <f>GEP_add1!S134</f>
        <v>17</v>
      </c>
      <c r="G133" s="267">
        <f>IF(GEP!F132="-",,GEP!F132)</f>
        <v>0</v>
      </c>
      <c r="H133" s="322">
        <f>IF(GEP!G132="-",,GEP!G132/2)</f>
        <v>5.0199999999999996</v>
      </c>
      <c r="I133" s="322">
        <f>IF(GEP!G132="-",,GEP!G132/2)</f>
        <v>5.0199999999999996</v>
      </c>
      <c r="J133" s="267">
        <f>IF(GEP!H132="-",,GEP!H132)</f>
        <v>0</v>
      </c>
      <c r="K133" s="321">
        <f>IF(GEP!I132="-",,GEP!I132/2)</f>
        <v>0</v>
      </c>
      <c r="L133" s="321">
        <f>IF(GEP!I132="-",,GEP!I132/2)</f>
        <v>0</v>
      </c>
      <c r="M133" s="113">
        <f>IF(GEP!J132="-",,GEP!J132/2)</f>
        <v>0</v>
      </c>
      <c r="N133" s="113">
        <f>IF(GEP!J132="-",,GEP!J132/2)</f>
        <v>0</v>
      </c>
      <c r="O133" s="267">
        <f>IF(GEP!K132="-",,GEP!K132)</f>
        <v>25.58</v>
      </c>
      <c r="P133" s="445">
        <f>IF(GEP!N132="-",,GEP!N132/3)</f>
        <v>0.15333333333333335</v>
      </c>
      <c r="Q133" s="445">
        <f>IF(GEP!N132="-",,GEP!N132/3)</f>
        <v>0.15333333333333335</v>
      </c>
      <c r="R133" s="445">
        <f>IF(GEP!N132="-",,GEP!N132/3)</f>
        <v>0.15333333333333335</v>
      </c>
      <c r="S133" s="449">
        <f>IF(GEP!O132="-",,GEP!O132/3)</f>
        <v>0.13</v>
      </c>
      <c r="T133" s="449">
        <f>IF(GEP!O132="-",,GEP!O132/3)</f>
        <v>0.13</v>
      </c>
      <c r="U133" s="449">
        <f>IF(GEP!O132="-",,GEP!O132/3)</f>
        <v>0.13</v>
      </c>
      <c r="V133" s="267">
        <f>IF(GEP!P132="-",IF(GEP!S132="-",,GEP!S132),IF(GEP!S132="-",GEP!P132,GEP!P132+GEP!S132))</f>
        <v>0</v>
      </c>
      <c r="W133" s="427">
        <v>0</v>
      </c>
      <c r="X133" s="427">
        <v>0</v>
      </c>
      <c r="Y133" s="113">
        <f>IF(GEP!L132="-",,GEP!L132)</f>
        <v>0</v>
      </c>
      <c r="Z133" s="113">
        <f>IF(GEP!M132="-",,GEP!M132)</f>
        <v>0.06</v>
      </c>
      <c r="AA133" s="113">
        <f>IF(GEP!Q132="-",,GEP!Q132)</f>
        <v>0</v>
      </c>
      <c r="AB133" s="113">
        <f>IF(GEP!R132="-",,GEP!R132)</f>
        <v>0</v>
      </c>
      <c r="AC133" s="113">
        <f>IF(GEP!P132="-",,GEP!P132)</f>
        <v>0</v>
      </c>
      <c r="AD133" s="113">
        <f>IF(GEP!S132="-",,GEP!S132)</f>
        <v>0</v>
      </c>
      <c r="AE133" s="149">
        <f t="shared" si="2"/>
        <v>36.530000000000015</v>
      </c>
      <c r="AF133" s="149">
        <f t="shared" si="3"/>
        <v>36.470000000000013</v>
      </c>
      <c r="AG133" s="106" t="str">
        <f>IF(C133='Table 1.1 complete'!A129,AE133-'Table 1.1 complete'!E129,"error")</f>
        <v>error</v>
      </c>
      <c r="AH133" s="113" t="str">
        <f>IF(C133='Table 1.2 complete'!A129,AE133-'Table 1.2 complete'!K129,"error")</f>
        <v>error</v>
      </c>
      <c r="AI133" s="106">
        <f>'Table 1.2 complete'!K129-'Table 1.1 complete'!E129</f>
        <v>2.0000000000003126E-2</v>
      </c>
    </row>
    <row r="134" spans="3:35" x14ac:dyDescent="0.25">
      <c r="C134" s="174" t="str">
        <f>GEP_add1!P135</f>
        <v>Sudan</v>
      </c>
      <c r="D134" s="205">
        <f>GEP_add1!Q135</f>
        <v>59</v>
      </c>
      <c r="E134" s="174" t="str">
        <f>GEP_add1!R135</f>
        <v>ROW</v>
      </c>
      <c r="F134" s="134">
        <f>GEP_add1!S135</f>
        <v>17</v>
      </c>
      <c r="G134" s="267">
        <f>IF(GEP!F133="-",,GEP!F133)</f>
        <v>0</v>
      </c>
      <c r="H134" s="322">
        <f>IF(GEP!G133="-",,GEP!G133/2)</f>
        <v>0</v>
      </c>
      <c r="I134" s="322">
        <f>IF(GEP!G133="-",,GEP!G133/2)</f>
        <v>0</v>
      </c>
      <c r="J134" s="267">
        <f>IF(GEP!H133="-",,GEP!H133)</f>
        <v>0</v>
      </c>
      <c r="K134" s="321">
        <f>IF(GEP!I133="-",,GEP!I133/2)</f>
        <v>0</v>
      </c>
      <c r="L134" s="321">
        <f>IF(GEP!I133="-",,GEP!I133/2)</f>
        <v>0</v>
      </c>
      <c r="M134" s="113">
        <f>IF(GEP!J133="-",,GEP!J133/2)</f>
        <v>0</v>
      </c>
      <c r="N134" s="113">
        <f>IF(GEP!J133="-",,GEP!J133/2)</f>
        <v>0</v>
      </c>
      <c r="O134" s="267">
        <f>IF(GEP!K133="-",,GEP!K133)</f>
        <v>0</v>
      </c>
      <c r="P134" s="445">
        <f>IF(GEP!N133="-",,GEP!N133/3)</f>
        <v>2.92</v>
      </c>
      <c r="Q134" s="445">
        <f>IF(GEP!N133="-",,GEP!N133/3)</f>
        <v>2.92</v>
      </c>
      <c r="R134" s="445">
        <f>IF(GEP!N133="-",,GEP!N133/3)</f>
        <v>2.92</v>
      </c>
      <c r="S134" s="449">
        <f>IF(GEP!O133="-",,GEP!O133/3)</f>
        <v>10.79</v>
      </c>
      <c r="T134" s="449">
        <f>IF(GEP!O133="-",,GEP!O133/3)</f>
        <v>10.79</v>
      </c>
      <c r="U134" s="449">
        <f>IF(GEP!O133="-",,GEP!O133/3)</f>
        <v>10.79</v>
      </c>
      <c r="V134" s="267">
        <f>IF(GEP!P133="-",IF(GEP!S133="-",,GEP!S133),IF(GEP!S133="-",GEP!P133,GEP!P133+GEP!S133))</f>
        <v>0</v>
      </c>
      <c r="W134" s="427">
        <v>0</v>
      </c>
      <c r="X134" s="427">
        <v>0</v>
      </c>
      <c r="Y134" s="113">
        <f>IF(GEP!L133="-",,GEP!L133)</f>
        <v>0</v>
      </c>
      <c r="Z134" s="113">
        <f>IF(GEP!M133="-",,GEP!M133)</f>
        <v>0</v>
      </c>
      <c r="AA134" s="113">
        <f>IF(GEP!Q133="-",,GEP!Q133)</f>
        <v>0</v>
      </c>
      <c r="AB134" s="113">
        <f>IF(GEP!R133="-",,GEP!R133)</f>
        <v>0</v>
      </c>
      <c r="AC134" s="113">
        <f>IF(GEP!P133="-",,GEP!P133)</f>
        <v>0</v>
      </c>
      <c r="AD134" s="113">
        <f>IF(GEP!S133="-",,GEP!S133)</f>
        <v>0</v>
      </c>
      <c r="AE134" s="149">
        <f t="shared" si="2"/>
        <v>41.129999999999995</v>
      </c>
      <c r="AF134" s="149">
        <f t="shared" si="3"/>
        <v>41.129999999999995</v>
      </c>
      <c r="AG134" s="106" t="str">
        <f>IF(C134='Table 1.1 complete'!A130,AE134-'Table 1.1 complete'!E130,"error")</f>
        <v>error</v>
      </c>
      <c r="AH134" s="113" t="str">
        <f>IF(C134='Table 1.2 complete'!A130,AE134-'Table 1.2 complete'!K130,"error")</f>
        <v>error</v>
      </c>
      <c r="AI134" s="106">
        <f>'Table 1.2 complete'!K130-'Table 1.1 complete'!E130</f>
        <v>3.0000000000001137E-2</v>
      </c>
    </row>
    <row r="135" spans="3:35" x14ac:dyDescent="0.25">
      <c r="C135" s="174" t="str">
        <f>GEP_add1!P136</f>
        <v>Tajikistan</v>
      </c>
      <c r="D135" s="205">
        <f>GEP_add1!Q136</f>
        <v>136</v>
      </c>
      <c r="E135" s="174" t="str">
        <f>GEP_add1!R136</f>
        <v>ROW</v>
      </c>
      <c r="F135" s="134">
        <f>GEP_add1!S136</f>
        <v>17</v>
      </c>
      <c r="G135" s="267">
        <f>IF(GEP!F134="-",,GEP!F134)</f>
        <v>0</v>
      </c>
      <c r="H135" s="322">
        <f>IF(GEP!G134="-",,GEP!G134/2)</f>
        <v>1.9750000000000001</v>
      </c>
      <c r="I135" s="322">
        <f>IF(GEP!G134="-",,GEP!G134/2)</f>
        <v>1.9750000000000001</v>
      </c>
      <c r="J135" s="267">
        <f>IF(GEP!H134="-",,GEP!H134)</f>
        <v>0</v>
      </c>
      <c r="K135" s="321">
        <f>IF(GEP!I134="-",,GEP!I134/2)</f>
        <v>0.01</v>
      </c>
      <c r="L135" s="321">
        <f>IF(GEP!I134="-",,GEP!I134/2)</f>
        <v>0.01</v>
      </c>
      <c r="M135" s="113">
        <f>IF(GEP!J134="-",,GEP!J134/2)</f>
        <v>0</v>
      </c>
      <c r="N135" s="113">
        <f>IF(GEP!J134="-",,GEP!J134/2)</f>
        <v>0</v>
      </c>
      <c r="O135" s="267">
        <f>IF(GEP!K134="-",,GEP!K134)</f>
        <v>0</v>
      </c>
      <c r="P135" s="445">
        <f>IF(GEP!N134="-",,GEP!N134/3)</f>
        <v>1.9800000000000002</v>
      </c>
      <c r="Q135" s="445">
        <f>IF(GEP!N134="-",,GEP!N134/3)</f>
        <v>1.9800000000000002</v>
      </c>
      <c r="R135" s="445">
        <f>IF(GEP!N134="-",,GEP!N134/3)</f>
        <v>1.9800000000000002</v>
      </c>
      <c r="S135" s="449">
        <f>IF(GEP!O134="-",,GEP!O134/3)</f>
        <v>0</v>
      </c>
      <c r="T135" s="449">
        <f>IF(GEP!O134="-",,GEP!O134/3)</f>
        <v>0</v>
      </c>
      <c r="U135" s="449">
        <f>IF(GEP!O134="-",,GEP!O134/3)</f>
        <v>0</v>
      </c>
      <c r="V135" s="267">
        <f>IF(GEP!P134="-",IF(GEP!S134="-",,GEP!S134),IF(GEP!S134="-",GEP!P134,GEP!P134+GEP!S134))</f>
        <v>0</v>
      </c>
      <c r="W135" s="427">
        <v>0</v>
      </c>
      <c r="X135" s="427">
        <v>0</v>
      </c>
      <c r="Y135" s="113">
        <f>IF(GEP!L134="-",,GEP!L134)</f>
        <v>0</v>
      </c>
      <c r="Z135" s="113">
        <f>IF(GEP!M134="-",,GEP!M134)</f>
        <v>0</v>
      </c>
      <c r="AA135" s="113">
        <f>IF(GEP!Q134="-",,GEP!Q134)</f>
        <v>0</v>
      </c>
      <c r="AB135" s="113">
        <f>IF(GEP!R134="-",,GEP!R134)</f>
        <v>0</v>
      </c>
      <c r="AC135" s="113">
        <f>IF(GEP!P134="-",,GEP!P134)</f>
        <v>0</v>
      </c>
      <c r="AD135" s="113">
        <f>IF(GEP!S134="-",,GEP!S134)</f>
        <v>0</v>
      </c>
      <c r="AE135" s="149">
        <f t="shared" si="2"/>
        <v>9.91</v>
      </c>
      <c r="AF135" s="149">
        <f t="shared" si="3"/>
        <v>9.91</v>
      </c>
      <c r="AG135" s="106" t="str">
        <f>IF(C135='Table 1.1 complete'!A131,AE135-'Table 1.1 complete'!E131,"error")</f>
        <v>error</v>
      </c>
      <c r="AH135" s="113" t="str">
        <f>IF(C135='Table 1.2 complete'!A131,AE135-'Table 1.2 complete'!K131,"error")</f>
        <v>error</v>
      </c>
      <c r="AI135" s="106">
        <f>'Table 1.2 complete'!K131-'Table 1.1 complete'!E131</f>
        <v>0</v>
      </c>
    </row>
    <row r="136" spans="3:35" x14ac:dyDescent="0.25">
      <c r="C136" s="174" t="str">
        <f>GEP_add1!P137</f>
        <v>Thailand</v>
      </c>
      <c r="D136" s="205">
        <f>GEP_add1!Q137</f>
        <v>106</v>
      </c>
      <c r="E136" s="174" t="str">
        <f>GEP_add1!R137</f>
        <v>ROW</v>
      </c>
      <c r="F136" s="134">
        <f>GEP_add1!S137</f>
        <v>17</v>
      </c>
      <c r="G136" s="267">
        <f>IF(GEP!F135="-",,GEP!F135)</f>
        <v>0</v>
      </c>
      <c r="H136" s="322">
        <f>IF(GEP!G135="-",,GEP!G135/2)</f>
        <v>0.72499999999999998</v>
      </c>
      <c r="I136" s="322">
        <f>IF(GEP!G135="-",,GEP!G135/2)</f>
        <v>0.72499999999999998</v>
      </c>
      <c r="J136" s="267">
        <f>IF(GEP!H135="-",,GEP!H135)</f>
        <v>0</v>
      </c>
      <c r="K136" s="321">
        <f>IF(GEP!I135="-",,GEP!I135/2)</f>
        <v>0</v>
      </c>
      <c r="L136" s="321">
        <f>IF(GEP!I135="-",,GEP!I135/2)</f>
        <v>0</v>
      </c>
      <c r="M136" s="113">
        <f>IF(GEP!J135="-",,GEP!J135/2)</f>
        <v>0</v>
      </c>
      <c r="N136" s="113">
        <f>IF(GEP!J135="-",,GEP!J135/2)</f>
        <v>0</v>
      </c>
      <c r="O136" s="267">
        <f>IF(GEP!K135="-",,GEP!K135)</f>
        <v>0</v>
      </c>
      <c r="P136" s="445">
        <f>IF(GEP!N135="-",,GEP!N135/3)</f>
        <v>1.03</v>
      </c>
      <c r="Q136" s="445">
        <f>IF(GEP!N135="-",,GEP!N135/3)</f>
        <v>1.03</v>
      </c>
      <c r="R136" s="445">
        <f>IF(GEP!N135="-",,GEP!N135/3)</f>
        <v>1.03</v>
      </c>
      <c r="S136" s="449">
        <f>IF(GEP!O135="-",,GEP!O135/3)</f>
        <v>0</v>
      </c>
      <c r="T136" s="449">
        <f>IF(GEP!O135="-",,GEP!O135/3)</f>
        <v>0</v>
      </c>
      <c r="U136" s="449">
        <f>IF(GEP!O135="-",,GEP!O135/3)</f>
        <v>0</v>
      </c>
      <c r="V136" s="267">
        <f>IF(GEP!P135="-",IF(GEP!S135="-",,GEP!S135),IF(GEP!S135="-",GEP!P135,GEP!P135+GEP!S135))</f>
        <v>0</v>
      </c>
      <c r="W136" s="427">
        <v>0</v>
      </c>
      <c r="X136" s="427">
        <v>0</v>
      </c>
      <c r="Y136" s="113">
        <f>IF(GEP!L135="-",,GEP!L135)</f>
        <v>0</v>
      </c>
      <c r="Z136" s="113">
        <f>IF(GEP!M135="-",,GEP!M135)</f>
        <v>0</v>
      </c>
      <c r="AA136" s="113">
        <f>IF(GEP!Q135="-",,GEP!Q135)</f>
        <v>0</v>
      </c>
      <c r="AB136" s="113">
        <f>IF(GEP!R135="-",,GEP!R135)</f>
        <v>0</v>
      </c>
      <c r="AC136" s="113">
        <f>IF(GEP!P135="-",,GEP!P135)</f>
        <v>0</v>
      </c>
      <c r="AD136" s="113">
        <f>IF(GEP!S135="-",,GEP!S135)</f>
        <v>0</v>
      </c>
      <c r="AE136" s="149">
        <f t="shared" si="2"/>
        <v>4.54</v>
      </c>
      <c r="AF136" s="149">
        <f t="shared" si="3"/>
        <v>4.54</v>
      </c>
      <c r="AG136" s="106" t="str">
        <f>IF(C136='Table 1.1 complete'!A132,AE136-'Table 1.1 complete'!E132,"error")</f>
        <v>error</v>
      </c>
      <c r="AH136" s="113" t="str">
        <f>IF(C136='Table 1.2 complete'!A132,AE136-'Table 1.2 complete'!K132,"error")</f>
        <v>error</v>
      </c>
      <c r="AI136" s="106">
        <f>'Table 1.2 complete'!K132-'Table 1.1 complete'!E132</f>
        <v>4.0000000000000036E-2</v>
      </c>
    </row>
    <row r="137" spans="3:35" x14ac:dyDescent="0.25">
      <c r="C137" s="174" t="str">
        <f>GEP_add1!P138</f>
        <v>Togo</v>
      </c>
      <c r="D137" s="205">
        <f>GEP_add1!Q138</f>
        <v>61</v>
      </c>
      <c r="E137" s="174" t="str">
        <f>GEP_add1!R138</f>
        <v>ROW</v>
      </c>
      <c r="F137" s="134">
        <f>GEP_add1!S138</f>
        <v>17</v>
      </c>
      <c r="G137" s="267">
        <f>IF(GEP!F136="-",,GEP!F136)</f>
        <v>0</v>
      </c>
      <c r="H137" s="322">
        <f>IF(GEP!G136="-",,GEP!G136/2)</f>
        <v>8.5549999999999997</v>
      </c>
      <c r="I137" s="322">
        <f>IF(GEP!G136="-",,GEP!G136/2)</f>
        <v>8.5549999999999997</v>
      </c>
      <c r="J137" s="267">
        <f>IF(GEP!H136="-",,GEP!H136)</f>
        <v>0</v>
      </c>
      <c r="K137" s="321">
        <f>IF(GEP!I136="-",,GEP!I136/2)</f>
        <v>0</v>
      </c>
      <c r="L137" s="321">
        <f>IF(GEP!I136="-",,GEP!I136/2)</f>
        <v>0</v>
      </c>
      <c r="M137" s="113">
        <f>IF(GEP!J136="-",,GEP!J136/2)</f>
        <v>0</v>
      </c>
      <c r="N137" s="113">
        <f>IF(GEP!J136="-",,GEP!J136/2)</f>
        <v>0</v>
      </c>
      <c r="O137" s="267">
        <f>IF(GEP!K136="-",,GEP!K136)</f>
        <v>0</v>
      </c>
      <c r="P137" s="445">
        <f>IF(GEP!N136="-",,GEP!N136/3)</f>
        <v>0</v>
      </c>
      <c r="Q137" s="445">
        <f>IF(GEP!N136="-",,GEP!N136/3)</f>
        <v>0</v>
      </c>
      <c r="R137" s="445">
        <f>IF(GEP!N136="-",,GEP!N136/3)</f>
        <v>0</v>
      </c>
      <c r="S137" s="449">
        <f>IF(GEP!O136="-",,GEP!O136/3)</f>
        <v>0.12666666666666668</v>
      </c>
      <c r="T137" s="449">
        <f>IF(GEP!O136="-",,GEP!O136/3)</f>
        <v>0.12666666666666668</v>
      </c>
      <c r="U137" s="449">
        <f>IF(GEP!O136="-",,GEP!O136/3)</f>
        <v>0.12666666666666668</v>
      </c>
      <c r="V137" s="267">
        <f>IF(GEP!P136="-",IF(GEP!S136="-",,GEP!S136),IF(GEP!S136="-",GEP!P136,GEP!P136+GEP!S136))</f>
        <v>0</v>
      </c>
      <c r="W137" s="427">
        <v>0</v>
      </c>
      <c r="X137" s="427">
        <v>0</v>
      </c>
      <c r="Y137" s="113">
        <f>IF(GEP!L136="-",,GEP!L136)</f>
        <v>0</v>
      </c>
      <c r="Z137" s="113">
        <f>IF(GEP!M136="-",,GEP!M136)</f>
        <v>0</v>
      </c>
      <c r="AA137" s="113">
        <f>IF(GEP!Q136="-",,GEP!Q136)</f>
        <v>0</v>
      </c>
      <c r="AB137" s="113">
        <f>IF(GEP!R136="-",,GEP!R136)</f>
        <v>0</v>
      </c>
      <c r="AC137" s="113">
        <f>IF(GEP!P136="-",,GEP!P136)</f>
        <v>0</v>
      </c>
      <c r="AD137" s="113">
        <f>IF(GEP!S136="-",,GEP!S136)</f>
        <v>0</v>
      </c>
      <c r="AE137" s="149">
        <f t="shared" si="2"/>
        <v>17.489999999999995</v>
      </c>
      <c r="AF137" s="149">
        <f t="shared" si="3"/>
        <v>17.489999999999995</v>
      </c>
      <c r="AG137" s="106" t="str">
        <f>IF(C137='Table 1.1 complete'!A133,AE137-'Table 1.1 complete'!E133,"error")</f>
        <v>error</v>
      </c>
      <c r="AH137" s="113" t="str">
        <f>IF(C137='Table 1.2 complete'!A133,AE137-'Table 1.2 complete'!K133,"error")</f>
        <v>error</v>
      </c>
      <c r="AI137" s="106">
        <f>'Table 1.2 complete'!K133-'Table 1.1 complete'!E133</f>
        <v>-1.0000000000001563E-2</v>
      </c>
    </row>
    <row r="138" spans="3:35" x14ac:dyDescent="0.25">
      <c r="C138" s="174" t="str">
        <f>GEP_add1!P139</f>
        <v>Trinidad and T.</v>
      </c>
      <c r="D138" s="205">
        <f>GEP_add1!Q139</f>
        <v>86</v>
      </c>
      <c r="E138" s="174" t="str">
        <f>GEP_add1!R139</f>
        <v>ROW</v>
      </c>
      <c r="F138" s="134">
        <f>GEP_add1!S139</f>
        <v>17</v>
      </c>
      <c r="G138" s="267">
        <f>IF(GEP!F137="-",,GEP!F137)</f>
        <v>0</v>
      </c>
      <c r="H138" s="322">
        <f>IF(GEP!G137="-",,GEP!G137/2)</f>
        <v>4.0549999999999997</v>
      </c>
      <c r="I138" s="322">
        <f>IF(GEP!G137="-",,GEP!G137/2)</f>
        <v>4.0549999999999997</v>
      </c>
      <c r="J138" s="267">
        <f>IF(GEP!H137="-",,GEP!H137)</f>
        <v>0</v>
      </c>
      <c r="K138" s="321">
        <f>IF(GEP!I137="-",,GEP!I137/2)</f>
        <v>0</v>
      </c>
      <c r="L138" s="321">
        <f>IF(GEP!I137="-",,GEP!I137/2)</f>
        <v>0</v>
      </c>
      <c r="M138" s="113">
        <f>IF(GEP!J137="-",,GEP!J137/2)</f>
        <v>6.19</v>
      </c>
      <c r="N138" s="113">
        <f>IF(GEP!J137="-",,GEP!J137/2)</f>
        <v>6.19</v>
      </c>
      <c r="O138" s="267">
        <f>IF(GEP!K137="-",,GEP!K137)</f>
        <v>18.3</v>
      </c>
      <c r="P138" s="445">
        <f>IF(GEP!N137="-",,GEP!N137/3)</f>
        <v>1.2833333333333334</v>
      </c>
      <c r="Q138" s="445">
        <f>IF(GEP!N137="-",,GEP!N137/3)</f>
        <v>1.2833333333333334</v>
      </c>
      <c r="R138" s="445">
        <f>IF(GEP!N137="-",,GEP!N137/3)</f>
        <v>1.2833333333333334</v>
      </c>
      <c r="S138" s="449">
        <f>IF(GEP!O137="-",,GEP!O137/3)</f>
        <v>32.18</v>
      </c>
      <c r="T138" s="449">
        <f>IF(GEP!O137="-",,GEP!O137/3)</f>
        <v>32.18</v>
      </c>
      <c r="U138" s="449">
        <f>IF(GEP!O137="-",,GEP!O137/3)</f>
        <v>32.18</v>
      </c>
      <c r="V138" s="267">
        <f>IF(GEP!P137="-",IF(GEP!S137="-",,GEP!S137),IF(GEP!S137="-",GEP!P137,GEP!P137+GEP!S137))</f>
        <v>4.1899999999999995</v>
      </c>
      <c r="W138" s="427">
        <v>0</v>
      </c>
      <c r="X138" s="427">
        <v>0</v>
      </c>
      <c r="Y138" s="113">
        <f>IF(GEP!L137="-",,GEP!L137)</f>
        <v>0</v>
      </c>
      <c r="Z138" s="113">
        <f>IF(GEP!M137="-",,GEP!M137)</f>
        <v>0</v>
      </c>
      <c r="AA138" s="113">
        <f>IF(GEP!Q137="-",,GEP!Q137)</f>
        <v>0</v>
      </c>
      <c r="AB138" s="113">
        <f>IF(GEP!R137="-",,GEP!R137)</f>
        <v>0</v>
      </c>
      <c r="AC138" s="113">
        <f>IF(GEP!P137="-",,GEP!P137)</f>
        <v>4.18</v>
      </c>
      <c r="AD138" s="113">
        <f>IF(GEP!S137="-",,GEP!S137)</f>
        <v>0.01</v>
      </c>
      <c r="AE138" s="149">
        <f t="shared" si="2"/>
        <v>143.37</v>
      </c>
      <c r="AF138" s="149">
        <f t="shared" si="3"/>
        <v>143.37</v>
      </c>
      <c r="AG138" s="106" t="str">
        <f>IF(C138='Table 1.1 complete'!A134,AE138-'Table 1.1 complete'!E134,"error")</f>
        <v>error</v>
      </c>
      <c r="AH138" s="113" t="str">
        <f>IF(C138='Table 1.2 complete'!A134,AE138-'Table 1.2 complete'!K134,"error")</f>
        <v>error</v>
      </c>
      <c r="AI138" s="106">
        <f>'Table 1.2 complete'!K134-'Table 1.1 complete'!E134</f>
        <v>-2.0000000000010232E-2</v>
      </c>
    </row>
    <row r="139" spans="3:35" x14ac:dyDescent="0.25">
      <c r="C139" s="174" t="str">
        <f>GEP_add1!P140</f>
        <v>Turkey</v>
      </c>
      <c r="D139" s="205">
        <f>GEP_add1!Q140</f>
        <v>31</v>
      </c>
      <c r="E139" s="174" t="str">
        <f>GEP_add1!R140</f>
        <v>ROW</v>
      </c>
      <c r="F139" s="134">
        <f>GEP_add1!S140</f>
        <v>17</v>
      </c>
      <c r="G139" s="267">
        <f>IF(GEP!F138="-",,GEP!F138)</f>
        <v>0</v>
      </c>
      <c r="H139" s="322">
        <f>IF(GEP!G138="-",,GEP!G138/2)</f>
        <v>4.4999999999999998E-2</v>
      </c>
      <c r="I139" s="322">
        <f>IF(GEP!G138="-",,GEP!G138/2)</f>
        <v>4.4999999999999998E-2</v>
      </c>
      <c r="J139" s="267">
        <f>IF(GEP!H138="-",,GEP!H138)</f>
        <v>0</v>
      </c>
      <c r="K139" s="321">
        <f>IF(GEP!I138="-",,GEP!I138/2)</f>
        <v>0</v>
      </c>
      <c r="L139" s="321">
        <f>IF(GEP!I138="-",,GEP!I138/2)</f>
        <v>0</v>
      </c>
      <c r="M139" s="113">
        <f>IF(GEP!J138="-",,GEP!J138/2)</f>
        <v>0</v>
      </c>
      <c r="N139" s="113">
        <f>IF(GEP!J138="-",,GEP!J138/2)</f>
        <v>0</v>
      </c>
      <c r="O139" s="267">
        <f>IF(GEP!K138="-",,GEP!K138)</f>
        <v>0</v>
      </c>
      <c r="P139" s="445">
        <f>IF(GEP!N138="-",,GEP!N138/3)</f>
        <v>0.03</v>
      </c>
      <c r="Q139" s="445">
        <f>IF(GEP!N138="-",,GEP!N138/3)</f>
        <v>0.03</v>
      </c>
      <c r="R139" s="445">
        <f>IF(GEP!N138="-",,GEP!N138/3)</f>
        <v>0.03</v>
      </c>
      <c r="S139" s="449">
        <f>IF(GEP!O138="-",,GEP!O138/3)</f>
        <v>0</v>
      </c>
      <c r="T139" s="449">
        <f>IF(GEP!O138="-",,GEP!O138/3)</f>
        <v>0</v>
      </c>
      <c r="U139" s="449">
        <f>IF(GEP!O138="-",,GEP!O138/3)</f>
        <v>0</v>
      </c>
      <c r="V139" s="267">
        <f>IF(GEP!P138="-",IF(GEP!S138="-",,GEP!S138),IF(GEP!S138="-",GEP!P138,GEP!P138+GEP!S138))</f>
        <v>0.01</v>
      </c>
      <c r="W139" s="427">
        <v>0</v>
      </c>
      <c r="X139" s="427">
        <v>0</v>
      </c>
      <c r="Y139" s="113">
        <f>IF(GEP!L138="-",,GEP!L138)</f>
        <v>0</v>
      </c>
      <c r="Z139" s="113">
        <f>IF(GEP!M138="-",,GEP!M138)</f>
        <v>0</v>
      </c>
      <c r="AA139" s="113">
        <f>IF(GEP!Q138="-",,GEP!Q138)</f>
        <v>0</v>
      </c>
      <c r="AB139" s="113">
        <f>IF(GEP!R138="-",,GEP!R138)</f>
        <v>0</v>
      </c>
      <c r="AC139" s="113">
        <f>IF(GEP!P138="-",,GEP!P138)</f>
        <v>0.01</v>
      </c>
      <c r="AD139" s="113">
        <f>IF(GEP!S138="-",,GEP!S138)</f>
        <v>0</v>
      </c>
      <c r="AE139" s="149">
        <f t="shared" ref="AE139:AE164" si="4">SUM(G139:AB139)</f>
        <v>0.19</v>
      </c>
      <c r="AF139" s="149">
        <f t="shared" ref="AF139:AF164" si="5">SUM(G139:V139)</f>
        <v>0.19</v>
      </c>
      <c r="AG139" s="106" t="str">
        <f>IF(C139='Table 1.1 complete'!A135,AE139-'Table 1.1 complete'!E135,"error")</f>
        <v>error</v>
      </c>
      <c r="AH139" s="113" t="str">
        <f>IF(C139='Table 1.2 complete'!A135,AE139-'Table 1.2 complete'!K135,"error")</f>
        <v>error</v>
      </c>
      <c r="AI139" s="106">
        <f>'Table 1.2 complete'!K135-'Table 1.1 complete'!E135</f>
        <v>0</v>
      </c>
    </row>
    <row r="140" spans="3:35" x14ac:dyDescent="0.25">
      <c r="C140" s="174" t="str">
        <f>GEP_add1!P141</f>
        <v>Turkmenistan</v>
      </c>
      <c r="D140" s="205">
        <f>GEP_add1!Q141</f>
        <v>137</v>
      </c>
      <c r="E140" s="174" t="str">
        <f>GEP_add1!R141</f>
        <v>ROW</v>
      </c>
      <c r="F140" s="134">
        <f>GEP_add1!S141</f>
        <v>17</v>
      </c>
      <c r="G140" s="267">
        <f>IF(GEP!F139="-",,GEP!F139)</f>
        <v>0</v>
      </c>
      <c r="H140" s="322">
        <f>IF(GEP!G139="-",,GEP!G139/2)</f>
        <v>0</v>
      </c>
      <c r="I140" s="322">
        <f>IF(GEP!G139="-",,GEP!G139/2)</f>
        <v>0</v>
      </c>
      <c r="J140" s="267">
        <f>IF(GEP!H139="-",,GEP!H139)</f>
        <v>0</v>
      </c>
      <c r="K140" s="321">
        <f>IF(GEP!I139="-",,GEP!I139/2)</f>
        <v>0</v>
      </c>
      <c r="L140" s="321">
        <f>IF(GEP!I139="-",,GEP!I139/2)</f>
        <v>0</v>
      </c>
      <c r="M140" s="113">
        <f>IF(GEP!J139="-",,GEP!J139/2)</f>
        <v>0</v>
      </c>
      <c r="N140" s="113">
        <f>IF(GEP!J139="-",,GEP!J139/2)</f>
        <v>0</v>
      </c>
      <c r="O140" s="267">
        <f>IF(GEP!K139="-",,GEP!K139)</f>
        <v>0</v>
      </c>
      <c r="P140" s="445">
        <f>IF(GEP!N139="-",,GEP!N139/3)</f>
        <v>6.6666666666666671E-3</v>
      </c>
      <c r="Q140" s="445">
        <f>IF(GEP!N139="-",,GEP!N139/3)</f>
        <v>6.6666666666666671E-3</v>
      </c>
      <c r="R140" s="445">
        <f>IF(GEP!N139="-",,GEP!N139/3)</f>
        <v>6.6666666666666671E-3</v>
      </c>
      <c r="S140" s="449">
        <f>IF(GEP!O139="-",,GEP!O139/3)</f>
        <v>2.5433333333333334</v>
      </c>
      <c r="T140" s="449">
        <f>IF(GEP!O139="-",,GEP!O139/3)</f>
        <v>2.5433333333333334</v>
      </c>
      <c r="U140" s="449">
        <f>IF(GEP!O139="-",,GEP!O139/3)</f>
        <v>2.5433333333333334</v>
      </c>
      <c r="V140" s="267">
        <f>IF(GEP!P139="-",IF(GEP!S139="-",,GEP!S139),IF(GEP!S139="-",GEP!P139,GEP!P139+GEP!S139))</f>
        <v>0.01</v>
      </c>
      <c r="W140" s="427">
        <v>0</v>
      </c>
      <c r="X140" s="427">
        <v>0</v>
      </c>
      <c r="Y140" s="113">
        <f>IF(GEP!L139="-",,GEP!L139)</f>
        <v>0</v>
      </c>
      <c r="Z140" s="113">
        <f>IF(GEP!M139="-",,GEP!M139)</f>
        <v>0</v>
      </c>
      <c r="AA140" s="113">
        <f>IF(GEP!Q139="-",,GEP!Q139)</f>
        <v>0</v>
      </c>
      <c r="AB140" s="113">
        <f>IF(GEP!R139="-",,GEP!R139)</f>
        <v>0</v>
      </c>
      <c r="AC140" s="113">
        <f>IF(GEP!P139="-",,GEP!P139)</f>
        <v>0.01</v>
      </c>
      <c r="AD140" s="113">
        <f>IF(GEP!S139="-",,GEP!S139)</f>
        <v>0</v>
      </c>
      <c r="AE140" s="149">
        <f t="shared" si="4"/>
        <v>7.66</v>
      </c>
      <c r="AF140" s="149">
        <f t="shared" si="5"/>
        <v>7.66</v>
      </c>
      <c r="AG140" s="106" t="str">
        <f>IF(C140='Table 1.1 complete'!A136,AE140-'Table 1.1 complete'!E136,"error")</f>
        <v>error</v>
      </c>
      <c r="AH140" s="113" t="str">
        <f>IF(C140='Table 1.2 complete'!A136,AE140-'Table 1.2 complete'!K136,"error")</f>
        <v>error</v>
      </c>
      <c r="AI140" s="106">
        <f>'Table 1.2 complete'!K136-'Table 1.1 complete'!E136</f>
        <v>-4.0000000000000036E-2</v>
      </c>
    </row>
    <row r="141" spans="3:35" x14ac:dyDescent="0.25">
      <c r="C141" s="174" t="str">
        <f>GEP_add1!P142</f>
        <v>Ukraine</v>
      </c>
      <c r="D141" s="205">
        <f>GEP_add1!Q142</f>
        <v>138</v>
      </c>
      <c r="E141" s="174" t="str">
        <f>GEP_add1!R142</f>
        <v>ROW</v>
      </c>
      <c r="F141" s="134">
        <f>GEP_add1!S142</f>
        <v>17</v>
      </c>
      <c r="G141" s="267">
        <f>IF(GEP!F140="-",,GEP!F140)</f>
        <v>0</v>
      </c>
      <c r="H141" s="322">
        <f>IF(GEP!G140="-",,GEP!G140/2)</f>
        <v>17.925000000000001</v>
      </c>
      <c r="I141" s="322">
        <f>IF(GEP!G140="-",,GEP!G140/2)</f>
        <v>17.925000000000001</v>
      </c>
      <c r="J141" s="267">
        <f>IF(GEP!H140="-",,GEP!H140)</f>
        <v>0.16</v>
      </c>
      <c r="K141" s="321">
        <f>IF(GEP!I140="-",,GEP!I140/2)</f>
        <v>0.18</v>
      </c>
      <c r="L141" s="321">
        <f>IF(GEP!I140="-",,GEP!I140/2)</f>
        <v>0.18</v>
      </c>
      <c r="M141" s="113">
        <f>IF(GEP!J140="-",,GEP!J140/2)</f>
        <v>7.02</v>
      </c>
      <c r="N141" s="113">
        <f>IF(GEP!J140="-",,GEP!J140/2)</f>
        <v>7.02</v>
      </c>
      <c r="O141" s="267">
        <f>IF(GEP!K140="-",,GEP!K140)</f>
        <v>38.29</v>
      </c>
      <c r="P141" s="445">
        <f>IF(GEP!N140="-",,GEP!N140/3)</f>
        <v>2.1766666666666667</v>
      </c>
      <c r="Q141" s="445">
        <f>IF(GEP!N140="-",,GEP!N140/3)</f>
        <v>2.1766666666666667</v>
      </c>
      <c r="R141" s="445">
        <f>IF(GEP!N140="-",,GEP!N140/3)</f>
        <v>2.1766666666666667</v>
      </c>
      <c r="S141" s="449">
        <f>IF(GEP!O140="-",,GEP!O140/3)</f>
        <v>31.676666666666666</v>
      </c>
      <c r="T141" s="449">
        <f>IF(GEP!O140="-",,GEP!O140/3)</f>
        <v>31.676666666666666</v>
      </c>
      <c r="U141" s="449">
        <f>IF(GEP!O140="-",,GEP!O140/3)</f>
        <v>31.676666666666666</v>
      </c>
      <c r="V141" s="267">
        <f>IF(GEP!P140="-",IF(GEP!S140="-",,GEP!S140),IF(GEP!S140="-",GEP!P140,GEP!P140+GEP!S140))</f>
        <v>0.1</v>
      </c>
      <c r="W141" s="427">
        <v>0</v>
      </c>
      <c r="X141" s="427">
        <v>0</v>
      </c>
      <c r="Y141" s="113">
        <f>IF(GEP!L140="-",,GEP!L140)</f>
        <v>0</v>
      </c>
      <c r="Z141" s="113">
        <f>IF(GEP!M140="-",,GEP!M140)</f>
        <v>1.1000000000000001</v>
      </c>
      <c r="AA141" s="113">
        <f>IF(GEP!Q140="-",,GEP!Q140)</f>
        <v>0.12</v>
      </c>
      <c r="AB141" s="113">
        <f>IF(GEP!R140="-",,GEP!R140)</f>
        <v>0</v>
      </c>
      <c r="AC141" s="113">
        <f>IF(GEP!P140="-",,GEP!P140)</f>
        <v>0.03</v>
      </c>
      <c r="AD141" s="113">
        <f>IF(GEP!S140="-",,GEP!S140)</f>
        <v>7.0000000000000007E-2</v>
      </c>
      <c r="AE141" s="149">
        <f t="shared" si="4"/>
        <v>191.57999999999998</v>
      </c>
      <c r="AF141" s="149">
        <f t="shared" si="5"/>
        <v>190.35999999999999</v>
      </c>
      <c r="AG141" s="106" t="str">
        <f>IF(C141='Table 1.1 complete'!A137,AE141-'Table 1.1 complete'!E137,"error")</f>
        <v>error</v>
      </c>
      <c r="AH141" s="113" t="str">
        <f>IF(C141='Table 1.2 complete'!A137,AE141-'Table 1.2 complete'!K137,"error")</f>
        <v>error</v>
      </c>
      <c r="AI141" s="106">
        <f>'Table 1.2 complete'!K137-'Table 1.1 complete'!E137</f>
        <v>-3.9999999999992042E-2</v>
      </c>
    </row>
    <row r="142" spans="3:35" x14ac:dyDescent="0.25">
      <c r="C142" s="174" t="str">
        <f>GEP_add1!P143</f>
        <v>UR of Tanzania</v>
      </c>
      <c r="D142" s="205">
        <f>GEP_add1!Q143</f>
        <v>60</v>
      </c>
      <c r="E142" s="174" t="str">
        <f>GEP_add1!R143</f>
        <v>ROW</v>
      </c>
      <c r="F142" s="134">
        <f>GEP_add1!S143</f>
        <v>17</v>
      </c>
      <c r="G142" s="267">
        <f>IF(GEP!F141="-",,GEP!F141)</f>
        <v>0</v>
      </c>
      <c r="H142" s="322">
        <f>IF(GEP!G141="-",,GEP!G141/2)</f>
        <v>0</v>
      </c>
      <c r="I142" s="322">
        <f>IF(GEP!G141="-",,GEP!G141/2)</f>
        <v>0</v>
      </c>
      <c r="J142" s="267">
        <f>IF(GEP!H141="-",,GEP!H141)</f>
        <v>0</v>
      </c>
      <c r="K142" s="321">
        <f>IF(GEP!I141="-",,GEP!I141/2)</f>
        <v>0</v>
      </c>
      <c r="L142" s="321">
        <f>IF(GEP!I141="-",,GEP!I141/2)</f>
        <v>0</v>
      </c>
      <c r="M142" s="113">
        <f>IF(GEP!J141="-",,GEP!J141/2)</f>
        <v>0</v>
      </c>
      <c r="N142" s="113">
        <f>IF(GEP!J141="-",,GEP!J141/2)</f>
        <v>0</v>
      </c>
      <c r="O142" s="267">
        <f>IF(GEP!K141="-",,GEP!K141)</f>
        <v>0</v>
      </c>
      <c r="P142" s="445">
        <f>IF(GEP!N141="-",,GEP!N141/3)</f>
        <v>0</v>
      </c>
      <c r="Q142" s="445">
        <f>IF(GEP!N141="-",,GEP!N141/3)</f>
        <v>0</v>
      </c>
      <c r="R142" s="445">
        <f>IF(GEP!N141="-",,GEP!N141/3)</f>
        <v>0</v>
      </c>
      <c r="S142" s="449">
        <f>IF(GEP!O141="-",,GEP!O141/3)</f>
        <v>4.96</v>
      </c>
      <c r="T142" s="449">
        <f>IF(GEP!O141="-",,GEP!O141/3)</f>
        <v>4.96</v>
      </c>
      <c r="U142" s="449">
        <f>IF(GEP!O141="-",,GEP!O141/3)</f>
        <v>4.96</v>
      </c>
      <c r="V142" s="267">
        <f>IF(GEP!P141="-",IF(GEP!S141="-",,GEP!S141),IF(GEP!S141="-",GEP!P141,GEP!P141+GEP!S141))</f>
        <v>0</v>
      </c>
      <c r="W142" s="427">
        <v>0</v>
      </c>
      <c r="X142" s="427">
        <v>0</v>
      </c>
      <c r="Y142" s="113">
        <f>IF(GEP!L141="-",,GEP!L141)</f>
        <v>0</v>
      </c>
      <c r="Z142" s="113">
        <f>IF(GEP!M141="-",,GEP!M141)</f>
        <v>0</v>
      </c>
      <c r="AA142" s="113">
        <f>IF(GEP!Q141="-",,GEP!Q141)</f>
        <v>0</v>
      </c>
      <c r="AB142" s="113">
        <f>IF(GEP!R141="-",,GEP!R141)</f>
        <v>0</v>
      </c>
      <c r="AC142" s="113">
        <f>IF(GEP!P141="-",,GEP!P141)</f>
        <v>0</v>
      </c>
      <c r="AD142" s="113">
        <f>IF(GEP!S141="-",,GEP!S141)</f>
        <v>0</v>
      </c>
      <c r="AE142" s="149">
        <f t="shared" si="4"/>
        <v>14.879999999999999</v>
      </c>
      <c r="AF142" s="149">
        <f t="shared" si="5"/>
        <v>14.879999999999999</v>
      </c>
      <c r="AG142" s="106" t="str">
        <f>IF(C142='Table 1.1 complete'!A138,AE142-'Table 1.1 complete'!E138,"error")</f>
        <v>error</v>
      </c>
      <c r="AH142" s="113" t="str">
        <f>IF(C142='Table 1.2 complete'!A138,AE142-'Table 1.2 complete'!K138,"error")</f>
        <v>error</v>
      </c>
      <c r="AI142" s="106">
        <f>'Table 1.2 complete'!K138-'Table 1.1 complete'!E138</f>
        <v>-1.9999999999999574E-2</v>
      </c>
    </row>
    <row r="143" spans="3:35" x14ac:dyDescent="0.25">
      <c r="C143" s="174" t="str">
        <f>GEP_add1!P144</f>
        <v>Uruguay</v>
      </c>
      <c r="D143" s="205">
        <f>GEP_add1!Q144</f>
        <v>87</v>
      </c>
      <c r="E143" s="174" t="str">
        <f>GEP_add1!R144</f>
        <v>ROW</v>
      </c>
      <c r="F143" s="134">
        <f>GEP_add1!S144</f>
        <v>17</v>
      </c>
      <c r="G143" s="267">
        <f>IF(GEP!F142="-",,GEP!F142)</f>
        <v>92.54</v>
      </c>
      <c r="H143" s="322">
        <f>IF(GEP!G142="-",,GEP!G142/2)</f>
        <v>5.13</v>
      </c>
      <c r="I143" s="322">
        <f>IF(GEP!G142="-",,GEP!G142/2)</f>
        <v>5.13</v>
      </c>
      <c r="J143" s="267">
        <f>IF(GEP!H142="-",,GEP!H142)</f>
        <v>0</v>
      </c>
      <c r="K143" s="321">
        <f>IF(GEP!I142="-",,GEP!I142/2)</f>
        <v>2.5000000000000001E-2</v>
      </c>
      <c r="L143" s="321">
        <f>IF(GEP!I142="-",,GEP!I142/2)</f>
        <v>2.5000000000000001E-2</v>
      </c>
      <c r="M143" s="113">
        <f>IF(GEP!J142="-",,GEP!J142/2)</f>
        <v>31.734999999999999</v>
      </c>
      <c r="N143" s="113">
        <f>IF(GEP!J142="-",,GEP!J142/2)</f>
        <v>31.734999999999999</v>
      </c>
      <c r="O143" s="267">
        <f>IF(GEP!K142="-",,GEP!K142)</f>
        <v>0.24</v>
      </c>
      <c r="P143" s="445">
        <f>IF(GEP!N142="-",,GEP!N142/3)</f>
        <v>0.25333333333333335</v>
      </c>
      <c r="Q143" s="445">
        <f>IF(GEP!N142="-",,GEP!N142/3)</f>
        <v>0.25333333333333335</v>
      </c>
      <c r="R143" s="445">
        <f>IF(GEP!N142="-",,GEP!N142/3)</f>
        <v>0.25333333333333335</v>
      </c>
      <c r="S143" s="449">
        <f>IF(GEP!O142="-",,GEP!O142/3)</f>
        <v>8.5166666666666675</v>
      </c>
      <c r="T143" s="449">
        <f>IF(GEP!O142="-",,GEP!O142/3)</f>
        <v>8.5166666666666675</v>
      </c>
      <c r="U143" s="449">
        <f>IF(GEP!O142="-",,GEP!O142/3)</f>
        <v>8.5166666666666675</v>
      </c>
      <c r="V143" s="267">
        <f>IF(GEP!P142="-",IF(GEP!S142="-",,GEP!S142),IF(GEP!S142="-",GEP!P142,GEP!P142+GEP!S142))</f>
        <v>0</v>
      </c>
      <c r="W143" s="427">
        <v>0</v>
      </c>
      <c r="X143" s="427">
        <v>0</v>
      </c>
      <c r="Y143" s="113">
        <f>IF(GEP!L142="-",,GEP!L142)</f>
        <v>0</v>
      </c>
      <c r="Z143" s="113">
        <f>IF(GEP!M142="-",,GEP!M142)</f>
        <v>3.39</v>
      </c>
      <c r="AA143" s="113">
        <f>IF(GEP!Q142="-",,GEP!Q142)</f>
        <v>0</v>
      </c>
      <c r="AB143" s="113">
        <f>IF(GEP!R142="-",,GEP!R142)</f>
        <v>0</v>
      </c>
      <c r="AC143" s="113">
        <f>IF(GEP!P142="-",,GEP!P142)</f>
        <v>0</v>
      </c>
      <c r="AD143" s="113">
        <f>IF(GEP!S142="-",,GEP!S142)</f>
        <v>0</v>
      </c>
      <c r="AE143" s="149">
        <f t="shared" si="4"/>
        <v>196.26000000000002</v>
      </c>
      <c r="AF143" s="149">
        <f t="shared" si="5"/>
        <v>192.87000000000003</v>
      </c>
      <c r="AG143" s="106" t="str">
        <f>IF(C143='Table 1.1 complete'!A139,AE143-'Table 1.1 complete'!E139,"error")</f>
        <v>error</v>
      </c>
      <c r="AH143" s="113" t="str">
        <f>IF(C143='Table 1.2 complete'!A139,AE143-'Table 1.2 complete'!K139,"error")</f>
        <v>error</v>
      </c>
      <c r="AI143" s="106">
        <f>'Table 1.2 complete'!K139-'Table 1.1 complete'!E139</f>
        <v>-5.0000000000011369E-2</v>
      </c>
    </row>
    <row r="144" spans="3:35" x14ac:dyDescent="0.25">
      <c r="C144" s="174" t="str">
        <f>GEP_add1!P145</f>
        <v>Uzbekistan</v>
      </c>
      <c r="D144" s="205">
        <f>GEP_add1!Q145</f>
        <v>139</v>
      </c>
      <c r="E144" s="174" t="str">
        <f>GEP_add1!R145</f>
        <v>ROW</v>
      </c>
      <c r="F144" s="134">
        <f>GEP_add1!S145</f>
        <v>17</v>
      </c>
      <c r="G144" s="267">
        <f>IF(GEP!F143="-",,GEP!F143)</f>
        <v>0</v>
      </c>
      <c r="H144" s="322">
        <f>IF(GEP!G143="-",,GEP!G143/2)</f>
        <v>1.2549999999999999</v>
      </c>
      <c r="I144" s="322">
        <f>IF(GEP!G143="-",,GEP!G143/2)</f>
        <v>1.2549999999999999</v>
      </c>
      <c r="J144" s="267">
        <f>IF(GEP!H143="-",,GEP!H143)</f>
        <v>0</v>
      </c>
      <c r="K144" s="321">
        <f>IF(GEP!I143="-",,GEP!I143/2)</f>
        <v>0</v>
      </c>
      <c r="L144" s="321">
        <f>IF(GEP!I143="-",,GEP!I143/2)</f>
        <v>0</v>
      </c>
      <c r="M144" s="113">
        <f>IF(GEP!J143="-",,GEP!J143/2)</f>
        <v>5.5E-2</v>
      </c>
      <c r="N144" s="113">
        <f>IF(GEP!J143="-",,GEP!J143/2)</f>
        <v>5.5E-2</v>
      </c>
      <c r="O144" s="267">
        <f>IF(GEP!K143="-",,GEP!K143)</f>
        <v>0</v>
      </c>
      <c r="P144" s="445">
        <f>IF(GEP!N143="-",,GEP!N143/3)</f>
        <v>1.3333333333333334E-2</v>
      </c>
      <c r="Q144" s="445">
        <f>IF(GEP!N143="-",,GEP!N143/3)</f>
        <v>1.3333333333333334E-2</v>
      </c>
      <c r="R144" s="445">
        <f>IF(GEP!N143="-",,GEP!N143/3)</f>
        <v>1.3333333333333334E-2</v>
      </c>
      <c r="S144" s="449">
        <f>IF(GEP!O143="-",,GEP!O143/3)</f>
        <v>0.5033333333333333</v>
      </c>
      <c r="T144" s="449">
        <f>IF(GEP!O143="-",,GEP!O143/3)</f>
        <v>0.5033333333333333</v>
      </c>
      <c r="U144" s="449">
        <f>IF(GEP!O143="-",,GEP!O143/3)</f>
        <v>0.5033333333333333</v>
      </c>
      <c r="V144" s="267">
        <f>IF(GEP!P143="-",IF(GEP!S143="-",,GEP!S143),IF(GEP!S143="-",GEP!P143,GEP!P143+GEP!S143))</f>
        <v>0</v>
      </c>
      <c r="W144" s="427">
        <v>0</v>
      </c>
      <c r="X144" s="427">
        <v>0</v>
      </c>
      <c r="Y144" s="113">
        <f>IF(GEP!L143="-",,GEP!L143)</f>
        <v>0</v>
      </c>
      <c r="Z144" s="113">
        <f>IF(GEP!M143="-",,GEP!M143)</f>
        <v>0</v>
      </c>
      <c r="AA144" s="113">
        <f>IF(GEP!Q143="-",,GEP!Q143)</f>
        <v>0</v>
      </c>
      <c r="AB144" s="113">
        <f>IF(GEP!R143="-",,GEP!R143)</f>
        <v>0</v>
      </c>
      <c r="AC144" s="113">
        <f>IF(GEP!P143="-",,GEP!P143)</f>
        <v>0</v>
      </c>
      <c r="AD144" s="113">
        <f>IF(GEP!S143="-",,GEP!S143)</f>
        <v>0</v>
      </c>
      <c r="AE144" s="149">
        <f t="shared" si="4"/>
        <v>4.17</v>
      </c>
      <c r="AF144" s="149">
        <f t="shared" si="5"/>
        <v>4.17</v>
      </c>
      <c r="AG144" s="106" t="str">
        <f>IF(C144='Table 1.1 complete'!A140,AE144-'Table 1.1 complete'!E140,"error")</f>
        <v>error</v>
      </c>
      <c r="AH144" s="113" t="str">
        <f>IF(C144='Table 1.2 complete'!A140,AE144-'Table 1.2 complete'!K140,"error")</f>
        <v>error</v>
      </c>
      <c r="AI144" s="106">
        <f>'Table 1.2 complete'!K140-'Table 1.1 complete'!E140</f>
        <v>-2.0000000000000462E-2</v>
      </c>
    </row>
    <row r="145" spans="1:36" x14ac:dyDescent="0.25">
      <c r="C145" s="174" t="str">
        <f>GEP_add1!P146</f>
        <v>Vietnam</v>
      </c>
      <c r="D145" s="205">
        <f>GEP_add1!Q146</f>
        <v>107</v>
      </c>
      <c r="E145" s="174" t="str">
        <f>GEP_add1!R146</f>
        <v>ROW</v>
      </c>
      <c r="F145" s="134">
        <f>GEP_add1!S146</f>
        <v>17</v>
      </c>
      <c r="G145" s="267">
        <f>IF(GEP!F144="-",,GEP!F144)</f>
        <v>0</v>
      </c>
      <c r="H145" s="322">
        <f>IF(GEP!G144="-",,GEP!G144/2)</f>
        <v>4.0350000000000001</v>
      </c>
      <c r="I145" s="322">
        <f>IF(GEP!G144="-",,GEP!G144/2)</f>
        <v>4.0350000000000001</v>
      </c>
      <c r="J145" s="267">
        <f>IF(GEP!H144="-",,GEP!H144)</f>
        <v>0</v>
      </c>
      <c r="K145" s="321">
        <f>IF(GEP!I144="-",,GEP!I144/2)</f>
        <v>0</v>
      </c>
      <c r="L145" s="321">
        <f>IF(GEP!I144="-",,GEP!I144/2)</f>
        <v>0</v>
      </c>
      <c r="M145" s="113">
        <f>IF(GEP!J144="-",,GEP!J144/2)</f>
        <v>0</v>
      </c>
      <c r="N145" s="113">
        <f>IF(GEP!J144="-",,GEP!J144/2)</f>
        <v>0</v>
      </c>
      <c r="O145" s="267">
        <f>IF(GEP!K144="-",,GEP!K144)</f>
        <v>0</v>
      </c>
      <c r="P145" s="445">
        <f>IF(GEP!N144="-",,GEP!N144/3)</f>
        <v>0.40666666666666668</v>
      </c>
      <c r="Q145" s="445">
        <f>IF(GEP!N144="-",,GEP!N144/3)</f>
        <v>0.40666666666666668</v>
      </c>
      <c r="R145" s="445">
        <f>IF(GEP!N144="-",,GEP!N144/3)</f>
        <v>0.40666666666666668</v>
      </c>
      <c r="S145" s="449">
        <f>IF(GEP!O144="-",,GEP!O144/3)</f>
        <v>0</v>
      </c>
      <c r="T145" s="449">
        <f>IF(GEP!O144="-",,GEP!O144/3)</f>
        <v>0</v>
      </c>
      <c r="U145" s="449">
        <f>IF(GEP!O144="-",,GEP!O144/3)</f>
        <v>0</v>
      </c>
      <c r="V145" s="267">
        <f>IF(GEP!P144="-",IF(GEP!S144="-",,GEP!S144),IF(GEP!S144="-",GEP!P144,GEP!P144+GEP!S144))</f>
        <v>0.13</v>
      </c>
      <c r="W145" s="427">
        <v>0</v>
      </c>
      <c r="X145" s="427">
        <v>0</v>
      </c>
      <c r="Y145" s="113">
        <f>IF(GEP!L144="-",,GEP!L144)</f>
        <v>0</v>
      </c>
      <c r="Z145" s="113">
        <f>IF(GEP!M144="-",,GEP!M144)</f>
        <v>0</v>
      </c>
      <c r="AA145" s="113">
        <f>IF(GEP!Q144="-",,GEP!Q144)</f>
        <v>0</v>
      </c>
      <c r="AB145" s="113">
        <f>IF(GEP!R144="-",,GEP!R144)</f>
        <v>0</v>
      </c>
      <c r="AC145" s="113">
        <f>IF(GEP!P144="-",,GEP!P144)</f>
        <v>0.13</v>
      </c>
      <c r="AD145" s="113">
        <f>IF(GEP!S144="-",,GEP!S144)</f>
        <v>0</v>
      </c>
      <c r="AE145" s="149">
        <f t="shared" si="4"/>
        <v>9.42</v>
      </c>
      <c r="AF145" s="149">
        <f t="shared" si="5"/>
        <v>9.42</v>
      </c>
      <c r="AG145" s="106" t="str">
        <f>IF(C145='Table 1.1 complete'!A141,AE145-'Table 1.1 complete'!E141,"error")</f>
        <v>error</v>
      </c>
      <c r="AH145" s="113" t="str">
        <f>IF(C145='Table 1.2 complete'!A141,AE145-'Table 1.2 complete'!K141,"error")</f>
        <v>error</v>
      </c>
      <c r="AI145" s="106">
        <f>'Table 1.2 complete'!K141-'Table 1.1 complete'!E141</f>
        <v>2.9999999999999361E-2</v>
      </c>
    </row>
    <row r="146" spans="1:36" x14ac:dyDescent="0.25">
      <c r="C146" s="174" t="str">
        <f>GEP_add1!P147</f>
        <v>Zambia</v>
      </c>
      <c r="D146" s="205">
        <f>GEP_add1!Q147</f>
        <v>63</v>
      </c>
      <c r="E146" s="174" t="str">
        <f>GEP_add1!R147</f>
        <v>ROW</v>
      </c>
      <c r="F146" s="134">
        <f>GEP_add1!S147</f>
        <v>17</v>
      </c>
      <c r="G146" s="267">
        <f>IF(GEP!F145="-",,GEP!F145)</f>
        <v>0</v>
      </c>
      <c r="H146" s="322">
        <f>IF(GEP!G145="-",,GEP!G145/2)</f>
        <v>3.2</v>
      </c>
      <c r="I146" s="322">
        <f>IF(GEP!G145="-",,GEP!G145/2)</f>
        <v>3.2</v>
      </c>
      <c r="J146" s="267">
        <f>IF(GEP!H145="-",,GEP!H145)</f>
        <v>0</v>
      </c>
      <c r="K146" s="321">
        <f>IF(GEP!I145="-",,GEP!I145/2)</f>
        <v>0</v>
      </c>
      <c r="L146" s="321">
        <f>IF(GEP!I145="-",,GEP!I145/2)</f>
        <v>0</v>
      </c>
      <c r="M146" s="113">
        <f>IF(GEP!J145="-",,GEP!J145/2)</f>
        <v>0</v>
      </c>
      <c r="N146" s="113">
        <f>IF(GEP!J145="-",,GEP!J145/2)</f>
        <v>0</v>
      </c>
      <c r="O146" s="267">
        <f>IF(GEP!K145="-",,GEP!K145)</f>
        <v>2.44</v>
      </c>
      <c r="P146" s="445">
        <f>IF(GEP!N145="-",,GEP!N145/3)</f>
        <v>1.8433333333333335</v>
      </c>
      <c r="Q146" s="445">
        <f>IF(GEP!N145="-",,GEP!N145/3)</f>
        <v>1.8433333333333335</v>
      </c>
      <c r="R146" s="445">
        <f>IF(GEP!N145="-",,GEP!N145/3)</f>
        <v>1.8433333333333335</v>
      </c>
      <c r="S146" s="449">
        <f>IF(GEP!O145="-",,GEP!O145/3)</f>
        <v>11.526666666666666</v>
      </c>
      <c r="T146" s="449">
        <f>IF(GEP!O145="-",,GEP!O145/3)</f>
        <v>11.526666666666666</v>
      </c>
      <c r="U146" s="449">
        <f>IF(GEP!O145="-",,GEP!O145/3)</f>
        <v>11.526666666666666</v>
      </c>
      <c r="V146" s="267">
        <f>IF(GEP!P145="-",IF(GEP!S145="-",,GEP!S145),IF(GEP!S145="-",GEP!P145,GEP!P145+GEP!S145))</f>
        <v>0</v>
      </c>
      <c r="W146" s="427">
        <v>0</v>
      </c>
      <c r="X146" s="427">
        <v>0</v>
      </c>
      <c r="Y146" s="113">
        <f>IF(GEP!L145="-",,GEP!L145)</f>
        <v>0</v>
      </c>
      <c r="Z146" s="113">
        <f>IF(GEP!M145="-",,GEP!M145)</f>
        <v>0</v>
      </c>
      <c r="AA146" s="113">
        <f>IF(GEP!Q145="-",,GEP!Q145)</f>
        <v>0</v>
      </c>
      <c r="AB146" s="113">
        <f>IF(GEP!R145="-",,GEP!R145)</f>
        <v>0</v>
      </c>
      <c r="AC146" s="113">
        <f>IF(GEP!P145="-",,GEP!P145)</f>
        <v>0</v>
      </c>
      <c r="AD146" s="113">
        <f>IF(GEP!S145="-",,GEP!S145)</f>
        <v>0</v>
      </c>
      <c r="AE146" s="149">
        <f t="shared" si="4"/>
        <v>48.949999999999996</v>
      </c>
      <c r="AF146" s="149">
        <f t="shared" si="5"/>
        <v>48.949999999999996</v>
      </c>
      <c r="AG146" s="106" t="str">
        <f>IF(C146='Table 1.1 complete'!A142,AE146-'Table 1.1 complete'!E142,"error")</f>
        <v>error</v>
      </c>
      <c r="AH146" s="113" t="str">
        <f>IF(C146='Table 1.2 complete'!A142,AE146-'Table 1.2 complete'!K142,"error")</f>
        <v>error</v>
      </c>
      <c r="AI146" s="106">
        <f>'Table 1.2 complete'!K142-'Table 1.1 complete'!E142</f>
        <v>-4.9999999999997158E-2</v>
      </c>
    </row>
    <row r="147" spans="1:36" x14ac:dyDescent="0.25">
      <c r="C147" s="174" t="str">
        <f>GEP_add1!P148</f>
        <v>Zimbabwe</v>
      </c>
      <c r="D147" s="205">
        <f>GEP_add1!Q148</f>
        <v>64</v>
      </c>
      <c r="E147" s="174" t="str">
        <f>GEP_add1!R148</f>
        <v>ROW</v>
      </c>
      <c r="F147" s="134">
        <f>GEP_add1!S148</f>
        <v>17</v>
      </c>
      <c r="G147" s="267">
        <f>IF(GEP!F146="-",,GEP!F146)</f>
        <v>0</v>
      </c>
      <c r="H147" s="322">
        <f>IF(GEP!G146="-",,GEP!G146/2)</f>
        <v>14.94</v>
      </c>
      <c r="I147" s="322">
        <f>IF(GEP!G146="-",,GEP!G146/2)</f>
        <v>14.94</v>
      </c>
      <c r="J147" s="267">
        <f>IF(GEP!H146="-",,GEP!H146)</f>
        <v>0</v>
      </c>
      <c r="K147" s="321">
        <f>IF(GEP!I146="-",,GEP!I146/2)</f>
        <v>0</v>
      </c>
      <c r="L147" s="321">
        <f>IF(GEP!I146="-",,GEP!I146/2)</f>
        <v>0</v>
      </c>
      <c r="M147" s="113">
        <f>IF(GEP!J146="-",,GEP!J146/2)</f>
        <v>7.42</v>
      </c>
      <c r="N147" s="113">
        <f>IF(GEP!J146="-",,GEP!J146/2)</f>
        <v>7.42</v>
      </c>
      <c r="O147" s="267">
        <f>IF(GEP!K146="-",,GEP!K146)</f>
        <v>0</v>
      </c>
      <c r="P147" s="445">
        <f>IF(GEP!N146="-",,GEP!N146/3)</f>
        <v>0.82333333333333336</v>
      </c>
      <c r="Q147" s="445">
        <f>IF(GEP!N146="-",,GEP!N146/3)</f>
        <v>0.82333333333333336</v>
      </c>
      <c r="R147" s="445">
        <f>IF(GEP!N146="-",,GEP!N146/3)</f>
        <v>0.82333333333333336</v>
      </c>
      <c r="S147" s="449">
        <f>IF(GEP!O146="-",,GEP!O146/3)</f>
        <v>7.4333333333333336</v>
      </c>
      <c r="T147" s="449">
        <f>IF(GEP!O146="-",,GEP!O146/3)</f>
        <v>7.4333333333333336</v>
      </c>
      <c r="U147" s="449">
        <f>IF(GEP!O146="-",,GEP!O146/3)</f>
        <v>7.4333333333333336</v>
      </c>
      <c r="V147" s="267">
        <f>IF(GEP!P146="-",IF(GEP!S146="-",,GEP!S146),IF(GEP!S146="-",GEP!P146,GEP!P146+GEP!S146))</f>
        <v>0</v>
      </c>
      <c r="W147" s="427">
        <v>0</v>
      </c>
      <c r="X147" s="427">
        <v>0</v>
      </c>
      <c r="Y147" s="113">
        <f>IF(GEP!L146="-",,GEP!L146)</f>
        <v>0</v>
      </c>
      <c r="Z147" s="113">
        <f>IF(GEP!M146="-",,GEP!M146)</f>
        <v>0</v>
      </c>
      <c r="AA147" s="113">
        <f>IF(GEP!Q146="-",,GEP!Q146)</f>
        <v>0</v>
      </c>
      <c r="AB147" s="113">
        <f>IF(GEP!R146="-",,GEP!R146)</f>
        <v>0</v>
      </c>
      <c r="AC147" s="113">
        <f>IF(GEP!P146="-",,GEP!P146)</f>
        <v>0</v>
      </c>
      <c r="AD147" s="113">
        <f>IF(GEP!S146="-",,GEP!S146)</f>
        <v>0</v>
      </c>
      <c r="AE147" s="149">
        <f t="shared" si="4"/>
        <v>69.489999999999995</v>
      </c>
      <c r="AF147" s="149">
        <f t="shared" si="5"/>
        <v>69.489999999999995</v>
      </c>
      <c r="AG147" s="106" t="str">
        <f>IF(C147='Table 1.1 complete'!A143,AE147-'Table 1.1 complete'!E143,"error")</f>
        <v>error</v>
      </c>
      <c r="AH147" s="113" t="str">
        <f>IF(C147='Table 1.2 complete'!A143,AE147-'Table 1.2 complete'!K143,"error")</f>
        <v>error</v>
      </c>
      <c r="AI147" s="106">
        <f>'Table 1.2 complete'!K143-'Table 1.1 complete'!E143</f>
        <v>-1.0000000000005116E-2</v>
      </c>
    </row>
    <row r="148" spans="1:36" x14ac:dyDescent="0.25">
      <c r="C148" s="174" t="str">
        <f>GEP_add1!P149</f>
        <v>Africa</v>
      </c>
      <c r="D148" s="205">
        <f>GEP_add1!Q149</f>
        <v>66</v>
      </c>
      <c r="E148" s="174" t="str">
        <f>GEP_add1!R149</f>
        <v>zAfrica</v>
      </c>
      <c r="F148" s="134">
        <f>GEP_add1!S149</f>
        <v>99</v>
      </c>
      <c r="G148" s="267">
        <f>IF(GEP!F147="-",,GEP!F147)</f>
        <v>0</v>
      </c>
      <c r="H148" s="322">
        <f>IF(GEP!G147="-",,GEP!G147/2)</f>
        <v>4.9000000000000004</v>
      </c>
      <c r="I148" s="322">
        <f>IF(GEP!G147="-",,GEP!G147/2)</f>
        <v>4.9000000000000004</v>
      </c>
      <c r="J148" s="267">
        <f>IF(GEP!H147="-",,GEP!H147)</f>
        <v>0</v>
      </c>
      <c r="K148" s="321">
        <f>IF(GEP!I147="-",,GEP!I147/2)</f>
        <v>0</v>
      </c>
      <c r="L148" s="321">
        <f>IF(GEP!I147="-",,GEP!I147/2)</f>
        <v>0</v>
      </c>
      <c r="M148" s="113">
        <f>IF(GEP!J147="-",,GEP!J147/2)</f>
        <v>0.01</v>
      </c>
      <c r="N148" s="113">
        <f>IF(GEP!J147="-",,GEP!J147/2)</f>
        <v>0.01</v>
      </c>
      <c r="O148" s="267">
        <f>IF(GEP!K147="-",,GEP!K147)</f>
        <v>0</v>
      </c>
      <c r="P148" s="445">
        <f>IF(GEP!N147="-",,GEP!N147/3)</f>
        <v>1.3333333333333334E-2</v>
      </c>
      <c r="Q148" s="445">
        <f>IF(GEP!N147="-",,GEP!N147/3)</f>
        <v>1.3333333333333334E-2</v>
      </c>
      <c r="R148" s="445">
        <f>IF(GEP!N147="-",,GEP!N147/3)</f>
        <v>1.3333333333333334E-2</v>
      </c>
      <c r="S148" s="449">
        <f>IF(GEP!O147="-",,GEP!O147/3)</f>
        <v>0</v>
      </c>
      <c r="T148" s="449">
        <f>IF(GEP!O147="-",,GEP!O147/3)</f>
        <v>0</v>
      </c>
      <c r="U148" s="449">
        <f>IF(GEP!O147="-",,GEP!O147/3)</f>
        <v>0</v>
      </c>
      <c r="V148" s="267">
        <f>IF(GEP!P147="-",IF(GEP!S147="-",,GEP!S147),IF(GEP!S147="-",GEP!P147,GEP!P147+GEP!S147))</f>
        <v>0</v>
      </c>
      <c r="W148" s="427">
        <v>0</v>
      </c>
      <c r="X148" s="427">
        <v>0</v>
      </c>
      <c r="Y148" s="113">
        <f>IF(GEP!L147="-",,GEP!L147)</f>
        <v>0</v>
      </c>
      <c r="Z148" s="113">
        <f>IF(GEP!M147="-",,GEP!M147)</f>
        <v>0</v>
      </c>
      <c r="AA148" s="113">
        <f>IF(GEP!Q147="-",,GEP!Q147)</f>
        <v>0</v>
      </c>
      <c r="AB148" s="113">
        <f>IF(GEP!R147="-",,GEP!R147)</f>
        <v>0</v>
      </c>
      <c r="AC148" s="113">
        <f>IF(GEP!P147="-",,GEP!P147)</f>
        <v>0</v>
      </c>
      <c r="AD148" s="113">
        <f>IF(GEP!S147="-",,GEP!S147)</f>
        <v>0</v>
      </c>
      <c r="AE148" s="149">
        <f t="shared" si="4"/>
        <v>9.8600000000000012</v>
      </c>
      <c r="AF148" s="149">
        <f t="shared" si="5"/>
        <v>9.8600000000000012</v>
      </c>
      <c r="AG148" s="106" t="str">
        <f>IF(C148='Table 1.1 complete'!A144,AE148-'Table 1.1 complete'!E144,"error")</f>
        <v>error</v>
      </c>
      <c r="AH148" s="113" t="str">
        <f>IF(C148='Table 1.2 complete'!A144,AE148-'Table 1.2 complete'!K144,"error")</f>
        <v>error</v>
      </c>
      <c r="AI148" s="106">
        <f>'Table 1.2 complete'!K144-'Table 1.1 complete'!E144</f>
        <v>-5.0000000000000711E-2</v>
      </c>
    </row>
    <row r="149" spans="1:36" s="372" customFormat="1" x14ac:dyDescent="0.25">
      <c r="A149" s="392"/>
      <c r="B149" s="392"/>
      <c r="C149" s="175" t="str">
        <f>GEP_add1!P150</f>
        <v>Asia (excl. China)</v>
      </c>
      <c r="D149" s="206">
        <f>GEP_add1!Q150</f>
        <v>109</v>
      </c>
      <c r="E149" s="175" t="str">
        <f>GEP_add1!R150</f>
        <v>zAsia (excl. China)</v>
      </c>
      <c r="F149" s="141">
        <f>GEP_add1!S150</f>
        <v>99</v>
      </c>
      <c r="G149" s="268">
        <f>IF(GEP!F148="-",,GEP!F148)</f>
        <v>0</v>
      </c>
      <c r="H149" s="363">
        <f>IF(GEP!G148="-",,GEP!G148/2)</f>
        <v>2.605</v>
      </c>
      <c r="I149" s="363">
        <f>IF(GEP!G148="-",,GEP!G148/2)</f>
        <v>2.605</v>
      </c>
      <c r="J149" s="268">
        <f>IF(GEP!H148="-",,GEP!H148)</f>
        <v>0</v>
      </c>
      <c r="K149" s="364">
        <f>IF(GEP!I148="-",,GEP!I148/2)</f>
        <v>0</v>
      </c>
      <c r="L149" s="364">
        <f>IF(GEP!I148="-",,GEP!I148/2)</f>
        <v>0</v>
      </c>
      <c r="M149" s="225">
        <f>IF(GEP!J148="-",,GEP!J148/2)</f>
        <v>1.97</v>
      </c>
      <c r="N149" s="225">
        <f>IF(GEP!J148="-",,GEP!J148/2)</f>
        <v>1.97</v>
      </c>
      <c r="O149" s="268">
        <f>IF(GEP!K148="-",,GEP!K148)</f>
        <v>0</v>
      </c>
      <c r="P149" s="446">
        <f>IF(GEP!N148="-",,GEP!N148/3)</f>
        <v>6.6666666666666671E-3</v>
      </c>
      <c r="Q149" s="446">
        <f>IF(GEP!N148="-",,GEP!N148/3)</f>
        <v>6.6666666666666671E-3</v>
      </c>
      <c r="R149" s="446">
        <f>IF(GEP!N148="-",,GEP!N148/3)</f>
        <v>6.6666666666666671E-3</v>
      </c>
      <c r="S149" s="450">
        <f>IF(GEP!O148="-",,GEP!O148/3)</f>
        <v>0</v>
      </c>
      <c r="T149" s="450">
        <f>IF(GEP!O148="-",,GEP!O148/3)</f>
        <v>0</v>
      </c>
      <c r="U149" s="450">
        <f>IF(GEP!O148="-",,GEP!O148/3)</f>
        <v>0</v>
      </c>
      <c r="V149" s="268">
        <f>IF(GEP!P148="-",IF(GEP!S148="-",,GEP!S148),IF(GEP!S148="-",GEP!P148,GEP!P148+GEP!S148))</f>
        <v>0</v>
      </c>
      <c r="W149" s="435">
        <v>0</v>
      </c>
      <c r="X149" s="435">
        <v>0</v>
      </c>
      <c r="Y149" s="225">
        <f>IF(GEP!L148="-",,GEP!L148)</f>
        <v>0</v>
      </c>
      <c r="Z149" s="225">
        <f>IF(GEP!M148="-",,GEP!M148)</f>
        <v>0</v>
      </c>
      <c r="AA149" s="225">
        <f>IF(GEP!Q148="-",,GEP!Q148)</f>
        <v>0</v>
      </c>
      <c r="AB149" s="225">
        <f>IF(GEP!R148="-",,GEP!R148)</f>
        <v>0</v>
      </c>
      <c r="AC149" s="225">
        <f>IF(GEP!P148="-",,GEP!P148)</f>
        <v>0</v>
      </c>
      <c r="AD149" s="225">
        <f>IF(GEP!S148="-",,GEP!S148)</f>
        <v>0</v>
      </c>
      <c r="AE149" s="223">
        <f t="shared" si="4"/>
        <v>9.1699999999999982</v>
      </c>
      <c r="AF149" s="223">
        <f t="shared" si="5"/>
        <v>9.1699999999999982</v>
      </c>
      <c r="AG149" s="224" t="str">
        <f>IF(C149='Table 1.1 complete'!A145,AE149-'Table 1.1 complete'!E145,"error")</f>
        <v>error</v>
      </c>
      <c r="AH149" s="225" t="str">
        <f>IF(C149='Table 1.2 complete'!A145,AE149-'Table 1.2 complete'!K145,"error")</f>
        <v>error</v>
      </c>
      <c r="AI149" s="224">
        <f>'Table 1.2 complete'!K145-'Table 1.1 complete'!E145</f>
        <v>-1.9999999999999574E-2</v>
      </c>
      <c r="AJ149" s="392"/>
    </row>
    <row r="150" spans="1:36" x14ac:dyDescent="0.25">
      <c r="C150" s="451" t="str">
        <f>GEP_add1!P151</f>
        <v>China (Region)</v>
      </c>
      <c r="D150" s="452">
        <f>GEP_add1!Q151</f>
        <v>112</v>
      </c>
      <c r="E150" s="451" t="str">
        <f>GEP_add1!R151</f>
        <v>zChina (Region)</v>
      </c>
      <c r="F150" s="453">
        <f>GEP_add1!S151</f>
        <v>99</v>
      </c>
      <c r="G150" s="382">
        <f>IF(GEP!F149="-",,GEP!F149)</f>
        <v>11.32</v>
      </c>
      <c r="H150" s="382">
        <f>IF(GEP!G149="-",,GEP!G149/2)</f>
        <v>49.314999999999998</v>
      </c>
      <c r="I150" s="382">
        <f>IF(GEP!G149="-",,GEP!G149/2)</f>
        <v>49.314999999999998</v>
      </c>
      <c r="J150" s="382">
        <f>IF(GEP!H149="-",,GEP!H149)</f>
        <v>1.02</v>
      </c>
      <c r="K150" s="382">
        <f>IF(GEP!I149="-",,GEP!I149/2)</f>
        <v>0.625</v>
      </c>
      <c r="L150" s="382">
        <f>IF(GEP!I149="-",,GEP!I149/2)</f>
        <v>0.625</v>
      </c>
      <c r="M150" s="382">
        <f>IF(GEP!J149="-",,GEP!J149/2)</f>
        <v>133.52000000000001</v>
      </c>
      <c r="N150" s="382">
        <f>IF(GEP!J149="-",,GEP!J149/2)</f>
        <v>133.52000000000001</v>
      </c>
      <c r="O150" s="382">
        <f>IF(GEP!K149="-",,GEP!K149)</f>
        <v>0</v>
      </c>
      <c r="P150" s="382">
        <f>IF(GEP!N149="-",,GEP!N149/3)</f>
        <v>22.66333333333333</v>
      </c>
      <c r="Q150" s="382">
        <f>IF(GEP!N149="-",,GEP!N149/3)</f>
        <v>22.66333333333333</v>
      </c>
      <c r="R150" s="382">
        <f>IF(GEP!N149="-",,GEP!N149/3)</f>
        <v>22.66333333333333</v>
      </c>
      <c r="S150" s="382">
        <f>IF(GEP!O149="-",,GEP!O149/3)</f>
        <v>56.69</v>
      </c>
      <c r="T150" s="382">
        <f>IF(GEP!O149="-",,GEP!O149/3)</f>
        <v>56.69</v>
      </c>
      <c r="U150" s="382">
        <f>IF(GEP!O149="-",,GEP!O149/3)</f>
        <v>56.69</v>
      </c>
      <c r="V150" s="382">
        <f>IF(GEP!P149="-",IF(GEP!S149="-",,GEP!S149),IF(GEP!S149="-",GEP!P149,GEP!P149+GEP!S149))</f>
        <v>0.76</v>
      </c>
      <c r="W150" s="382">
        <v>0</v>
      </c>
      <c r="X150" s="382">
        <v>0</v>
      </c>
      <c r="Y150" s="382">
        <f>IF(GEP!L149="-",,GEP!L149)</f>
        <v>0</v>
      </c>
      <c r="Z150" s="382">
        <f>IF(GEP!M149="-",,GEP!M149)</f>
        <v>0</v>
      </c>
      <c r="AA150" s="382">
        <f>IF(GEP!Q149="-",,GEP!Q149)</f>
        <v>0</v>
      </c>
      <c r="AB150" s="382">
        <f>IF(GEP!R149="-",,GEP!R149)</f>
        <v>0</v>
      </c>
      <c r="AC150" s="382">
        <f>IF(GEP!P149="-",,GEP!P149)</f>
        <v>0.76</v>
      </c>
      <c r="AD150" s="382">
        <f>IF(GEP!S149="-",,GEP!S149)</f>
        <v>0</v>
      </c>
      <c r="AE150" s="454">
        <f t="shared" si="4"/>
        <v>618.08000000000015</v>
      </c>
      <c r="AF150" s="454">
        <f t="shared" si="5"/>
        <v>618.08000000000015</v>
      </c>
      <c r="AG150" s="455" t="str">
        <f>IF(C150='Table 1.1 complete'!A146,AE150-'Table 1.1 complete'!E146,"error")</f>
        <v>error</v>
      </c>
      <c r="AH150" s="382" t="str">
        <f>IF(C150='Table 1.2 complete'!A146,AE150-'Table 1.2 complete'!K146,"error")</f>
        <v>error</v>
      </c>
      <c r="AI150" s="455">
        <f>'Table 1.2 complete'!K146-'Table 1.1 complete'!E146</f>
        <v>-2.9999999999972715E-2</v>
      </c>
    </row>
    <row r="151" spans="1:36" x14ac:dyDescent="0.25">
      <c r="C151" s="456" t="str">
        <f>GEP_add1!P152</f>
        <v>FSU</v>
      </c>
      <c r="D151" s="452">
        <f>GEP_add1!Q152</f>
        <v>140</v>
      </c>
      <c r="E151" s="456" t="str">
        <f>GEP_add1!R152</f>
        <v>zFSU</v>
      </c>
      <c r="F151" s="453">
        <f>GEP_add1!S152</f>
        <v>99</v>
      </c>
      <c r="G151" s="382">
        <f>IF(GEP!F150="-",,GEP!F150)</f>
        <v>60.39</v>
      </c>
      <c r="H151" s="382">
        <f>IF(GEP!G150="-",,GEP!G150/2)</f>
        <v>129.995</v>
      </c>
      <c r="I151" s="382">
        <f>IF(GEP!G150="-",,GEP!G150/2)</f>
        <v>129.995</v>
      </c>
      <c r="J151" s="382">
        <f>IF(GEP!H150="-",,GEP!H150)</f>
        <v>17.239999999999998</v>
      </c>
      <c r="K151" s="382">
        <f>IF(GEP!I150="-",,GEP!I150/2)</f>
        <v>6.1</v>
      </c>
      <c r="L151" s="382">
        <f>IF(GEP!I150="-",,GEP!I150/2)</f>
        <v>6.1</v>
      </c>
      <c r="M151" s="382">
        <f>IF(GEP!J150="-",,GEP!J150/2)</f>
        <v>357.98500000000001</v>
      </c>
      <c r="N151" s="382">
        <f>IF(GEP!J150="-",,GEP!J150/2)</f>
        <v>357.98500000000001</v>
      </c>
      <c r="O151" s="382">
        <f>IF(GEP!K150="-",,GEP!K150)</f>
        <v>116.37</v>
      </c>
      <c r="P151" s="382">
        <f>IF(GEP!N150="-",,GEP!N150/3)</f>
        <v>53.29666666666666</v>
      </c>
      <c r="Q151" s="382">
        <f>IF(GEP!N150="-",,GEP!N150/3)</f>
        <v>53.29666666666666</v>
      </c>
      <c r="R151" s="382">
        <f>IF(GEP!N150="-",,GEP!N150/3)</f>
        <v>53.29666666666666</v>
      </c>
      <c r="S151" s="382">
        <f>IF(GEP!O150="-",,GEP!O150/3)</f>
        <v>141.54666666666665</v>
      </c>
      <c r="T151" s="382">
        <f>IF(GEP!O150="-",,GEP!O150/3)</f>
        <v>141.54666666666665</v>
      </c>
      <c r="U151" s="382">
        <f>IF(GEP!O150="-",,GEP!O150/3)</f>
        <v>141.54666666666665</v>
      </c>
      <c r="V151" s="382">
        <f>IF(GEP!P150="-",IF(GEP!S150="-",,GEP!S150),IF(GEP!S150="-",GEP!P150,GEP!P150+GEP!S150))</f>
        <v>6.8199999999999994</v>
      </c>
      <c r="W151" s="382">
        <v>0</v>
      </c>
      <c r="X151" s="382">
        <v>0</v>
      </c>
      <c r="Y151" s="382">
        <f>IF(GEP!L150="-",,GEP!L150)</f>
        <v>0</v>
      </c>
      <c r="Z151" s="382">
        <f>IF(GEP!M150="-",,GEP!M150)</f>
        <v>3.85</v>
      </c>
      <c r="AA151" s="382">
        <f>IF(GEP!Q150="-",,GEP!Q150)</f>
        <v>0</v>
      </c>
      <c r="AB151" s="382">
        <f>IF(GEP!R150="-",,GEP!R150)</f>
        <v>3.02</v>
      </c>
      <c r="AC151" s="382">
        <f>IF(GEP!P150="-",,GEP!P150)</f>
        <v>6.81</v>
      </c>
      <c r="AD151" s="382">
        <f>IF(GEP!S150="-",,GEP!S150)</f>
        <v>0.01</v>
      </c>
      <c r="AE151" s="454">
        <f t="shared" si="4"/>
        <v>1780.3799999999994</v>
      </c>
      <c r="AF151" s="454">
        <f t="shared" si="5"/>
        <v>1773.5099999999995</v>
      </c>
      <c r="AG151" s="455" t="str">
        <f>IF(C151='Table 1.1 complete'!A147,AE151-'Table 1.1 complete'!E147,"error")</f>
        <v>error</v>
      </c>
      <c r="AH151" s="382" t="str">
        <f>IF(C151='Table 1.2 complete'!A147,AE151-'Table 1.2 complete'!K147,"error")</f>
        <v>error</v>
      </c>
      <c r="AI151" s="455">
        <f>'Table 1.2 complete'!K147-'Table 1.1 complete'!E147</f>
        <v>-4.0000000000190994E-2</v>
      </c>
    </row>
    <row r="152" spans="1:36" x14ac:dyDescent="0.25">
      <c r="C152" s="456" t="str">
        <f>GEP_add1!P153</f>
        <v>Latin America</v>
      </c>
      <c r="D152" s="452">
        <f>GEP_add1!Q153</f>
        <v>90</v>
      </c>
      <c r="E152" s="456" t="str">
        <f>GEP_add1!R153</f>
        <v>zLatin America</v>
      </c>
      <c r="F152" s="453">
        <f>GEP_add1!S153</f>
        <v>99</v>
      </c>
      <c r="G152" s="382">
        <f>IF(GEP!F151="-",,GEP!F151)</f>
        <v>62.13</v>
      </c>
      <c r="H152" s="382">
        <f>IF(GEP!G151="-",,GEP!G151/2)</f>
        <v>242.63</v>
      </c>
      <c r="I152" s="382">
        <f>IF(GEP!G151="-",,GEP!G151/2)</f>
        <v>242.63</v>
      </c>
      <c r="J152" s="382">
        <f>IF(GEP!H151="-",,GEP!H151)</f>
        <v>0</v>
      </c>
      <c r="K152" s="382">
        <f>IF(GEP!I151="-",,GEP!I151/2)</f>
        <v>4.4550000000000001</v>
      </c>
      <c r="L152" s="382">
        <f>IF(GEP!I151="-",,GEP!I151/2)</f>
        <v>4.4550000000000001</v>
      </c>
      <c r="M152" s="382">
        <f>IF(GEP!J151="-",,GEP!J151/2)</f>
        <v>1331.425</v>
      </c>
      <c r="N152" s="382">
        <f>IF(GEP!J151="-",,GEP!J151/2)</f>
        <v>1331.425</v>
      </c>
      <c r="O152" s="382">
        <f>IF(GEP!K151="-",,GEP!K151)</f>
        <v>0</v>
      </c>
      <c r="P152" s="382">
        <f>IF(GEP!N151="-",,GEP!N151/3)</f>
        <v>11.25</v>
      </c>
      <c r="Q152" s="382">
        <f>IF(GEP!N151="-",,GEP!N151/3)</f>
        <v>11.25</v>
      </c>
      <c r="R152" s="382">
        <f>IF(GEP!N151="-",,GEP!N151/3)</f>
        <v>11.25</v>
      </c>
      <c r="S152" s="382">
        <f>IF(GEP!O151="-",,GEP!O151/3)</f>
        <v>0</v>
      </c>
      <c r="T152" s="382">
        <f>IF(GEP!O151="-",,GEP!O151/3)</f>
        <v>0</v>
      </c>
      <c r="U152" s="382">
        <f>IF(GEP!O151="-",,GEP!O151/3)</f>
        <v>0</v>
      </c>
      <c r="V152" s="382">
        <f>IF(GEP!P151="-",IF(GEP!S151="-",,GEP!S151),IF(GEP!S151="-",GEP!P151,GEP!P151+GEP!S151))</f>
        <v>2.31</v>
      </c>
      <c r="W152" s="382">
        <v>0</v>
      </c>
      <c r="X152" s="382">
        <v>0</v>
      </c>
      <c r="Y152" s="382">
        <f>IF(GEP!L151="-",,GEP!L151)</f>
        <v>0</v>
      </c>
      <c r="Z152" s="382">
        <f>IF(GEP!M151="-",,GEP!M151)</f>
        <v>22.12</v>
      </c>
      <c r="AA152" s="382">
        <f>IF(GEP!Q151="-",,GEP!Q151)</f>
        <v>0</v>
      </c>
      <c r="AB152" s="382">
        <f>IF(GEP!R151="-",,GEP!R151)</f>
        <v>40.86</v>
      </c>
      <c r="AC152" s="382">
        <f>IF(GEP!P151="-",,GEP!P151)</f>
        <v>0</v>
      </c>
      <c r="AD152" s="382">
        <f>IF(GEP!S151="-",,GEP!S151)</f>
        <v>2.31</v>
      </c>
      <c r="AE152" s="454">
        <f t="shared" si="4"/>
        <v>3318.1899999999996</v>
      </c>
      <c r="AF152" s="454">
        <f t="shared" si="5"/>
        <v>3255.2099999999996</v>
      </c>
      <c r="AG152" s="455" t="str">
        <f>IF(C152='Table 1.1 complete'!A148,AE152-'Table 1.1 complete'!E148,"error")</f>
        <v>error</v>
      </c>
      <c r="AH152" s="382" t="str">
        <f>IF(C152='Table 1.2 complete'!A148,AE152-'Table 1.2 complete'!K148,"error")</f>
        <v>error</v>
      </c>
      <c r="AI152" s="455">
        <f>'Table 1.2 complete'!K148-'Table 1.1 complete'!E148</f>
        <v>-9.9999999997635314E-3</v>
      </c>
    </row>
    <row r="153" spans="1:36" x14ac:dyDescent="0.25">
      <c r="C153" s="456" t="str">
        <f>GEP_add1!P154</f>
        <v>Middle East</v>
      </c>
      <c r="D153" s="452">
        <f>GEP_add1!Q154</f>
        <v>154</v>
      </c>
      <c r="E153" s="456" t="str">
        <f>GEP_add1!R154</f>
        <v>zMiddle East</v>
      </c>
      <c r="F153" s="453">
        <f>GEP_add1!S154</f>
        <v>99</v>
      </c>
      <c r="G153" s="382">
        <f>IF(GEP!F152="-",,GEP!F152)</f>
        <v>264.97000000000003</v>
      </c>
      <c r="H153" s="382">
        <f>IF(GEP!G152="-",,GEP!G152/2)</f>
        <v>124.845</v>
      </c>
      <c r="I153" s="382">
        <f>IF(GEP!G152="-",,GEP!G152/2)</f>
        <v>124.845</v>
      </c>
      <c r="J153" s="382">
        <f>IF(GEP!H152="-",,GEP!H152)</f>
        <v>0.49</v>
      </c>
      <c r="K153" s="382">
        <f>IF(GEP!I152="-",,GEP!I152/2)</f>
        <v>0.27</v>
      </c>
      <c r="L153" s="382">
        <f>IF(GEP!I152="-",,GEP!I152/2)</f>
        <v>0.27</v>
      </c>
      <c r="M153" s="382">
        <f>IF(GEP!J152="-",,GEP!J152/2)</f>
        <v>108.995</v>
      </c>
      <c r="N153" s="382">
        <f>IF(GEP!J152="-",,GEP!J152/2)</f>
        <v>108.995</v>
      </c>
      <c r="O153" s="382">
        <f>IF(GEP!K152="-",,GEP!K152)</f>
        <v>75.599999999999994</v>
      </c>
      <c r="P153" s="382">
        <f>IF(GEP!N152="-",,GEP!N152/3)</f>
        <v>11.46</v>
      </c>
      <c r="Q153" s="382">
        <f>IF(GEP!N152="-",,GEP!N152/3)</f>
        <v>11.46</v>
      </c>
      <c r="R153" s="382">
        <f>IF(GEP!N152="-",,GEP!N152/3)</f>
        <v>11.46</v>
      </c>
      <c r="S153" s="382">
        <f>IF(GEP!O152="-",,GEP!O152/3)</f>
        <v>211.09</v>
      </c>
      <c r="T153" s="382">
        <f>IF(GEP!O152="-",,GEP!O152/3)</f>
        <v>211.09</v>
      </c>
      <c r="U153" s="382">
        <f>IF(GEP!O152="-",,GEP!O152/3)</f>
        <v>211.09</v>
      </c>
      <c r="V153" s="382">
        <f>IF(GEP!P152="-",IF(GEP!S152="-",,GEP!S152),IF(GEP!S152="-",GEP!P152,GEP!P152+GEP!S152))</f>
        <v>0.16</v>
      </c>
      <c r="W153" s="382">
        <v>0</v>
      </c>
      <c r="X153" s="382">
        <v>0</v>
      </c>
      <c r="Y153" s="382">
        <f>IF(GEP!L152="-",,GEP!L152)</f>
        <v>0.79</v>
      </c>
      <c r="Z153" s="382">
        <f>IF(GEP!M152="-",,GEP!M152)</f>
        <v>10.9</v>
      </c>
      <c r="AA153" s="382">
        <f>IF(GEP!Q152="-",,GEP!Q152)</f>
        <v>2.06</v>
      </c>
      <c r="AB153" s="382">
        <f>IF(GEP!R152="-",,GEP!R152)</f>
        <v>0</v>
      </c>
      <c r="AC153" s="382">
        <f>IF(GEP!P152="-",,GEP!P152)</f>
        <v>0.1</v>
      </c>
      <c r="AD153" s="382">
        <f>IF(GEP!S152="-",,GEP!S152)</f>
        <v>0.06</v>
      </c>
      <c r="AE153" s="454">
        <f t="shared" si="4"/>
        <v>1490.8400000000001</v>
      </c>
      <c r="AF153" s="454">
        <f t="shared" si="5"/>
        <v>1477.0900000000001</v>
      </c>
      <c r="AG153" s="455" t="str">
        <f>IF(C153='Table 1.1 complete'!A149,AE153-'Table 1.1 complete'!E149,"error")</f>
        <v>error</v>
      </c>
      <c r="AH153" s="382" t="str">
        <f>IF(C153='Table 1.2 complete'!A149,AE153-'Table 1.2 complete'!K149,"error")</f>
        <v>error</v>
      </c>
      <c r="AI153" s="455">
        <f>'Table 1.2 complete'!K149-'Table 1.1 complete'!E149</f>
        <v>1.999999999998181E-2</v>
      </c>
    </row>
    <row r="154" spans="1:36" x14ac:dyDescent="0.25">
      <c r="C154" s="456" t="str">
        <f>GEP_add1!P155</f>
        <v>Non-OECD Europe</v>
      </c>
      <c r="D154" s="452">
        <f>GEP_add1!Q155</f>
        <v>124</v>
      </c>
      <c r="E154" s="456" t="str">
        <f>GEP_add1!R155</f>
        <v>zNon-OECD Europe</v>
      </c>
      <c r="F154" s="453">
        <f>GEP_add1!S155</f>
        <v>99</v>
      </c>
      <c r="G154" s="382">
        <f>IF(GEP!F153="-",,GEP!F153)</f>
        <v>19.57</v>
      </c>
      <c r="H154" s="382">
        <f>IF(GEP!G153="-",,GEP!G153/2)</f>
        <v>334.64</v>
      </c>
      <c r="I154" s="382">
        <f>IF(GEP!G153="-",,GEP!G153/2)</f>
        <v>334.64</v>
      </c>
      <c r="J154" s="382">
        <f>IF(GEP!H153="-",,GEP!H153)</f>
        <v>2.86</v>
      </c>
      <c r="K154" s="382">
        <f>IF(GEP!I153="-",,GEP!I153/2)</f>
        <v>1.2050000000000001</v>
      </c>
      <c r="L154" s="382">
        <f>IF(GEP!I153="-",,GEP!I153/2)</f>
        <v>1.2050000000000001</v>
      </c>
      <c r="M154" s="382">
        <f>IF(GEP!J153="-",,GEP!J153/2)</f>
        <v>11.17</v>
      </c>
      <c r="N154" s="382">
        <f>IF(GEP!J153="-",,GEP!J153/2)</f>
        <v>11.17</v>
      </c>
      <c r="O154" s="382">
        <f>IF(GEP!K153="-",,GEP!K153)</f>
        <v>5.96</v>
      </c>
      <c r="P154" s="382">
        <f>IF(GEP!N153="-",,GEP!N153/3)</f>
        <v>41.783333333333331</v>
      </c>
      <c r="Q154" s="382">
        <f>IF(GEP!N153="-",,GEP!N153/3)</f>
        <v>41.783333333333331</v>
      </c>
      <c r="R154" s="382">
        <f>IF(GEP!N153="-",,GEP!N153/3)</f>
        <v>41.783333333333331</v>
      </c>
      <c r="S154" s="382">
        <f>IF(GEP!O153="-",,GEP!O153/3)</f>
        <v>42.726666666666667</v>
      </c>
      <c r="T154" s="382">
        <f>IF(GEP!O153="-",,GEP!O153/3)</f>
        <v>42.726666666666667</v>
      </c>
      <c r="U154" s="382">
        <f>IF(GEP!O153="-",,GEP!O153/3)</f>
        <v>42.726666666666667</v>
      </c>
      <c r="V154" s="382">
        <f>IF(GEP!P153="-",IF(GEP!S153="-",,GEP!S153),IF(GEP!S153="-",GEP!P153,GEP!P153+GEP!S153))</f>
        <v>25.950000000000003</v>
      </c>
      <c r="W154" s="382">
        <v>0</v>
      </c>
      <c r="X154" s="382">
        <v>0</v>
      </c>
      <c r="Y154" s="382">
        <f>IF(GEP!L153="-",,GEP!L153)</f>
        <v>0</v>
      </c>
      <c r="Z154" s="382">
        <f>IF(GEP!M153="-",,GEP!M153)</f>
        <v>5</v>
      </c>
      <c r="AA154" s="382">
        <f>IF(GEP!Q153="-",,GEP!Q153)</f>
        <v>0</v>
      </c>
      <c r="AB154" s="382">
        <f>IF(GEP!R153="-",,GEP!R153)</f>
        <v>0</v>
      </c>
      <c r="AC154" s="382">
        <f>IF(GEP!P153="-",,GEP!P153)</f>
        <v>25.94</v>
      </c>
      <c r="AD154" s="382">
        <f>IF(GEP!S153="-",,GEP!S153)</f>
        <v>0.01</v>
      </c>
      <c r="AE154" s="454">
        <f t="shared" si="4"/>
        <v>1006.9</v>
      </c>
      <c r="AF154" s="454">
        <f t="shared" si="5"/>
        <v>1001.9</v>
      </c>
      <c r="AG154" s="455" t="str">
        <f>IF(C154='Table 1.1 complete'!A150,AE154-'Table 1.1 complete'!E150,"error")</f>
        <v>error</v>
      </c>
      <c r="AH154" s="382" t="str">
        <f>IF(C154='Table 1.2 complete'!A150,AE154-'Table 1.2 complete'!K150,"error")</f>
        <v>error</v>
      </c>
      <c r="AI154" s="455">
        <f>'Table 1.2 complete'!K150-'Table 1.1 complete'!E150</f>
        <v>-1.999999999998181E-2</v>
      </c>
    </row>
    <row r="155" spans="1:36" x14ac:dyDescent="0.25">
      <c r="C155" s="451" t="str">
        <f>GEP_add1!P156</f>
        <v>Non-OECD Total</v>
      </c>
      <c r="D155" s="452">
        <f>GEP_add1!Q156</f>
        <v>155</v>
      </c>
      <c r="E155" s="451" t="str">
        <f>GEP_add1!R156</f>
        <v>zNon-OECD Total</v>
      </c>
      <c r="F155" s="453">
        <f>GEP_add1!S156</f>
        <v>99</v>
      </c>
      <c r="G155" s="382">
        <f>IF(GEP!F154="-",,GEP!F154)</f>
        <v>0</v>
      </c>
      <c r="H155" s="382">
        <f>IF(GEP!G154="-",,GEP!G154/2)</f>
        <v>11.345000000000001</v>
      </c>
      <c r="I155" s="382">
        <f>IF(GEP!G154="-",,GEP!G154/2)</f>
        <v>11.345000000000001</v>
      </c>
      <c r="J155" s="382">
        <f>IF(GEP!H154="-",,GEP!H154)</f>
        <v>0</v>
      </c>
      <c r="K155" s="382">
        <f>IF(GEP!I154="-",,GEP!I154/2)</f>
        <v>0.08</v>
      </c>
      <c r="L155" s="382">
        <f>IF(GEP!I154="-",,GEP!I154/2)</f>
        <v>0.08</v>
      </c>
      <c r="M155" s="382">
        <f>IF(GEP!J154="-",,GEP!J154/2)</f>
        <v>18.625</v>
      </c>
      <c r="N155" s="382">
        <f>IF(GEP!J154="-",,GEP!J154/2)</f>
        <v>18.625</v>
      </c>
      <c r="O155" s="382">
        <f>IF(GEP!K154="-",,GEP!K154)</f>
        <v>0.16</v>
      </c>
      <c r="P155" s="382">
        <f>IF(GEP!N154="-",,GEP!N154/3)</f>
        <v>83.356666666666669</v>
      </c>
      <c r="Q155" s="382">
        <f>IF(GEP!N154="-",,GEP!N154/3)</f>
        <v>83.356666666666669</v>
      </c>
      <c r="R155" s="382">
        <f>IF(GEP!N154="-",,GEP!N154/3)</f>
        <v>83.356666666666669</v>
      </c>
      <c r="S155" s="382">
        <f>IF(GEP!O154="-",,GEP!O154/3)</f>
        <v>134.76</v>
      </c>
      <c r="T155" s="382">
        <f>IF(GEP!O154="-",,GEP!O154/3)</f>
        <v>134.76</v>
      </c>
      <c r="U155" s="382">
        <f>IF(GEP!O154="-",,GEP!O154/3)</f>
        <v>134.76</v>
      </c>
      <c r="V155" s="382">
        <f>IF(GEP!P154="-",IF(GEP!S154="-",,GEP!S154),IF(GEP!S154="-",GEP!P154,GEP!P154+GEP!S154))</f>
        <v>0.01</v>
      </c>
      <c r="W155" s="382">
        <v>0</v>
      </c>
      <c r="X155" s="382">
        <v>0</v>
      </c>
      <c r="Y155" s="382">
        <f>IF(GEP!L154="-",,GEP!L154)</f>
        <v>0</v>
      </c>
      <c r="Z155" s="382">
        <f>IF(GEP!M154="-",,GEP!M154)</f>
        <v>0</v>
      </c>
      <c r="AA155" s="382">
        <f>IF(GEP!Q154="-",,GEP!Q154)</f>
        <v>0</v>
      </c>
      <c r="AB155" s="382">
        <f>IF(GEP!R154="-",,GEP!R154)</f>
        <v>0</v>
      </c>
      <c r="AC155" s="382">
        <f>IF(GEP!P154="-",,GEP!P154)</f>
        <v>0</v>
      </c>
      <c r="AD155" s="382">
        <f>IF(GEP!S154="-",,GEP!S154)</f>
        <v>0.01</v>
      </c>
      <c r="AE155" s="454">
        <f t="shared" si="4"/>
        <v>714.62</v>
      </c>
      <c r="AF155" s="454">
        <f t="shared" si="5"/>
        <v>714.62</v>
      </c>
      <c r="AG155" s="455" t="str">
        <f>IF(C155='Table 1.1 complete'!A151,AE155-'Table 1.1 complete'!E151,"error")</f>
        <v>error</v>
      </c>
      <c r="AH155" s="382" t="str">
        <f>IF(C155='Table 1.2 complete'!A151,AE155-'Table 1.2 complete'!K151,"error")</f>
        <v>error</v>
      </c>
      <c r="AI155" s="455">
        <f>'Table 1.2 complete'!K151-'Table 1.1 complete'!E151</f>
        <v>0</v>
      </c>
    </row>
    <row r="156" spans="1:36" x14ac:dyDescent="0.25">
      <c r="C156" s="456" t="str">
        <f>GEP_add1!P157</f>
        <v xml:space="preserve">Non-OECD Total </v>
      </c>
      <c r="D156" s="452">
        <f>GEP_add1!Q157</f>
        <v>2</v>
      </c>
      <c r="E156" s="456" t="str">
        <f>GEP_add1!R157</f>
        <v xml:space="preserve">zNon-OECD Total </v>
      </c>
      <c r="F156" s="453">
        <f>GEP_add1!S157</f>
        <v>99</v>
      </c>
      <c r="G156" s="382">
        <f>IF(GEP!F155="-",,GEP!F155)</f>
        <v>28.05</v>
      </c>
      <c r="H156" s="382">
        <f>IF(GEP!G155="-",,GEP!G155/2)</f>
        <v>22.35</v>
      </c>
      <c r="I156" s="382">
        <f>IF(GEP!G155="-",,GEP!G155/2)</f>
        <v>22.35</v>
      </c>
      <c r="J156" s="382">
        <f>IF(GEP!H155="-",,GEP!H155)</f>
        <v>0</v>
      </c>
      <c r="K156" s="382">
        <f>IF(GEP!I155="-",,GEP!I155/2)</f>
        <v>4.4999999999999998E-2</v>
      </c>
      <c r="L156" s="382">
        <f>IF(GEP!I155="-",,GEP!I155/2)</f>
        <v>4.4999999999999998E-2</v>
      </c>
      <c r="M156" s="382">
        <f>IF(GEP!J155="-",,GEP!J155/2)</f>
        <v>7.79</v>
      </c>
      <c r="N156" s="382">
        <f>IF(GEP!J155="-",,GEP!J155/2)</f>
        <v>7.79</v>
      </c>
      <c r="O156" s="382">
        <f>IF(GEP!K155="-",,GEP!K155)</f>
        <v>78.239999999999995</v>
      </c>
      <c r="P156" s="382">
        <f>IF(GEP!N155="-",,GEP!N155/3)</f>
        <v>4.166666666666667</v>
      </c>
      <c r="Q156" s="382">
        <f>IF(GEP!N155="-",,GEP!N155/3)</f>
        <v>4.166666666666667</v>
      </c>
      <c r="R156" s="382">
        <f>IF(GEP!N155="-",,GEP!N155/3)</f>
        <v>4.166666666666667</v>
      </c>
      <c r="S156" s="382">
        <f>IF(GEP!O155="-",,GEP!O155/3)</f>
        <v>5.9333333333333336</v>
      </c>
      <c r="T156" s="382">
        <f>IF(GEP!O155="-",,GEP!O155/3)</f>
        <v>5.9333333333333336</v>
      </c>
      <c r="U156" s="382">
        <f>IF(GEP!O155="-",,GEP!O155/3)</f>
        <v>5.9333333333333336</v>
      </c>
      <c r="V156" s="382">
        <f>IF(GEP!P155="-",IF(GEP!S155="-",,GEP!S155),IF(GEP!S155="-",GEP!P155,GEP!P155+GEP!S155))</f>
        <v>0.16</v>
      </c>
      <c r="W156" s="382">
        <v>0</v>
      </c>
      <c r="X156" s="382">
        <v>0</v>
      </c>
      <c r="Y156" s="382">
        <f>IF(GEP!L155="-",,GEP!L155)</f>
        <v>0</v>
      </c>
      <c r="Z156" s="382">
        <f>IF(GEP!M155="-",,GEP!M155)</f>
        <v>0.41</v>
      </c>
      <c r="AA156" s="382">
        <f>IF(GEP!Q155="-",,GEP!Q155)</f>
        <v>0.01</v>
      </c>
      <c r="AB156" s="382">
        <f>IF(GEP!R155="-",,GEP!R155)</f>
        <v>0</v>
      </c>
      <c r="AC156" s="382">
        <f>IF(GEP!P155="-",,GEP!P155)</f>
        <v>0.1</v>
      </c>
      <c r="AD156" s="382">
        <f>IF(GEP!S155="-",,GEP!S155)</f>
        <v>0.06</v>
      </c>
      <c r="AE156" s="454">
        <f t="shared" si="4"/>
        <v>197.54</v>
      </c>
      <c r="AF156" s="454">
        <f t="shared" si="5"/>
        <v>197.12</v>
      </c>
      <c r="AG156" s="455" t="str">
        <f>IF(C156='Table 1.1 complete'!A152,AE156-'Table 1.1 complete'!E152,"error")</f>
        <v>error</v>
      </c>
      <c r="AH156" s="382" t="str">
        <f>IF(C156='Table 1.2 complete'!A152,AE156-'Table 1.2 complete'!K152,"error")</f>
        <v>error</v>
      </c>
      <c r="AI156" s="455">
        <f>'Table 1.2 complete'!K152-'Table 1.1 complete'!E152</f>
        <v>2.0000000000010232E-2</v>
      </c>
    </row>
    <row r="157" spans="1:36" x14ac:dyDescent="0.25">
      <c r="C157" s="456" t="str">
        <f>GEP_add1!P158</f>
        <v>OECD Europe</v>
      </c>
      <c r="D157" s="452">
        <f>GEP_add1!Q158</f>
        <v>35</v>
      </c>
      <c r="E157" s="456" t="str">
        <f>GEP_add1!R158</f>
        <v>zOECD Europe</v>
      </c>
      <c r="F157" s="453">
        <f>GEP_add1!S158</f>
        <v>99</v>
      </c>
      <c r="G157" s="382">
        <f>IF(GEP!F156="-",,GEP!F156)</f>
        <v>446.42</v>
      </c>
      <c r="H157" s="382">
        <f>IF(GEP!G156="-",,GEP!G156/2)</f>
        <v>915.11500000000001</v>
      </c>
      <c r="I157" s="382">
        <f>IF(GEP!G156="-",,GEP!G156/2)</f>
        <v>915.11500000000001</v>
      </c>
      <c r="J157" s="382">
        <f>IF(GEP!H156="-",,GEP!H156)</f>
        <v>21.61</v>
      </c>
      <c r="K157" s="382">
        <f>IF(GEP!I156="-",,GEP!I156/2)</f>
        <v>12.77</v>
      </c>
      <c r="L157" s="382">
        <f>IF(GEP!I156="-",,GEP!I156/2)</f>
        <v>12.77</v>
      </c>
      <c r="M157" s="382">
        <f>IF(GEP!J156="-",,GEP!J156/2)</f>
        <v>1969.5050000000001</v>
      </c>
      <c r="N157" s="382">
        <f>IF(GEP!J156="-",,GEP!J156/2)</f>
        <v>1969.5050000000001</v>
      </c>
      <c r="O157" s="382">
        <f>IF(GEP!K156="-",,GEP!K156)</f>
        <v>276.32</v>
      </c>
      <c r="P157" s="382">
        <f>IF(GEP!N156="-",,GEP!N156/3)</f>
        <v>227.97</v>
      </c>
      <c r="Q157" s="382">
        <f>IF(GEP!N156="-",,GEP!N156/3)</f>
        <v>227.97</v>
      </c>
      <c r="R157" s="382">
        <f>IF(GEP!N156="-",,GEP!N156/3)</f>
        <v>227.97</v>
      </c>
      <c r="S157" s="382">
        <f>IF(GEP!O156="-",,GEP!O156/3)</f>
        <v>606.36</v>
      </c>
      <c r="T157" s="382">
        <f>IF(GEP!O156="-",,GEP!O156/3)</f>
        <v>606.36</v>
      </c>
      <c r="U157" s="382">
        <f>IF(GEP!O156="-",,GEP!O156/3)</f>
        <v>606.36</v>
      </c>
      <c r="V157" s="382">
        <f>IF(GEP!P156="-",IF(GEP!S156="-",,GEP!S156),IF(GEP!S156="-",GEP!P156,GEP!P156+GEP!S156))</f>
        <v>36.160000000000004</v>
      </c>
      <c r="W157" s="382">
        <v>0</v>
      </c>
      <c r="X157" s="382">
        <v>0</v>
      </c>
      <c r="Y157" s="382">
        <f>IF(GEP!L156="-",,GEP!L156)</f>
        <v>0.79</v>
      </c>
      <c r="Z157" s="382">
        <f>IF(GEP!M156="-",,GEP!M156)</f>
        <v>42.28</v>
      </c>
      <c r="AA157" s="382">
        <f>IF(GEP!Q156="-",,GEP!Q156)</f>
        <v>2.0699999999999998</v>
      </c>
      <c r="AB157" s="382">
        <f>IF(GEP!R156="-",,GEP!R156)</f>
        <v>3.02</v>
      </c>
      <c r="AC157" s="382">
        <f>IF(GEP!P156="-",,GEP!P156)</f>
        <v>36.020000000000003</v>
      </c>
      <c r="AD157" s="382">
        <f>IF(GEP!S156="-",,GEP!S156)</f>
        <v>0.14000000000000001</v>
      </c>
      <c r="AE157" s="454">
        <f t="shared" si="4"/>
        <v>9126.4400000000023</v>
      </c>
      <c r="AF157" s="454">
        <f t="shared" si="5"/>
        <v>9078.2800000000007</v>
      </c>
      <c r="AG157" s="455" t="str">
        <f>IF(C157='Table 1.1 complete'!A153,AE157-'Table 1.1 complete'!E153,"error")</f>
        <v>error</v>
      </c>
      <c r="AH157" s="382" t="str">
        <f>IF(C157='Table 1.2 complete'!A153,AE157-'Table 1.2 complete'!K153,"error")</f>
        <v>error</v>
      </c>
      <c r="AI157" s="455">
        <f>'Table 1.2 complete'!K153-'Table 1.1 complete'!E153</f>
        <v>3.0000000000654836E-2</v>
      </c>
    </row>
    <row r="158" spans="1:36" x14ac:dyDescent="0.25">
      <c r="C158" s="456" t="str">
        <f>GEP_add1!P159</f>
        <v>OECD N. America</v>
      </c>
      <c r="D158" s="452">
        <f>GEP_add1!Q159</f>
        <v>37</v>
      </c>
      <c r="E158" s="456" t="str">
        <f>GEP_add1!R159</f>
        <v>zOECD N. America</v>
      </c>
      <c r="F158" s="453">
        <f>GEP_add1!S159</f>
        <v>99</v>
      </c>
      <c r="G158" s="382">
        <f>IF(GEP!F157="-",,GEP!F157)</f>
        <v>446.42</v>
      </c>
      <c r="H158" s="382">
        <f>IF(GEP!G157="-",,GEP!G157/2)</f>
        <v>915.11500000000001</v>
      </c>
      <c r="I158" s="382">
        <f>IF(GEP!G157="-",,GEP!G157/2)</f>
        <v>915.11500000000001</v>
      </c>
      <c r="J158" s="382">
        <f>IF(GEP!H157="-",,GEP!H157)</f>
        <v>21.61</v>
      </c>
      <c r="K158" s="382">
        <f>IF(GEP!I157="-",,GEP!I157/2)</f>
        <v>12.77</v>
      </c>
      <c r="L158" s="382">
        <f>IF(GEP!I157="-",,GEP!I157/2)</f>
        <v>12.77</v>
      </c>
      <c r="M158" s="382">
        <f>IF(GEP!J157="-",,GEP!J157/2)</f>
        <v>1969.5050000000001</v>
      </c>
      <c r="N158" s="382">
        <f>IF(GEP!J157="-",,GEP!J157/2)</f>
        <v>1969.5050000000001</v>
      </c>
      <c r="O158" s="382">
        <f>IF(GEP!K157="-",,GEP!K157)</f>
        <v>276.32</v>
      </c>
      <c r="P158" s="382">
        <f>IF(GEP!N157="-",,GEP!N157/3)</f>
        <v>227.97</v>
      </c>
      <c r="Q158" s="382">
        <f>IF(GEP!N157="-",,GEP!N157/3)</f>
        <v>227.97</v>
      </c>
      <c r="R158" s="382">
        <f>IF(GEP!N157="-",,GEP!N157/3)</f>
        <v>227.97</v>
      </c>
      <c r="S158" s="382">
        <f>IF(GEP!O157="-",,GEP!O157/3)</f>
        <v>606.36</v>
      </c>
      <c r="T158" s="382">
        <f>IF(GEP!O157="-",,GEP!O157/3)</f>
        <v>606.36</v>
      </c>
      <c r="U158" s="382">
        <f>IF(GEP!O157="-",,GEP!O157/3)</f>
        <v>606.36</v>
      </c>
      <c r="V158" s="382">
        <f>IF(GEP!P157="-",IF(GEP!S157="-",,GEP!S157),IF(GEP!S157="-",GEP!P157,GEP!P157+GEP!S157))</f>
        <v>36.160000000000004</v>
      </c>
      <c r="W158" s="382">
        <v>0</v>
      </c>
      <c r="X158" s="382">
        <v>0</v>
      </c>
      <c r="Y158" s="382">
        <f>IF(GEP!L157="-",,GEP!L157)</f>
        <v>0.79</v>
      </c>
      <c r="Z158" s="382">
        <f>IF(GEP!M157="-",,GEP!M157)</f>
        <v>42.28</v>
      </c>
      <c r="AA158" s="382">
        <f>IF(GEP!Q157="-",,GEP!Q157)</f>
        <v>2.0699999999999998</v>
      </c>
      <c r="AB158" s="382">
        <f>IF(GEP!R157="-",,GEP!R157)</f>
        <v>3.02</v>
      </c>
      <c r="AC158" s="382">
        <f>IF(GEP!P157="-",,GEP!P157)</f>
        <v>36.020000000000003</v>
      </c>
      <c r="AD158" s="382">
        <f>IF(GEP!S157="-",,GEP!S157)</f>
        <v>0.14000000000000001</v>
      </c>
      <c r="AE158" s="454">
        <f t="shared" si="4"/>
        <v>9126.4400000000023</v>
      </c>
      <c r="AF158" s="454">
        <f t="shared" si="5"/>
        <v>9078.2800000000007</v>
      </c>
      <c r="AG158" s="455" t="str">
        <f>IF(C158='Table 1.1 complete'!A154,AE158-'Table 1.1 complete'!E154,"error")</f>
        <v>error</v>
      </c>
      <c r="AH158" s="382" t="str">
        <f>IF(C158='Table 1.2 complete'!A154,AE158-'Table 1.2 complete'!K154,"error")</f>
        <v>error</v>
      </c>
      <c r="AI158" s="455">
        <f>'Table 1.2 complete'!K154-'Table 1.1 complete'!E154</f>
        <v>3.0000000000654836E-2</v>
      </c>
    </row>
    <row r="159" spans="1:36" x14ac:dyDescent="0.25">
      <c r="C159" s="456" t="str">
        <f>GEP_add1!P160</f>
        <v>OECD Pacific</v>
      </c>
      <c r="D159" s="452">
        <f>GEP_add1!Q160</f>
        <v>36</v>
      </c>
      <c r="E159" s="456" t="str">
        <f>GEP_add1!R160</f>
        <v>zOECD Pacific</v>
      </c>
      <c r="F159" s="453">
        <f>GEP_add1!S160</f>
        <v>99</v>
      </c>
      <c r="G159" s="382">
        <f>IF(GEP!F158="-",,GEP!F158)</f>
        <v>925.32</v>
      </c>
      <c r="H159" s="382">
        <f>IF(GEP!G158="-",,GEP!G158/2)</f>
        <v>266.55500000000001</v>
      </c>
      <c r="I159" s="382">
        <f>IF(GEP!G158="-",,GEP!G158/2)</f>
        <v>266.55500000000001</v>
      </c>
      <c r="J159" s="382">
        <f>IF(GEP!H158="-",,GEP!H158)</f>
        <v>9.51</v>
      </c>
      <c r="K159" s="382">
        <f>IF(GEP!I158="-",,GEP!I158/2)</f>
        <v>55.965000000000003</v>
      </c>
      <c r="L159" s="382">
        <f>IF(GEP!I158="-",,GEP!I158/2)</f>
        <v>55.965000000000003</v>
      </c>
      <c r="M159" s="382">
        <f>IF(GEP!J158="-",,GEP!J158/2)</f>
        <v>300.21499999999997</v>
      </c>
      <c r="N159" s="382">
        <f>IF(GEP!J158="-",,GEP!J158/2)</f>
        <v>300.21499999999997</v>
      </c>
      <c r="O159" s="382">
        <f>IF(GEP!K158="-",,GEP!K158)</f>
        <v>366.37</v>
      </c>
      <c r="P159" s="382">
        <f>IF(GEP!N158="-",,GEP!N158/3)</f>
        <v>36.630000000000003</v>
      </c>
      <c r="Q159" s="382">
        <f>IF(GEP!N158="-",,GEP!N158/3)</f>
        <v>36.630000000000003</v>
      </c>
      <c r="R159" s="382">
        <f>IF(GEP!N158="-",,GEP!N158/3)</f>
        <v>36.630000000000003</v>
      </c>
      <c r="S159" s="382">
        <f>IF(GEP!O158="-",,GEP!O158/3)</f>
        <v>267.31666666666666</v>
      </c>
      <c r="T159" s="382">
        <f>IF(GEP!O158="-",,GEP!O158/3)</f>
        <v>267.31666666666666</v>
      </c>
      <c r="U159" s="382">
        <f>IF(GEP!O158="-",,GEP!O158/3)</f>
        <v>267.31666666666666</v>
      </c>
      <c r="V159" s="382">
        <f>IF(GEP!P158="-",IF(GEP!S158="-",,GEP!S158),IF(GEP!S158="-",GEP!P158,GEP!P158+GEP!S158))</f>
        <v>74.88</v>
      </c>
      <c r="W159" s="382">
        <v>0</v>
      </c>
      <c r="X159" s="382">
        <v>0</v>
      </c>
      <c r="Y159" s="382">
        <f>IF(GEP!L158="-",,GEP!L158)</f>
        <v>9.93</v>
      </c>
      <c r="Z159" s="382">
        <f>IF(GEP!M158="-",,GEP!M158)</f>
        <v>35.97</v>
      </c>
      <c r="AA159" s="382">
        <f>IF(GEP!Q158="-",,GEP!Q158)</f>
        <v>3.96</v>
      </c>
      <c r="AB159" s="382">
        <f>IF(GEP!R158="-",,GEP!R158)</f>
        <v>29.25</v>
      </c>
      <c r="AC159" s="382">
        <f>IF(GEP!P158="-",,GEP!P158)</f>
        <v>52.63</v>
      </c>
      <c r="AD159" s="382">
        <f>IF(GEP!S158="-",,GEP!S158)</f>
        <v>22.25</v>
      </c>
      <c r="AE159" s="454">
        <f t="shared" si="4"/>
        <v>3612.4999999999995</v>
      </c>
      <c r="AF159" s="454">
        <f t="shared" si="5"/>
        <v>3533.39</v>
      </c>
      <c r="AG159" s="455" t="str">
        <f>IF(C159='Table 1.1 complete'!A155,AE159-'Table 1.1 complete'!E155,"error")</f>
        <v>error</v>
      </c>
      <c r="AH159" s="382" t="str">
        <f>IF(C159='Table 1.2 complete'!A155,AE159-'Table 1.2 complete'!K155,"error")</f>
        <v>error</v>
      </c>
      <c r="AI159" s="455">
        <f>'Table 1.2 complete'!K155-'Table 1.1 complete'!E155</f>
        <v>0</v>
      </c>
    </row>
    <row r="160" spans="1:36" x14ac:dyDescent="0.25">
      <c r="C160" s="451" t="str">
        <f>GEP_add1!P161</f>
        <v>OECD Total</v>
      </c>
      <c r="D160" s="452">
        <f>GEP_add1!Q161</f>
        <v>34</v>
      </c>
      <c r="E160" s="451" t="str">
        <f>GEP_add1!R161</f>
        <v>zOECD Total</v>
      </c>
      <c r="F160" s="453">
        <f>GEP_add1!S161</f>
        <v>99</v>
      </c>
      <c r="G160" s="382">
        <f>IF(GEP!F159="-",,GEP!F159)</f>
        <v>940.55</v>
      </c>
      <c r="H160" s="382">
        <f>IF(GEP!G159="-",,GEP!G159/2)</f>
        <v>335.67</v>
      </c>
      <c r="I160" s="382">
        <f>IF(GEP!G159="-",,GEP!G159/2)</f>
        <v>335.67</v>
      </c>
      <c r="J160" s="382">
        <f>IF(GEP!H159="-",,GEP!H159)</f>
        <v>24.2</v>
      </c>
      <c r="K160" s="382">
        <f>IF(GEP!I159="-",,GEP!I159/2)</f>
        <v>19.895</v>
      </c>
      <c r="L160" s="382">
        <f>IF(GEP!I159="-",,GEP!I159/2)</f>
        <v>19.895</v>
      </c>
      <c r="M160" s="382">
        <f>IF(GEP!J159="-",,GEP!J159/2)</f>
        <v>1050.7249999999999</v>
      </c>
      <c r="N160" s="382">
        <f>IF(GEP!J159="-",,GEP!J159/2)</f>
        <v>1050.7249999999999</v>
      </c>
      <c r="O160" s="382">
        <f>IF(GEP!K159="-",,GEP!K159)</f>
        <v>159.99</v>
      </c>
      <c r="P160" s="382">
        <f>IF(GEP!N159="-",,GEP!N159/3)</f>
        <v>46.74666666666667</v>
      </c>
      <c r="Q160" s="382">
        <f>IF(GEP!N159="-",,GEP!N159/3)</f>
        <v>46.74666666666667</v>
      </c>
      <c r="R160" s="382">
        <f>IF(GEP!N159="-",,GEP!N159/3)</f>
        <v>46.74666666666667</v>
      </c>
      <c r="S160" s="382">
        <f>IF(GEP!O159="-",,GEP!O159/3)</f>
        <v>360.50333333333333</v>
      </c>
      <c r="T160" s="382">
        <f>IF(GEP!O159="-",,GEP!O159/3)</f>
        <v>360.50333333333333</v>
      </c>
      <c r="U160" s="382">
        <f>IF(GEP!O159="-",,GEP!O159/3)</f>
        <v>360.50333333333333</v>
      </c>
      <c r="V160" s="382">
        <f>IF(GEP!P159="-",IF(GEP!S159="-",,GEP!S159),IF(GEP!S159="-",GEP!P159,GEP!P159+GEP!S159))</f>
        <v>60.5</v>
      </c>
      <c r="W160" s="382">
        <v>0</v>
      </c>
      <c r="X160" s="382">
        <v>0</v>
      </c>
      <c r="Y160" s="382">
        <f>IF(GEP!L159="-",,GEP!L159)</f>
        <v>0</v>
      </c>
      <c r="Z160" s="382">
        <f>IF(GEP!M159="-",,GEP!M159)</f>
        <v>4.33</v>
      </c>
      <c r="AA160" s="382">
        <f>IF(GEP!Q159="-",,GEP!Q159)</f>
        <v>5.01</v>
      </c>
      <c r="AB160" s="382">
        <f>IF(GEP!R159="-",,GEP!R159)</f>
        <v>17.260000000000002</v>
      </c>
      <c r="AC160" s="382">
        <f>IF(GEP!P159="-",,GEP!P159)</f>
        <v>52.14</v>
      </c>
      <c r="AD160" s="382">
        <f>IF(GEP!S159="-",,GEP!S159)</f>
        <v>8.36</v>
      </c>
      <c r="AE160" s="454">
        <f t="shared" si="4"/>
        <v>5246.17</v>
      </c>
      <c r="AF160" s="454">
        <f t="shared" si="5"/>
        <v>5219.57</v>
      </c>
      <c r="AG160" s="455" t="str">
        <f>IF(C160='Table 1.1 complete'!A156,AE160-'Table 1.1 complete'!E156,"error")</f>
        <v>error</v>
      </c>
      <c r="AH160" s="382" t="str">
        <f>IF(C160='Table 1.2 complete'!A156,AE160-'Table 1.2 complete'!K156,"error")</f>
        <v>error</v>
      </c>
      <c r="AI160" s="455">
        <f>'Table 1.2 complete'!K156-'Table 1.1 complete'!E156</f>
        <v>-5.0000000000181899E-2</v>
      </c>
    </row>
    <row r="161" spans="3:35" x14ac:dyDescent="0.25">
      <c r="C161" s="456" t="str">
        <f>GEP_add1!P162</f>
        <v xml:space="preserve">OECD Total     </v>
      </c>
      <c r="D161" s="452">
        <f>GEP_add1!Q162</f>
        <v>1</v>
      </c>
      <c r="E161" s="456" t="str">
        <f>GEP_add1!R162</f>
        <v xml:space="preserve">zOECD Total     </v>
      </c>
      <c r="F161" s="453">
        <f>GEP_add1!S162</f>
        <v>99</v>
      </c>
      <c r="G161" s="382">
        <f>IF(GEP!F160="-",,GEP!F160)</f>
        <v>406.77</v>
      </c>
      <c r="H161" s="382">
        <f>IF(GEP!G160="-",,GEP!G160/2)</f>
        <v>63.76</v>
      </c>
      <c r="I161" s="382">
        <f>IF(GEP!G160="-",,GEP!G160/2)</f>
        <v>63.76</v>
      </c>
      <c r="J161" s="382">
        <f>IF(GEP!H160="-",,GEP!H160)</f>
        <v>6.5</v>
      </c>
      <c r="K161" s="382">
        <f>IF(GEP!I160="-",,GEP!I160/2)</f>
        <v>3.38</v>
      </c>
      <c r="L161" s="382">
        <f>IF(GEP!I160="-",,GEP!I160/2)</f>
        <v>3.38</v>
      </c>
      <c r="M161" s="382">
        <f>IF(GEP!J160="-",,GEP!J160/2)</f>
        <v>283.60500000000002</v>
      </c>
      <c r="N161" s="382">
        <f>IF(GEP!J160="-",,GEP!J160/2)</f>
        <v>283.60500000000002</v>
      </c>
      <c r="O161" s="382">
        <f>IF(GEP!K160="-",,GEP!K160)</f>
        <v>57.5</v>
      </c>
      <c r="P161" s="382">
        <f>IF(GEP!N160="-",,GEP!N160/3)</f>
        <v>61.213333333333331</v>
      </c>
      <c r="Q161" s="382">
        <f>IF(GEP!N160="-",,GEP!N160/3)</f>
        <v>61.213333333333331</v>
      </c>
      <c r="R161" s="382">
        <f>IF(GEP!N160="-",,GEP!N160/3)</f>
        <v>61.213333333333331</v>
      </c>
      <c r="S161" s="382">
        <f>IF(GEP!O160="-",,GEP!O160/3)</f>
        <v>141.13</v>
      </c>
      <c r="T161" s="382">
        <f>IF(GEP!O160="-",,GEP!O160/3)</f>
        <v>141.13</v>
      </c>
      <c r="U161" s="382">
        <f>IF(GEP!O160="-",,GEP!O160/3)</f>
        <v>141.13</v>
      </c>
      <c r="V161" s="382">
        <f>IF(GEP!P160="-",IF(GEP!S160="-",,GEP!S160),IF(GEP!S160="-",GEP!P160,GEP!P160+GEP!S160))</f>
        <v>18.939999999999998</v>
      </c>
      <c r="W161" s="382">
        <v>0</v>
      </c>
      <c r="X161" s="382">
        <v>0</v>
      </c>
      <c r="Y161" s="382">
        <f>IF(GEP!L160="-",,GEP!L160)</f>
        <v>0</v>
      </c>
      <c r="Z161" s="382">
        <f>IF(GEP!M160="-",,GEP!M160)</f>
        <v>54.16</v>
      </c>
      <c r="AA161" s="382">
        <f>IF(GEP!Q160="-",,GEP!Q160)</f>
        <v>0.44</v>
      </c>
      <c r="AB161" s="382">
        <f>IF(GEP!R160="-",,GEP!R160)</f>
        <v>7.03</v>
      </c>
      <c r="AC161" s="382">
        <f>IF(GEP!P160="-",,GEP!P160)</f>
        <v>17.45</v>
      </c>
      <c r="AD161" s="382">
        <f>IF(GEP!S160="-",,GEP!S160)</f>
        <v>1.49</v>
      </c>
      <c r="AE161" s="454">
        <f t="shared" si="4"/>
        <v>1859.8600000000006</v>
      </c>
      <c r="AF161" s="454">
        <f t="shared" si="5"/>
        <v>1798.2300000000005</v>
      </c>
      <c r="AG161" s="455" t="str">
        <f>IF(C161='Table 1.1 complete'!A157,AE161-'Table 1.1 complete'!E157,"error")</f>
        <v>error</v>
      </c>
      <c r="AH161" s="382" t="str">
        <f>IF(C161='Table 1.2 complete'!A157,AE161-'Table 1.2 complete'!K157,"error")</f>
        <v>error</v>
      </c>
      <c r="AI161" s="455">
        <f>'Table 1.2 complete'!K157-'Table 1.1 complete'!E157</f>
        <v>3.999999999996362E-2</v>
      </c>
    </row>
    <row r="162" spans="3:35" x14ac:dyDescent="0.25">
      <c r="C162" s="456" t="str">
        <f>GEP_add1!P163</f>
        <v>World</v>
      </c>
      <c r="D162" s="452">
        <f>GEP_add1!Q163</f>
        <v>3</v>
      </c>
      <c r="E162" s="456" t="str">
        <f>GEP_add1!R163</f>
        <v>zWorld</v>
      </c>
      <c r="F162" s="453">
        <f>GEP_add1!S163</f>
        <v>99</v>
      </c>
      <c r="G162" s="382">
        <f>IF(GEP!F161="-",,GEP!F161)</f>
        <v>2272.64</v>
      </c>
      <c r="H162" s="382">
        <f>IF(GEP!G161="-",,GEP!G161/2)</f>
        <v>665.98</v>
      </c>
      <c r="I162" s="382">
        <f>IF(GEP!G161="-",,GEP!G161/2)</f>
        <v>665.98</v>
      </c>
      <c r="J162" s="382">
        <f>IF(GEP!H161="-",,GEP!H161)</f>
        <v>40.21</v>
      </c>
      <c r="K162" s="382">
        <f>IF(GEP!I161="-",,GEP!I161/2)</f>
        <v>79.239999999999995</v>
      </c>
      <c r="L162" s="382">
        <f>IF(GEP!I161="-",,GEP!I161/2)</f>
        <v>79.239999999999995</v>
      </c>
      <c r="M162" s="382">
        <f>IF(GEP!J161="-",,GEP!J161/2)</f>
        <v>1634.5450000000001</v>
      </c>
      <c r="N162" s="382">
        <f>IF(GEP!J161="-",,GEP!J161/2)</f>
        <v>1634.5450000000001</v>
      </c>
      <c r="O162" s="382">
        <f>IF(GEP!K161="-",,GEP!K161)</f>
        <v>583.85</v>
      </c>
      <c r="P162" s="382">
        <f>IF(GEP!N161="-",,GEP!N161/3)</f>
        <v>144.59</v>
      </c>
      <c r="Q162" s="382">
        <f>IF(GEP!N161="-",,GEP!N161/3)</f>
        <v>144.59</v>
      </c>
      <c r="R162" s="382">
        <f>IF(GEP!N161="-",,GEP!N161/3)</f>
        <v>144.59</v>
      </c>
      <c r="S162" s="382">
        <f>IF(GEP!O161="-",,GEP!O161/3)</f>
        <v>768.94999999999993</v>
      </c>
      <c r="T162" s="382">
        <f>IF(GEP!O161="-",,GEP!O161/3)</f>
        <v>768.94999999999993</v>
      </c>
      <c r="U162" s="382">
        <f>IF(GEP!O161="-",,GEP!O161/3)</f>
        <v>768.94999999999993</v>
      </c>
      <c r="V162" s="382">
        <f>IF(GEP!P161="-",IF(GEP!S161="-",,GEP!S161),IF(GEP!S161="-",GEP!P161,GEP!P161+GEP!S161))</f>
        <v>154.31</v>
      </c>
      <c r="W162" s="382">
        <v>0</v>
      </c>
      <c r="X162" s="382">
        <v>0</v>
      </c>
      <c r="Y162" s="382">
        <f>IF(GEP!L161="-",,GEP!L161)</f>
        <v>9.93</v>
      </c>
      <c r="Z162" s="382">
        <f>IF(GEP!M161="-",,GEP!M161)</f>
        <v>94.46</v>
      </c>
      <c r="AA162" s="382">
        <f>IF(GEP!Q161="-",,GEP!Q161)</f>
        <v>9.41</v>
      </c>
      <c r="AB162" s="382">
        <f>IF(GEP!R161="-",,GEP!R161)</f>
        <v>53.55</v>
      </c>
      <c r="AC162" s="382">
        <f>IF(GEP!P161="-",,GEP!P161)</f>
        <v>122.22</v>
      </c>
      <c r="AD162" s="382">
        <f>IF(GEP!S161="-",,GEP!S161)</f>
        <v>32.090000000000003</v>
      </c>
      <c r="AE162" s="454">
        <f t="shared" si="4"/>
        <v>10718.51</v>
      </c>
      <c r="AF162" s="454">
        <f t="shared" si="5"/>
        <v>10551.160000000002</v>
      </c>
      <c r="AG162" s="455" t="str">
        <f>IF(C162='Table 1.1 complete'!A158,AE162-'Table 1.1 complete'!E158,"error")</f>
        <v>error</v>
      </c>
      <c r="AH162" s="382" t="str">
        <f>IF(C162='Table 1.2 complete'!A158,AE162-'Table 1.2 complete'!K158,"error")</f>
        <v>error</v>
      </c>
      <c r="AI162" s="455">
        <f>'Table 1.2 complete'!K158-'Table 1.1 complete'!E158</f>
        <v>-1.0000000000218279E-2</v>
      </c>
    </row>
    <row r="163" spans="3:35" x14ac:dyDescent="0.25">
      <c r="C163" s="456" t="str">
        <f>GEP_add1!P164</f>
        <v>Indonesia</v>
      </c>
      <c r="D163" s="452">
        <f>GEP_add1!Q164</f>
        <v>95</v>
      </c>
      <c r="E163" s="456" t="str">
        <f>GEP_add1!R164</f>
        <v>OPE</v>
      </c>
      <c r="F163" s="453">
        <f>GEP_add1!S164</f>
        <v>316</v>
      </c>
      <c r="G163" s="382">
        <f>IF(GEP!F162="-",,GEP!F162)</f>
        <v>2272.64</v>
      </c>
      <c r="H163" s="382">
        <f>IF(GEP!G162="-",,GEP!G162/2)</f>
        <v>665.98</v>
      </c>
      <c r="I163" s="382">
        <f>IF(GEP!G162="-",,GEP!G162/2)</f>
        <v>665.98</v>
      </c>
      <c r="J163" s="382">
        <f>IF(GEP!H162="-",,GEP!H162)</f>
        <v>40.21</v>
      </c>
      <c r="K163" s="382">
        <f>IF(GEP!I162="-",,GEP!I162/2)</f>
        <v>79.239999999999995</v>
      </c>
      <c r="L163" s="382">
        <f>IF(GEP!I162="-",,GEP!I162/2)</f>
        <v>79.239999999999995</v>
      </c>
      <c r="M163" s="382">
        <f>IF(GEP!J162="-",,GEP!J162/2)</f>
        <v>1634.5450000000001</v>
      </c>
      <c r="N163" s="382">
        <f>IF(GEP!J162="-",,GEP!J162/2)</f>
        <v>1634.5450000000001</v>
      </c>
      <c r="O163" s="382">
        <f>IF(GEP!K162="-",,GEP!K162)</f>
        <v>583.85</v>
      </c>
      <c r="P163" s="382">
        <f>IF(GEP!N162="-",,GEP!N162/3)</f>
        <v>144.59</v>
      </c>
      <c r="Q163" s="382">
        <f>IF(GEP!N162="-",,GEP!N162/3)</f>
        <v>144.59</v>
      </c>
      <c r="R163" s="382">
        <f>IF(GEP!N162="-",,GEP!N162/3)</f>
        <v>144.59</v>
      </c>
      <c r="S163" s="382">
        <f>IF(GEP!O162="-",,GEP!O162/3)</f>
        <v>768.94999999999993</v>
      </c>
      <c r="T163" s="382">
        <f>IF(GEP!O162="-",,GEP!O162/3)</f>
        <v>768.94999999999993</v>
      </c>
      <c r="U163" s="382">
        <f>IF(GEP!O162="-",,GEP!O162/3)</f>
        <v>768.94999999999993</v>
      </c>
      <c r="V163" s="382">
        <f>IF(GEP!P162="-",IF(GEP!S162="-",,GEP!S162),IF(GEP!S162="-",GEP!P162,GEP!P162+GEP!S162))</f>
        <v>154.31</v>
      </c>
      <c r="W163" s="382">
        <v>0</v>
      </c>
      <c r="X163" s="382">
        <v>0</v>
      </c>
      <c r="Y163" s="382">
        <f>IF(GEP!L162="-",,GEP!L162)</f>
        <v>9.93</v>
      </c>
      <c r="Z163" s="382">
        <f>IF(GEP!M162="-",,GEP!M162)</f>
        <v>94.46</v>
      </c>
      <c r="AA163" s="382">
        <f>IF(GEP!Q162="-",,GEP!Q162)</f>
        <v>9.41</v>
      </c>
      <c r="AB163" s="382">
        <f>IF(GEP!R162="-",,GEP!R162)</f>
        <v>53.55</v>
      </c>
      <c r="AC163" s="382">
        <f>IF(GEP!P162="-",,GEP!P162)</f>
        <v>122.22</v>
      </c>
      <c r="AD163" s="382">
        <f>IF(GEP!S162="-",,GEP!S162)</f>
        <v>32.090000000000003</v>
      </c>
      <c r="AE163" s="454">
        <f t="shared" si="4"/>
        <v>10718.51</v>
      </c>
      <c r="AF163" s="454">
        <f t="shared" si="5"/>
        <v>10551.160000000002</v>
      </c>
      <c r="AG163" s="455" t="str">
        <f>IF(C163='Table 1.1 complete'!A159,AE163-'Table 1.1 complete'!E159,"error")</f>
        <v>error</v>
      </c>
      <c r="AH163" s="382" t="str">
        <f>IF(C163='Table 1.2 complete'!A159,AE163-'Table 1.2 complete'!K159,"error")</f>
        <v>error</v>
      </c>
      <c r="AI163" s="455">
        <f>'Table 1.2 complete'!K159-'Table 1.1 complete'!E159</f>
        <v>-1.0000000000218279E-2</v>
      </c>
    </row>
    <row r="164" spans="3:35" x14ac:dyDescent="0.25">
      <c r="C164" s="457" t="str">
        <f>GEP_add1!P71</f>
        <v>Ecuador</v>
      </c>
      <c r="D164" s="458">
        <f>GEP_add1!Q71</f>
        <v>75</v>
      </c>
      <c r="E164" s="457" t="str">
        <f>GEP_add1!R71</f>
        <v>OPE</v>
      </c>
      <c r="F164" s="459">
        <f>GEP_add1!S71</f>
        <v>16</v>
      </c>
      <c r="G164" s="383">
        <f>IF(GEP!F163="-",,GEP!F163)</f>
        <v>2719.06</v>
      </c>
      <c r="H164" s="383">
        <f>IF(GEP!G163="-",,GEP!G163/2)</f>
        <v>1581.095</v>
      </c>
      <c r="I164" s="383">
        <f>IF(GEP!G163="-",,GEP!G163/2)</f>
        <v>1581.095</v>
      </c>
      <c r="J164" s="383">
        <f>IF(GEP!H163="-",,GEP!H163)</f>
        <v>61.82</v>
      </c>
      <c r="K164" s="383">
        <f>IF(GEP!I163="-",,GEP!I163/2)</f>
        <v>92.01</v>
      </c>
      <c r="L164" s="383">
        <f>IF(GEP!I163="-",,GEP!I163/2)</f>
        <v>92.01</v>
      </c>
      <c r="M164" s="383">
        <f>IF(GEP!J163="-",,GEP!J163/2)</f>
        <v>3604.05</v>
      </c>
      <c r="N164" s="383">
        <f>IF(GEP!J163="-",,GEP!J163/2)</f>
        <v>3604.05</v>
      </c>
      <c r="O164" s="383">
        <f>IF(GEP!K163="-",,GEP!K163)</f>
        <v>860.17</v>
      </c>
      <c r="P164" s="383">
        <f>IF(GEP!N163="-",,GEP!N163/3)</f>
        <v>372.56</v>
      </c>
      <c r="Q164" s="383">
        <f>IF(GEP!N163="-",,GEP!N163/3)</f>
        <v>372.56</v>
      </c>
      <c r="R164" s="383">
        <f>IF(GEP!N163="-",,GEP!N163/3)</f>
        <v>372.56</v>
      </c>
      <c r="S164" s="383">
        <f>IF(GEP!O163="-",,GEP!O163/3)</f>
        <v>1375.3100000000002</v>
      </c>
      <c r="T164" s="383">
        <f>IF(GEP!O163="-",,GEP!O163/3)</f>
        <v>1375.3100000000002</v>
      </c>
      <c r="U164" s="383">
        <f>IF(GEP!O163="-",,GEP!O163/3)</f>
        <v>1375.3100000000002</v>
      </c>
      <c r="V164" s="383">
        <f>IF(GEP!P163="-",IF(GEP!S163="-",,GEP!S163),IF(GEP!S163="-",GEP!P163,GEP!P163+GEP!S163))</f>
        <v>190.47</v>
      </c>
      <c r="W164" s="383">
        <v>0</v>
      </c>
      <c r="X164" s="383">
        <v>0</v>
      </c>
      <c r="Y164" s="383">
        <f>IF(GEP!L163="-",,GEP!L163)</f>
        <v>10.72</v>
      </c>
      <c r="Z164" s="383">
        <f>IF(GEP!M163="-",,GEP!M163)</f>
        <v>136.72999999999999</v>
      </c>
      <c r="AA164" s="383">
        <f>IF(GEP!Q163="-",,GEP!Q163)</f>
        <v>11.47</v>
      </c>
      <c r="AB164" s="383">
        <f>IF(GEP!R163="-",,GEP!R163)</f>
        <v>56.56</v>
      </c>
      <c r="AC164" s="383">
        <f>IF(GEP!P163="-",,GEP!P163)</f>
        <v>158.24</v>
      </c>
      <c r="AD164" s="383">
        <f>IF(GEP!S163="-",,GEP!S163)</f>
        <v>32.229999999999997</v>
      </c>
      <c r="AE164" s="460">
        <f t="shared" si="4"/>
        <v>19844.920000000006</v>
      </c>
      <c r="AF164" s="460">
        <f t="shared" si="5"/>
        <v>19629.440000000002</v>
      </c>
      <c r="AG164" s="461" t="str">
        <f>IF(C164='Table 1.1 complete'!A160,AE164-'Table 1.1 complete'!E160,"error")</f>
        <v>error</v>
      </c>
      <c r="AH164" s="383" t="str">
        <f>IF(C164='Table 1.2 complete'!A160,AE164-'Table 1.2 complete'!K160,"error")</f>
        <v>error</v>
      </c>
      <c r="AI164" s="461">
        <f>'Table 1.2 complete'!K160-'Table 1.1 complete'!E160</f>
        <v>1.9999999996798579E-2</v>
      </c>
    </row>
  </sheetData>
  <mergeCells count="19">
    <mergeCell ref="AG6:AI6"/>
    <mergeCell ref="G5:G7"/>
    <mergeCell ref="G2:AD2"/>
    <mergeCell ref="G3:L3"/>
    <mergeCell ref="M3:AD3"/>
    <mergeCell ref="G4:AD4"/>
    <mergeCell ref="H5:L7"/>
    <mergeCell ref="M5:AD5"/>
    <mergeCell ref="M6:U6"/>
    <mergeCell ref="V6:AD7"/>
    <mergeCell ref="M7:O7"/>
    <mergeCell ref="P7:U7"/>
    <mergeCell ref="H8:I8"/>
    <mergeCell ref="M8:N8"/>
    <mergeCell ref="P8:R8"/>
    <mergeCell ref="W8:X8"/>
    <mergeCell ref="AF6:AF9"/>
    <mergeCell ref="K8:L8"/>
    <mergeCell ref="S8:U8"/>
  </mergeCells>
  <conditionalFormatting sqref="G10:AD164">
    <cfRule type="cellIs" dxfId="197" priority="4" operator="equal">
      <formula>"error"</formula>
    </cfRule>
  </conditionalFormatting>
  <conditionalFormatting sqref="G10:AD164">
    <cfRule type="cellIs" dxfId="196" priority="3" operator="equal">
      <formula>0</formula>
    </cfRule>
  </conditionalFormatting>
  <conditionalFormatting sqref="AG10:AI164">
    <cfRule type="cellIs" dxfId="195" priority="1" operator="lessThan">
      <formula>-0.04</formula>
    </cfRule>
    <cfRule type="cellIs" dxfId="194" priority="2" operator="greaterThan">
      <formula>0.04</formula>
    </cfRule>
  </conditionalFormatting>
  <hyperlinks>
    <hyperlink ref="F3" r:id="rId1"/>
  </hyperlinks>
  <pageMargins left="0.7" right="0.7" top="0.78740157499999996" bottom="0.78740157499999996" header="0.3" footer="0.3"/>
  <pageSetup paperSize="9" scale="29"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1"/>
  <sheetViews>
    <sheetView zoomScale="80" zoomScaleNormal="80" workbookViewId="0">
      <selection activeCell="S26" sqref="S10:S26"/>
    </sheetView>
  </sheetViews>
  <sheetFormatPr baseColWidth="10" defaultRowHeight="15" x14ac:dyDescent="0.25"/>
  <cols>
    <col min="1" max="1" width="2.28515625" style="86" customWidth="1"/>
    <col min="2" max="2" width="3.7109375" style="86" customWidth="1"/>
    <col min="3" max="3" width="17.85546875" bestFit="1" customWidth="1"/>
    <col min="4" max="4" width="18.5703125" style="55" customWidth="1"/>
    <col min="5" max="5" width="10.85546875" bestFit="1" customWidth="1"/>
    <col min="6" max="6" width="18.85546875" bestFit="1" customWidth="1"/>
    <col min="7" max="7" width="14.5703125" bestFit="1" customWidth="1"/>
    <col min="8" max="8" width="18.42578125" bestFit="1" customWidth="1"/>
    <col min="9" max="9" width="25.140625" bestFit="1" customWidth="1"/>
    <col min="10" max="10" width="14.140625" bestFit="1" customWidth="1"/>
    <col min="11" max="11" width="8" bestFit="1" customWidth="1"/>
    <col min="12" max="12" width="9.42578125" bestFit="1" customWidth="1"/>
    <col min="13" max="13" width="18.140625" bestFit="1" customWidth="1"/>
    <col min="14" max="14" width="20.85546875" bestFit="1" customWidth="1"/>
    <col min="15" max="15" width="9.28515625" bestFit="1" customWidth="1"/>
    <col min="16" max="16" width="16.28515625" bestFit="1" customWidth="1"/>
    <col min="17" max="17" width="17.85546875" customWidth="1"/>
    <col min="18" max="18" width="17.85546875" bestFit="1" customWidth="1"/>
    <col min="19" max="19" width="12.140625" style="152" customWidth="1"/>
    <col min="20" max="21" width="17.7109375" bestFit="1" customWidth="1"/>
    <col min="22" max="22" width="20.5703125" customWidth="1"/>
  </cols>
  <sheetData>
    <row r="1" spans="1:22" s="86" customFormat="1" ht="4.5" customHeight="1" x14ac:dyDescent="0.25">
      <c r="D1" s="153"/>
      <c r="S1" s="146"/>
    </row>
    <row r="2" spans="1:22" x14ac:dyDescent="0.25">
      <c r="C2" s="86"/>
      <c r="D2" s="153"/>
      <c r="E2" s="728" t="s">
        <v>269</v>
      </c>
      <c r="F2" s="728"/>
      <c r="G2" s="728"/>
      <c r="H2" s="728"/>
      <c r="I2" s="728"/>
      <c r="J2" s="728"/>
      <c r="K2" s="728"/>
      <c r="L2" s="728"/>
      <c r="M2" s="728"/>
      <c r="N2" s="728"/>
      <c r="O2" s="728"/>
      <c r="P2" s="728"/>
      <c r="Q2" s="728"/>
      <c r="R2" s="728"/>
      <c r="S2" s="146"/>
      <c r="T2" s="270" t="s">
        <v>309</v>
      </c>
      <c r="U2" s="86"/>
      <c r="V2" s="86"/>
    </row>
    <row r="3" spans="1:22" x14ac:dyDescent="0.25">
      <c r="C3" s="500" t="s">
        <v>375</v>
      </c>
      <c r="D3" s="153"/>
      <c r="E3" s="727" t="s">
        <v>267</v>
      </c>
      <c r="F3" s="727"/>
      <c r="G3" s="727"/>
      <c r="H3" s="727"/>
      <c r="I3" s="727" t="s">
        <v>268</v>
      </c>
      <c r="J3" s="727"/>
      <c r="K3" s="727"/>
      <c r="L3" s="727"/>
      <c r="M3" s="727"/>
      <c r="N3" s="727"/>
      <c r="O3" s="727"/>
      <c r="P3" s="727"/>
      <c r="Q3" s="727"/>
      <c r="R3" s="727"/>
      <c r="S3" s="146"/>
      <c r="T3" s="86"/>
      <c r="U3" s="86"/>
      <c r="V3" s="86"/>
    </row>
    <row r="4" spans="1:22" ht="21.75" customHeight="1" x14ac:dyDescent="0.35">
      <c r="C4" s="56" t="s">
        <v>274</v>
      </c>
      <c r="D4" s="153"/>
      <c r="E4" s="732" t="s">
        <v>272</v>
      </c>
      <c r="F4" s="733"/>
      <c r="G4" s="733"/>
      <c r="H4" s="733"/>
      <c r="I4" s="733"/>
      <c r="J4" s="733"/>
      <c r="K4" s="733"/>
      <c r="L4" s="733"/>
      <c r="M4" s="733"/>
      <c r="N4" s="733"/>
      <c r="O4" s="733"/>
      <c r="P4" s="733"/>
      <c r="Q4" s="733"/>
      <c r="R4" s="734"/>
      <c r="S4" s="146"/>
      <c r="T4" s="86"/>
      <c r="U4" s="86"/>
      <c r="V4" s="86"/>
    </row>
    <row r="5" spans="1:22" ht="18" customHeight="1" x14ac:dyDescent="0.25">
      <c r="C5" s="154" t="s">
        <v>273</v>
      </c>
      <c r="D5" s="153"/>
      <c r="E5" s="735" t="s">
        <v>257</v>
      </c>
      <c r="F5" s="738" t="s">
        <v>256</v>
      </c>
      <c r="G5" s="739"/>
      <c r="H5" s="740"/>
      <c r="I5" s="747" t="s">
        <v>258</v>
      </c>
      <c r="J5" s="748"/>
      <c r="K5" s="748"/>
      <c r="L5" s="748"/>
      <c r="M5" s="748"/>
      <c r="N5" s="748"/>
      <c r="O5" s="748"/>
      <c r="P5" s="748"/>
      <c r="Q5" s="748"/>
      <c r="R5" s="749"/>
      <c r="S5" s="146"/>
      <c r="T5" s="86"/>
      <c r="U5" s="86"/>
      <c r="V5" s="86"/>
    </row>
    <row r="6" spans="1:22" ht="17.25" customHeight="1" x14ac:dyDescent="0.25">
      <c r="C6" s="154">
        <v>2007</v>
      </c>
      <c r="D6" s="153"/>
      <c r="E6" s="736"/>
      <c r="F6" s="741"/>
      <c r="G6" s="742"/>
      <c r="H6" s="743"/>
      <c r="I6" s="750" t="s">
        <v>251</v>
      </c>
      <c r="J6" s="751"/>
      <c r="K6" s="751"/>
      <c r="L6" s="751"/>
      <c r="M6" s="751"/>
      <c r="N6" s="752"/>
      <c r="O6" s="750" t="s">
        <v>252</v>
      </c>
      <c r="P6" s="751"/>
      <c r="Q6" s="751"/>
      <c r="R6" s="752"/>
      <c r="S6" s="146"/>
      <c r="T6" s="729" t="s">
        <v>276</v>
      </c>
      <c r="U6" s="730"/>
      <c r="V6" s="731"/>
    </row>
    <row r="7" spans="1:22" ht="17.25" customHeight="1" x14ac:dyDescent="0.25">
      <c r="C7" s="154" t="s">
        <v>2</v>
      </c>
      <c r="D7" s="153"/>
      <c r="E7" s="737"/>
      <c r="F7" s="744"/>
      <c r="G7" s="745"/>
      <c r="H7" s="746"/>
      <c r="I7" s="756" t="s">
        <v>253</v>
      </c>
      <c r="J7" s="757"/>
      <c r="K7" s="757"/>
      <c r="L7" s="758"/>
      <c r="M7" s="753"/>
      <c r="N7" s="755"/>
      <c r="O7" s="753"/>
      <c r="P7" s="754"/>
      <c r="Q7" s="754"/>
      <c r="R7" s="755"/>
      <c r="S7" s="147"/>
      <c r="T7" s="232" t="s">
        <v>303</v>
      </c>
      <c r="U7" s="233" t="s">
        <v>304</v>
      </c>
      <c r="V7" s="144"/>
    </row>
    <row r="8" spans="1:22" ht="17.25" customHeight="1" x14ac:dyDescent="0.25">
      <c r="C8" s="71" t="s">
        <v>275</v>
      </c>
      <c r="D8" s="71" t="s">
        <v>262</v>
      </c>
      <c r="E8" s="54" t="s">
        <v>186</v>
      </c>
      <c r="F8" s="54" t="s">
        <v>187</v>
      </c>
      <c r="G8" s="54" t="s">
        <v>188</v>
      </c>
      <c r="H8" s="54" t="s">
        <v>189</v>
      </c>
      <c r="I8" s="54" t="s">
        <v>201</v>
      </c>
      <c r="J8" s="54" t="s">
        <v>202</v>
      </c>
      <c r="K8" s="265" t="s">
        <v>203</v>
      </c>
      <c r="L8" s="265" t="s">
        <v>204</v>
      </c>
      <c r="M8" s="54" t="s">
        <v>205</v>
      </c>
      <c r="N8" s="54" t="s">
        <v>206</v>
      </c>
      <c r="O8" s="271" t="s">
        <v>207</v>
      </c>
      <c r="P8" s="265" t="s">
        <v>208</v>
      </c>
      <c r="Q8" s="265" t="s">
        <v>209</v>
      </c>
      <c r="R8" s="271" t="s">
        <v>210</v>
      </c>
      <c r="S8" s="148" t="s">
        <v>250</v>
      </c>
      <c r="T8" s="112" t="s">
        <v>270</v>
      </c>
      <c r="U8" s="112" t="s">
        <v>270</v>
      </c>
      <c r="V8" s="145" t="s">
        <v>271</v>
      </c>
    </row>
    <row r="9" spans="1:22" ht="17.25" customHeight="1" x14ac:dyDescent="0.25">
      <c r="C9" s="77"/>
      <c r="D9" s="77"/>
      <c r="E9" s="219" t="s">
        <v>292</v>
      </c>
      <c r="F9" s="219" t="s">
        <v>293</v>
      </c>
      <c r="G9" s="219" t="s">
        <v>294</v>
      </c>
      <c r="H9" s="219" t="s">
        <v>295</v>
      </c>
      <c r="I9" s="219" t="s">
        <v>300</v>
      </c>
      <c r="J9" s="219" t="s">
        <v>296</v>
      </c>
      <c r="K9" s="269" t="s">
        <v>308</v>
      </c>
      <c r="L9" s="269" t="s">
        <v>307</v>
      </c>
      <c r="M9" s="219" t="s">
        <v>297</v>
      </c>
      <c r="N9" s="219" t="s">
        <v>298</v>
      </c>
      <c r="O9" s="219" t="s">
        <v>299</v>
      </c>
      <c r="P9" s="269" t="s">
        <v>301</v>
      </c>
      <c r="Q9" s="269" t="s">
        <v>301</v>
      </c>
      <c r="R9" s="219" t="s">
        <v>299</v>
      </c>
      <c r="S9" s="220"/>
      <c r="T9" s="221"/>
      <c r="U9" s="221"/>
      <c r="V9" s="221"/>
    </row>
    <row r="10" spans="1:22" ht="15" customHeight="1" x14ac:dyDescent="0.25">
      <c r="A10" s="231"/>
      <c r="B10" s="231" t="s">
        <v>302</v>
      </c>
      <c r="C10" s="120">
        <v>1</v>
      </c>
      <c r="D10" s="160" t="s">
        <v>238</v>
      </c>
      <c r="E10" s="109">
        <f>IF(GEP!$D9=GEP_Aggreg!$D10,GEP!F9,"error")</f>
        <v>140.53</v>
      </c>
      <c r="F10" s="109">
        <f>IF(GEP!$D9=GEP_Aggreg!$D10,GEP!G9,"error")</f>
        <v>28.46</v>
      </c>
      <c r="G10" s="109" t="str">
        <f>IF(GEP!$D9=GEP_Aggreg!$D10,GEP!H9,"error")</f>
        <v>-</v>
      </c>
      <c r="H10" s="109">
        <f>IF(GEP!$D9=GEP_Aggreg!$D10,GEP!I9,"error")</f>
        <v>42.79</v>
      </c>
      <c r="I10" s="109">
        <f>IF(GEP!$D9=GEP_Aggreg!$D10,GEP!J9,"error")</f>
        <v>132.27000000000001</v>
      </c>
      <c r="J10" s="109">
        <f>IF(GEP!$D9=GEP_Aggreg!$D10,GEP!K9,"error")</f>
        <v>167.51</v>
      </c>
      <c r="K10" s="109" t="str">
        <f>IF(GEP!$D9=GEP_Aggreg!$D10,GEP!L9,"error")</f>
        <v>-</v>
      </c>
      <c r="L10" s="109">
        <f>IF(GEP!$D9=GEP_Aggreg!$D10,GEP!M9,"error")</f>
        <v>10.78</v>
      </c>
      <c r="M10" s="109">
        <f>IF(GEP!$D9=GEP_Aggreg!$D10,GEP!N9,"error")</f>
        <v>11.08</v>
      </c>
      <c r="N10" s="109">
        <f>IF(GEP!$D9=GEP_Aggreg!$D10,GEP!O9,"error")</f>
        <v>72.91</v>
      </c>
      <c r="O10" s="109">
        <f>IF(GEP!$D9=GEP_Aggreg!$D10,GEP!P9,"error")</f>
        <v>10.38</v>
      </c>
      <c r="P10" s="109">
        <f>IF(GEP!$D9=GEP_Aggreg!$D10,GEP!Q9,"error")</f>
        <v>0.68</v>
      </c>
      <c r="Q10" s="109">
        <f>IF(GEP!$D9=GEP_Aggreg!$D10,GEP!R9,"error")</f>
        <v>8.26</v>
      </c>
      <c r="R10" s="109">
        <f>IF(GEP!$D9=GEP_Aggreg!$D10,GEP!S9,"error")</f>
        <v>11.44</v>
      </c>
      <c r="S10" s="149">
        <f t="shared" ref="S10:S25" si="0">SUM(E10:R10)</f>
        <v>637.09</v>
      </c>
      <c r="T10" s="106">
        <f>IF(D10='Table 1.1 complete'!C6,S10-'Table 1.1 complete'!E6,"error")</f>
        <v>-9.9999999999909051E-3</v>
      </c>
      <c r="U10" s="113">
        <f>IF(D10='Table 1.2 complete'!C6,S10-'Table 1.2 complete'!K6,"error")</f>
        <v>-9.9999999999909051E-3</v>
      </c>
      <c r="V10" s="106">
        <f>'Table 1.2 complete'!K6-'Table 1.1 complete'!E6</f>
        <v>0</v>
      </c>
    </row>
    <row r="11" spans="1:22" x14ac:dyDescent="0.25">
      <c r="A11" s="231"/>
      <c r="B11" s="231" t="s">
        <v>302</v>
      </c>
      <c r="C11" s="125">
        <v>2</v>
      </c>
      <c r="D11" s="165" t="s">
        <v>249</v>
      </c>
      <c r="E11" s="109">
        <f>IF(GEP!$D10=GEP_Aggreg!$D11,GEP!F10,"error")</f>
        <v>439.73</v>
      </c>
      <c r="F11" s="109">
        <f>IF(GEP!$D10=GEP_Aggreg!$D11,GEP!G10,"error")</f>
        <v>63.66</v>
      </c>
      <c r="G11" s="109" t="str">
        <f>IF(GEP!$D10=GEP_Aggreg!$D11,GEP!H10,"error")</f>
        <v>-</v>
      </c>
      <c r="H11" s="109">
        <f>IF(GEP!$D10=GEP_Aggreg!$D11,GEP!I10,"error")</f>
        <v>4.59</v>
      </c>
      <c r="I11" s="109">
        <f>IF(GEP!$D10=GEP_Aggreg!$D11,GEP!J10,"error")</f>
        <v>24.45</v>
      </c>
      <c r="J11" s="109" t="str">
        <f>IF(GEP!$D10=GEP_Aggreg!$D11,GEP!K10,"error")</f>
        <v>-</v>
      </c>
      <c r="K11" s="109" t="str">
        <f>IF(GEP!$D10=GEP_Aggreg!$D11,GEP!L10,"error")</f>
        <v>-</v>
      </c>
      <c r="L11" s="109">
        <f>IF(GEP!$D10=GEP_Aggreg!$D11,GEP!M10,"error")</f>
        <v>3.75</v>
      </c>
      <c r="M11" s="109">
        <f>IF(GEP!$D10=GEP_Aggreg!$D11,GEP!N10,"error")</f>
        <v>6.16</v>
      </c>
      <c r="N11" s="109">
        <f>IF(GEP!$D10=GEP_Aggreg!$D11,GEP!O10,"error")</f>
        <v>21.99</v>
      </c>
      <c r="O11" s="109">
        <f>IF(GEP!$D10=GEP_Aggreg!$D11,GEP!P10,"error")</f>
        <v>1.37</v>
      </c>
      <c r="P11" s="109" t="str">
        <f>IF(GEP!$D10=GEP_Aggreg!$D11,GEP!Q10,"error")</f>
        <v>-</v>
      </c>
      <c r="Q11" s="109">
        <f>IF(GEP!$D10=GEP_Aggreg!$D11,GEP!R10,"error")</f>
        <v>3.51</v>
      </c>
      <c r="R11" s="109">
        <f>IF(GEP!$D10=GEP_Aggreg!$D11,GEP!S10,"error")</f>
        <v>0.64</v>
      </c>
      <c r="S11" s="149">
        <f t="shared" si="0"/>
        <v>569.84999999999991</v>
      </c>
      <c r="T11" s="106">
        <f>IF(D11='Table 1.1 complete'!C7,S11-'Table 1.1 complete'!E7,"error")</f>
        <v>4.9999999999954525E-2</v>
      </c>
      <c r="U11" s="113">
        <f>IF(D11='Table 1.2 complete'!C7,S11-'Table 1.2 complete'!K7,"error")</f>
        <v>9.9999999998772182E-3</v>
      </c>
      <c r="V11" s="106">
        <f>'Table 1.2 complete'!K7-'Table 1.1 complete'!E7</f>
        <v>4.0000000000077307E-2</v>
      </c>
    </row>
    <row r="12" spans="1:22" x14ac:dyDescent="0.25">
      <c r="A12" s="231"/>
      <c r="B12" s="231" t="s">
        <v>302</v>
      </c>
      <c r="C12" s="116">
        <v>3</v>
      </c>
      <c r="D12" s="156" t="s">
        <v>229</v>
      </c>
      <c r="E12" s="109" t="str">
        <f>IF(GEP!$D11=GEP_Aggreg!$D12,GEP!F11,"error")</f>
        <v>-</v>
      </c>
      <c r="F12" s="109">
        <f>IF(GEP!$D11=GEP_Aggreg!$D12,GEP!G11,"error")</f>
        <v>38.49</v>
      </c>
      <c r="G12" s="109">
        <f>IF(GEP!$D11=GEP_Aggreg!$D12,GEP!H11,"error")</f>
        <v>0</v>
      </c>
      <c r="H12" s="109">
        <f>IF(GEP!$D11=GEP_Aggreg!$D12,GEP!I11,"error")</f>
        <v>2.0499999999999998</v>
      </c>
      <c r="I12" s="109">
        <f>IF(GEP!$D11=GEP_Aggreg!$D12,GEP!J11,"error")</f>
        <v>6.26</v>
      </c>
      <c r="J12" s="109" t="str">
        <f>IF(GEP!$D11=GEP_Aggreg!$D12,GEP!K11,"error")</f>
        <v>-</v>
      </c>
      <c r="K12" s="109" t="str">
        <f>IF(GEP!$D11=GEP_Aggreg!$D12,GEP!L11,"error")</f>
        <v>-</v>
      </c>
      <c r="L12" s="109">
        <f>IF(GEP!$D11=GEP_Aggreg!$D12,GEP!M11,"error")</f>
        <v>1.33</v>
      </c>
      <c r="M12" s="109">
        <f>IF(GEP!$D11=GEP_Aggreg!$D12,GEP!N11,"error")</f>
        <v>1.28</v>
      </c>
      <c r="N12" s="109">
        <f>IF(GEP!$D11=GEP_Aggreg!$D12,GEP!O11,"error")</f>
        <v>9.8699999999999992</v>
      </c>
      <c r="O12" s="109">
        <f>IF(GEP!$D11=GEP_Aggreg!$D12,GEP!P11,"error")</f>
        <v>3.18</v>
      </c>
      <c r="P12" s="109">
        <f>IF(GEP!$D11=GEP_Aggreg!$D12,GEP!Q11,"error")</f>
        <v>0.31</v>
      </c>
      <c r="Q12" s="109">
        <f>IF(GEP!$D11=GEP_Aggreg!$D12,GEP!R11,"error")</f>
        <v>0.5</v>
      </c>
      <c r="R12" s="109">
        <f>IF(GEP!$D11=GEP_Aggreg!$D12,GEP!S11,"error")</f>
        <v>0.16</v>
      </c>
      <c r="S12" s="149">
        <f t="shared" si="0"/>
        <v>63.429999999999993</v>
      </c>
      <c r="T12" s="106">
        <f>IF(D12='Table 1.1 complete'!C8,S12-'Table 1.1 complete'!E8,"error")</f>
        <v>2.9999999999994031E-2</v>
      </c>
      <c r="U12" s="113">
        <f>IF(D12='Table 1.2 complete'!C8,S12-'Table 1.2 complete'!K8,"error")</f>
        <v>-7.1054273576010019E-15</v>
      </c>
      <c r="V12" s="106">
        <f>'Table 1.2 complete'!K8-'Table 1.1 complete'!E8</f>
        <v>3.0000000000001137E-2</v>
      </c>
    </row>
    <row r="13" spans="1:22" x14ac:dyDescent="0.25">
      <c r="A13" s="231"/>
      <c r="B13" s="231" t="s">
        <v>302</v>
      </c>
      <c r="C13" s="138">
        <v>4</v>
      </c>
      <c r="D13" s="179" t="s">
        <v>246</v>
      </c>
      <c r="E13" s="109">
        <f>IF(GEP!$D12=GEP_Aggreg!$D13,GEP!F12,"error")</f>
        <v>27.93</v>
      </c>
      <c r="F13" s="109">
        <f>IF(GEP!$D12=GEP_Aggreg!$D13,GEP!G12,"error")</f>
        <v>36.74</v>
      </c>
      <c r="G13" s="109" t="str">
        <f>IF(GEP!$D12=GEP_Aggreg!$D13,GEP!H12,"error")</f>
        <v>-</v>
      </c>
      <c r="H13" s="109">
        <f>IF(GEP!$D12=GEP_Aggreg!$D13,GEP!I12,"error")</f>
        <v>0.04</v>
      </c>
      <c r="I13" s="109" t="str">
        <f>IF(GEP!$D12=GEP_Aggreg!$D13,GEP!J12,"error")</f>
        <v>-</v>
      </c>
      <c r="J13" s="109" t="str">
        <f>IF(GEP!$D12=GEP_Aggreg!$D13,GEP!K12,"error")</f>
        <v>-</v>
      </c>
      <c r="K13" s="109" t="str">
        <f>IF(GEP!$D12=GEP_Aggreg!$D13,GEP!L12,"error")</f>
        <v>-</v>
      </c>
      <c r="L13" s="109" t="str">
        <f>IF(GEP!$D12=GEP_Aggreg!$D13,GEP!M12,"error")</f>
        <v>-</v>
      </c>
      <c r="M13" s="109">
        <f>IF(GEP!$D12=GEP_Aggreg!$D13,GEP!N12,"error")</f>
        <v>0.19</v>
      </c>
      <c r="N13" s="109">
        <f>IF(GEP!$D12=GEP_Aggreg!$D13,GEP!O12,"error")</f>
        <v>0.75</v>
      </c>
      <c r="O13" s="109">
        <f>IF(GEP!$D12=GEP_Aggreg!$D13,GEP!P12,"error")</f>
        <v>0.13</v>
      </c>
      <c r="P13" s="109">
        <f>IF(GEP!$D12=GEP_Aggreg!$D13,GEP!Q12,"error")</f>
        <v>0.23</v>
      </c>
      <c r="Q13" s="109">
        <f>IF(GEP!$D12=GEP_Aggreg!$D13,GEP!R12,"error")</f>
        <v>1.78</v>
      </c>
      <c r="R13" s="109">
        <f>IF(GEP!$D12=GEP_Aggreg!$D13,GEP!S12,"error")</f>
        <v>0.17</v>
      </c>
      <c r="S13" s="149">
        <f t="shared" si="0"/>
        <v>67.960000000000008</v>
      </c>
      <c r="T13" s="106">
        <f>IF(D13='Table 1.1 complete'!C9,S13-'Table 1.1 complete'!E9,"error")</f>
        <v>-3.9999999999992042E-2</v>
      </c>
      <c r="U13" s="113">
        <f>IF(D13='Table 1.2 complete'!C9,S13-'Table 1.2 complete'!K9,"error")</f>
        <v>1.0000000000005116E-2</v>
      </c>
      <c r="V13" s="106">
        <f>'Table 1.2 complete'!K9-'Table 1.1 complete'!E9</f>
        <v>-4.9999999999997158E-2</v>
      </c>
    </row>
    <row r="14" spans="1:22" x14ac:dyDescent="0.25">
      <c r="B14" s="86" t="s">
        <v>302</v>
      </c>
      <c r="C14" s="123">
        <v>7</v>
      </c>
      <c r="D14" s="163" t="s">
        <v>236</v>
      </c>
      <c r="E14" s="109">
        <f>IF(GEP!$D19=GEP_Aggreg!$D14,SUM(GEP!F13:F24),"error")</f>
        <v>215.68</v>
      </c>
      <c r="F14" s="109">
        <f>IF(GEP!$D19=GEP_Aggreg!$D14,SUM(GEP!G13:G24),"error")</f>
        <v>96.79</v>
      </c>
      <c r="G14" s="109">
        <f>IF(GEP!$D19=GEP_Aggreg!$D14,SUM(GEP!H13:H24),"error")</f>
        <v>0</v>
      </c>
      <c r="H14" s="109">
        <f>IF(GEP!$D19=GEP_Aggreg!$D14,SUM(GEP!I13:I24),"error")</f>
        <v>21.400000000000002</v>
      </c>
      <c r="I14" s="109">
        <f>IF(GEP!$D19=GEP_Aggreg!$D14,SUM(GEP!J13:J24),"error")</f>
        <v>208.09</v>
      </c>
      <c r="J14" s="109">
        <f>IF(GEP!$D19=GEP_Aggreg!$D14,SUM(GEP!K13:K24),"error")</f>
        <v>11.41</v>
      </c>
      <c r="K14" s="109">
        <f>IF(GEP!$D19=GEP_Aggreg!$D14,SUM(GEP!L13:L24),"error")</f>
        <v>9.9599999999999991</v>
      </c>
      <c r="L14" s="109">
        <f>IF(GEP!$D19=GEP_Aggreg!$D14,SUM(GEP!M13:M24),"error")</f>
        <v>8.33</v>
      </c>
      <c r="M14" s="109">
        <f>IF(GEP!$D19=GEP_Aggreg!$D14,SUM(GEP!N13:N24),"error")</f>
        <v>13.150000000000002</v>
      </c>
      <c r="N14" s="109">
        <f>IF(GEP!$D19=GEP_Aggreg!$D14,SUM(GEP!O13:O24),"error")</f>
        <v>290.47000000000003</v>
      </c>
      <c r="O14" s="109">
        <f>IF(GEP!$D19=GEP_Aggreg!$D14,SUM(GEP!P13:P24),"error")</f>
        <v>26.79</v>
      </c>
      <c r="P14" s="109">
        <f>IF(GEP!$D19=GEP_Aggreg!$D14,SUM(GEP!Q13:Q24),"error")</f>
        <v>2.0499999999999998</v>
      </c>
      <c r="Q14" s="109">
        <f>IF(GEP!$D19=GEP_Aggreg!$D14,SUM(GEP!R13:R24),"error")</f>
        <v>9.6999999999999993</v>
      </c>
      <c r="R14" s="109">
        <f>IF(GEP!$D19=GEP_Aggreg!$D14,SUM(GEP!S13:S24),"error")</f>
        <v>7.07</v>
      </c>
      <c r="S14" s="149">
        <f t="shared" si="0"/>
        <v>920.8900000000001</v>
      </c>
      <c r="T14" s="106">
        <f>IF(D14='Table 1.1 complete'!C16,S14-SUM('Table 1.1 complete'!E10:E21),"error")</f>
        <v>0.19000000000016826</v>
      </c>
      <c r="U14" s="113">
        <f>IF(D14='Table 1.2 complete'!C16,S14-SUM('Table 1.2 complete'!K10:K21),"error")</f>
        <v>8.0000000000154614E-2</v>
      </c>
      <c r="V14" s="106">
        <f>'Table 1.2 complete'!K12-'Table 1.1 complete'!E12</f>
        <v>-9.9999999999997868E-3</v>
      </c>
    </row>
    <row r="15" spans="1:22" x14ac:dyDescent="0.25">
      <c r="B15" s="86" t="s">
        <v>302</v>
      </c>
      <c r="C15" s="124">
        <v>8</v>
      </c>
      <c r="D15" s="164" t="s">
        <v>235</v>
      </c>
      <c r="E15" s="109">
        <f>IF(GEP!$D25=GEP_Aggreg!$D15,SUM(GEP!F25:F32),"error")</f>
        <v>60.800000000000004</v>
      </c>
      <c r="F15" s="109">
        <f>IF(GEP!$D25=GEP_Aggreg!$D15,SUM(GEP!G25:G32),"error")</f>
        <v>90.789999999999992</v>
      </c>
      <c r="G15" s="109">
        <f>IF(GEP!$D25=GEP_Aggreg!$D15,SUM(GEP!H25:H32),"error")</f>
        <v>5.7700000000000005</v>
      </c>
      <c r="H15" s="109">
        <f>IF(GEP!$D25=GEP_Aggreg!$D15,SUM(GEP!I25:I32),"error")</f>
        <v>39.35</v>
      </c>
      <c r="I15" s="109">
        <f>IF(GEP!$D25=GEP_Aggreg!$D15,SUM(GEP!J25:J32),"error")</f>
        <v>124.18</v>
      </c>
      <c r="J15" s="109">
        <f>IF(GEP!$D25=GEP_Aggreg!$D15,SUM(GEP!K25:K32),"error")</f>
        <v>48.01</v>
      </c>
      <c r="K15" s="109">
        <f>IF(GEP!$D25=GEP_Aggreg!$D15,SUM(GEP!L25:L32),"error")</f>
        <v>0</v>
      </c>
      <c r="L15" s="109">
        <f>IF(GEP!$D25=GEP_Aggreg!$D15,SUM(GEP!M25:M32),"error")</f>
        <v>6.91</v>
      </c>
      <c r="M15" s="109">
        <f>IF(GEP!$D25=GEP_Aggreg!$D15,SUM(GEP!N25:N32),"error")</f>
        <v>77.949999999999989</v>
      </c>
      <c r="N15" s="109">
        <f>IF(GEP!$D25=GEP_Aggreg!$D15,SUM(GEP!O25:O32),"error")</f>
        <v>295.56</v>
      </c>
      <c r="O15" s="109">
        <f>IF(GEP!$D25=GEP_Aggreg!$D15,SUM(GEP!P25:P32),"error")</f>
        <v>5.44</v>
      </c>
      <c r="P15" s="109">
        <f>IF(GEP!$D25=GEP_Aggreg!$D15,SUM(GEP!Q25:Q32),"error")</f>
        <v>0.23</v>
      </c>
      <c r="Q15" s="109">
        <f>IF(GEP!$D25=GEP_Aggreg!$D15,SUM(GEP!R25:R32),"error")</f>
        <v>5.04</v>
      </c>
      <c r="R15" s="109">
        <f>IF(GEP!$D25=GEP_Aggreg!$D15,SUM(GEP!S25:S32),"error")</f>
        <v>2.36</v>
      </c>
      <c r="S15" s="149">
        <f t="shared" si="0"/>
        <v>762.39</v>
      </c>
      <c r="T15" s="106">
        <f>IF(D15='Table 1.1 complete'!C22,S15-SUM('Table 1.1 complete'!E22:E29),"error")</f>
        <v>-1.0000000000104592E-2</v>
      </c>
      <c r="U15" s="113">
        <f>IF(D15='Table 1.2 complete'!C22,S15-SUM('Table 1.2 complete'!K22:K29),"error")</f>
        <v>-1.1368683772161603E-13</v>
      </c>
      <c r="V15" s="106">
        <f>'Table 1.2 complete'!K13-'Table 1.1 complete'!E13</f>
        <v>4.9999999999997158E-2</v>
      </c>
    </row>
    <row r="16" spans="1:22" x14ac:dyDescent="0.25">
      <c r="B16" s="86" t="s">
        <v>302</v>
      </c>
      <c r="C16" s="122">
        <v>9</v>
      </c>
      <c r="D16" s="162" t="s">
        <v>233</v>
      </c>
      <c r="E16" s="109">
        <f>IF(GEP!$D34=GEP_Aggreg!$D16,SUM(GEP!F33:F38),"error")</f>
        <v>78.53</v>
      </c>
      <c r="F16" s="109">
        <f>IF(GEP!$D34=GEP_Aggreg!$D16,SUM(GEP!G33:G38),"error")</f>
        <v>29.490000000000002</v>
      </c>
      <c r="G16" s="109">
        <f>IF(GEP!$D34=GEP_Aggreg!$D16,SUM(GEP!H33:H38),"error")</f>
        <v>0</v>
      </c>
      <c r="H16" s="109">
        <f>IF(GEP!$D34=GEP_Aggreg!$D16,SUM(GEP!I33:I38),"error")</f>
        <v>0.87000000000000011</v>
      </c>
      <c r="I16" s="109">
        <f>IF(GEP!$D34=GEP_Aggreg!$D16,SUM(GEP!J33:J38),"error")</f>
        <v>101.85000000000001</v>
      </c>
      <c r="J16" s="109">
        <f>IF(GEP!$D34=GEP_Aggreg!$D16,SUM(GEP!K33:K38),"error")</f>
        <v>157.16</v>
      </c>
      <c r="K16" s="109">
        <f>IF(GEP!$D34=GEP_Aggreg!$D16,SUM(GEP!L33:L38),"error")</f>
        <v>0</v>
      </c>
      <c r="L16" s="109">
        <f>IF(GEP!$D34=GEP_Aggreg!$D16,SUM(GEP!M33:M38),"error")</f>
        <v>3.99</v>
      </c>
      <c r="M16" s="109">
        <f>IF(GEP!$D34=GEP_Aggreg!$D16,SUM(GEP!N33:N38),"error")</f>
        <v>5.34</v>
      </c>
      <c r="N16" s="109">
        <f>IF(GEP!$D34=GEP_Aggreg!$D16,SUM(GEP!O33:O38),"error")</f>
        <v>36.989999999999995</v>
      </c>
      <c r="O16" s="109">
        <f>IF(GEP!$D34=GEP_Aggreg!$D16,SUM(GEP!P33:P38),"error")</f>
        <v>5.17</v>
      </c>
      <c r="P16" s="109">
        <f>IF(GEP!$D34=GEP_Aggreg!$D16,SUM(GEP!Q33:Q38),"error")</f>
        <v>0.36000000000000004</v>
      </c>
      <c r="Q16" s="109">
        <f>IF(GEP!$D34=GEP_Aggreg!$D16,SUM(GEP!R33:R38),"error")</f>
        <v>0.35000000000000003</v>
      </c>
      <c r="R16" s="109">
        <f>IF(GEP!$D34=GEP_Aggreg!$D16,SUM(GEP!S33:S38),"error")</f>
        <v>0.48000000000000004</v>
      </c>
      <c r="S16" s="149">
        <f t="shared" si="0"/>
        <v>420.58000000000004</v>
      </c>
      <c r="T16" s="106">
        <f>IF(D16='Table 1.1 complete'!C30,S16-SUM('Table 1.1 complete'!E30:E35),"error")</f>
        <v>-1.999999999998181E-2</v>
      </c>
      <c r="U16" s="113">
        <f>IF(D16='Table 1.2 complete'!C30,S16-SUM('Table 1.2 complete'!K30:K35),"error")</f>
        <v>4.0000000000020464E-2</v>
      </c>
      <c r="V16" s="106">
        <f>'Table 1.2 complete'!K14-'Table 1.1 complete'!E14</f>
        <v>-4.0000000000000008E-2</v>
      </c>
    </row>
    <row r="17" spans="1:22" x14ac:dyDescent="0.25">
      <c r="B17" s="86" t="s">
        <v>302</v>
      </c>
      <c r="C17" s="130">
        <v>10</v>
      </c>
      <c r="D17" s="170" t="s">
        <v>420</v>
      </c>
      <c r="E17" s="109">
        <f>IF(GEP!$D40=GEP_Aggreg!$D17,SUM(GEP!F39:F46),"error")</f>
        <v>510.68</v>
      </c>
      <c r="F17" s="109">
        <f>IF(GEP!$D40=GEP_Aggreg!$D17,SUM(GEP!G39:G46),"error")</f>
        <v>666.75</v>
      </c>
      <c r="G17" s="109">
        <f>IF(GEP!$D40=GEP_Aggreg!$D17,SUM(GEP!H39:H46),"error")</f>
        <v>17.48</v>
      </c>
      <c r="H17" s="109">
        <f>IF(GEP!$D40=GEP_Aggreg!$D17,SUM(GEP!I39:I46),"error")</f>
        <v>11.18</v>
      </c>
      <c r="I17" s="109">
        <f>IF(GEP!$D40=GEP_Aggreg!$D17,SUM(GEP!J39:J46),"error")</f>
        <v>644.49</v>
      </c>
      <c r="J17" s="109">
        <f>IF(GEP!$D40=GEP_Aggreg!$D17,SUM(GEP!K39:K46),"error")</f>
        <v>127.25</v>
      </c>
      <c r="K17" s="109">
        <f>IF(GEP!$D40=GEP_Aggreg!$D17,SUM(GEP!L39:L46),"error")</f>
        <v>0</v>
      </c>
      <c r="L17" s="109">
        <f>IF(GEP!$D40=GEP_Aggreg!$D17,SUM(GEP!M39:M46),"error")</f>
        <v>54.589999999999996</v>
      </c>
      <c r="M17" s="109">
        <f>IF(GEP!$D40=GEP_Aggreg!$D17,SUM(GEP!N39:N46),"error")</f>
        <v>245.78</v>
      </c>
      <c r="N17" s="109">
        <f>IF(GEP!$D40=GEP_Aggreg!$D17,SUM(GEP!O39:O46),"error")</f>
        <v>590.43000000000006</v>
      </c>
      <c r="O17" s="109">
        <f>IF(GEP!$D40=GEP_Aggreg!$D17,SUM(GEP!P39:P46),"error")</f>
        <v>27.930000000000003</v>
      </c>
      <c r="P17" s="109">
        <f>IF(GEP!$D40=GEP_Aggreg!$D17,SUM(GEP!Q39:Q46),"error")</f>
        <v>0.45</v>
      </c>
      <c r="Q17" s="109">
        <f>IF(GEP!$D40=GEP_Aggreg!$D17,SUM(GEP!R39:R46),"error")</f>
        <v>7.32</v>
      </c>
      <c r="R17" s="109">
        <f>IF(GEP!$D40=GEP_Aggreg!$D17,SUM(GEP!S39:S46),"error")</f>
        <v>2.2799999999999998</v>
      </c>
      <c r="S17" s="149">
        <f t="shared" si="0"/>
        <v>2906.61</v>
      </c>
      <c r="T17" s="106">
        <f>IF(D17='Table 1.1 complete'!C36,S17-SUM('Table 1.1 complete'!E36:E43),"error")</f>
        <v>9.9999999997635314E-3</v>
      </c>
      <c r="U17" s="113">
        <f>IF(D17='Table 1.2 complete'!C36,S17-SUM('Table 1.2 complete'!K36:K43),"error")</f>
        <v>1.0000000000218279E-2</v>
      </c>
      <c r="V17" s="106">
        <f>'Table 1.2 complete'!K15-'Table 1.1 complete'!E15</f>
        <v>3.0000000000001137E-2</v>
      </c>
    </row>
    <row r="18" spans="1:22" x14ac:dyDescent="0.25">
      <c r="A18" s="231"/>
      <c r="B18" s="231" t="s">
        <v>302</v>
      </c>
      <c r="C18" s="140">
        <v>11</v>
      </c>
      <c r="D18" s="181" t="s">
        <v>247</v>
      </c>
      <c r="E18" s="109">
        <f>IF(GEP!$D47=GEP_Aggreg!$D18,GEP!F47,"error")</f>
        <v>836.63</v>
      </c>
      <c r="F18" s="109">
        <f>IF(GEP!$D47=GEP_Aggreg!$D18,GEP!G47,"error")</f>
        <v>275.55</v>
      </c>
      <c r="G18" s="109">
        <f>IF(GEP!$D47=GEP_Aggreg!$D18,GEP!H47,"error")</f>
        <v>16.8</v>
      </c>
      <c r="H18" s="109">
        <f>IF(GEP!$D47=GEP_Aggreg!$D18,GEP!I47,"error")</f>
        <v>36.44</v>
      </c>
      <c r="I18" s="109">
        <f>IF(GEP!$D47=GEP_Aggreg!$D18,GEP!J47,"error")</f>
        <v>2024.23</v>
      </c>
      <c r="J18" s="109">
        <f>IF(GEP!$D47=GEP_Aggreg!$D18,GEP!K47,"error")</f>
        <v>90.23</v>
      </c>
      <c r="K18" s="109" t="str">
        <f>IF(GEP!$D47=GEP_Aggreg!$D18,GEP!L47,"error")</f>
        <v>-</v>
      </c>
      <c r="L18" s="109">
        <f>IF(GEP!$D47=GEP_Aggreg!$D18,GEP!M47,"error")</f>
        <v>3.99</v>
      </c>
      <c r="M18" s="109">
        <f>IF(GEP!$D47=GEP_Aggreg!$D18,GEP!N47,"error")</f>
        <v>78.14</v>
      </c>
      <c r="N18" s="109">
        <f>IF(GEP!$D47=GEP_Aggreg!$D18,GEP!O47,"error")</f>
        <v>915.2</v>
      </c>
      <c r="O18" s="109">
        <f>IF(GEP!$D47=GEP_Aggreg!$D18,GEP!P47,"error")</f>
        <v>41.99</v>
      </c>
      <c r="P18" s="109">
        <f>IF(GEP!$D47=GEP_Aggreg!$D18,GEP!Q47,"error")</f>
        <v>5.01</v>
      </c>
      <c r="Q18" s="109">
        <f>IF(GEP!$D47=GEP_Aggreg!$D18,GEP!R47,"error")</f>
        <v>17.100000000000001</v>
      </c>
      <c r="R18" s="109">
        <f>IF(GEP!$D47=GEP_Aggreg!$D18,GEP!S47,"error")</f>
        <v>7.55</v>
      </c>
      <c r="S18" s="149">
        <f t="shared" si="0"/>
        <v>4348.8600000000006</v>
      </c>
      <c r="T18" s="106">
        <f>IF(D18='Table 1.1 complete'!C44,S18-'Table 1.1 complete'!E44,"error")</f>
        <v>-3.9999999999054126E-2</v>
      </c>
      <c r="U18" s="113">
        <f>IF(D18='Table 1.2 complete'!C44,S18-'Table 1.2 complete'!K44,"error")</f>
        <v>9.0949470177292824E-13</v>
      </c>
      <c r="V18" s="106">
        <f>'Table 1.2 complete'!K16-'Table 1.1 complete'!E16</f>
        <v>-3.0000000000000249E-2</v>
      </c>
    </row>
    <row r="19" spans="1:22" x14ac:dyDescent="0.25">
      <c r="A19" s="231"/>
      <c r="B19" s="231" t="s">
        <v>302</v>
      </c>
      <c r="C19" s="118">
        <v>12</v>
      </c>
      <c r="D19" s="158" t="s">
        <v>232</v>
      </c>
      <c r="E19" s="109">
        <f>IF(GEP!$D48=GEP_Aggreg!$D19,GEP!F48,"error")</f>
        <v>12.35</v>
      </c>
      <c r="F19" s="109">
        <f>IF(GEP!$D48=GEP_Aggreg!$D19,GEP!G48,"error")</f>
        <v>374.02</v>
      </c>
      <c r="G19" s="109" t="str">
        <f>IF(GEP!$D48=GEP_Aggreg!$D19,GEP!H48,"error")</f>
        <v>-</v>
      </c>
      <c r="H19" s="109">
        <f>IF(GEP!$D48=GEP_Aggreg!$D19,GEP!I48,"error")</f>
        <v>2</v>
      </c>
      <c r="I19" s="109">
        <f>IF(GEP!$D48=GEP_Aggreg!$D19,GEP!J48,"error")</f>
        <v>0.1</v>
      </c>
      <c r="J19" s="109">
        <f>IF(GEP!$D48=GEP_Aggreg!$D19,GEP!K48,"error")</f>
        <v>5.96</v>
      </c>
      <c r="K19" s="109" t="str">
        <f>IF(GEP!$D48=GEP_Aggreg!$D19,GEP!L48,"error")</f>
        <v>-</v>
      </c>
      <c r="L19" s="109">
        <f>IF(GEP!$D48=GEP_Aggreg!$D19,GEP!M48,"error")</f>
        <v>4.0599999999999996</v>
      </c>
      <c r="M19" s="109">
        <f>IF(GEP!$D48=GEP_Aggreg!$D19,GEP!N48,"error")</f>
        <v>13.77</v>
      </c>
      <c r="N19" s="109">
        <f>IF(GEP!$D48=GEP_Aggreg!$D19,GEP!O48,"error")</f>
        <v>15.5</v>
      </c>
      <c r="O19" s="109">
        <f>IF(GEP!$D48=GEP_Aggreg!$D19,GEP!P48,"error")</f>
        <v>17.399999999999999</v>
      </c>
      <c r="P19" s="109" t="str">
        <f>IF(GEP!$D48=GEP_Aggreg!$D19,GEP!Q48,"error")</f>
        <v>-</v>
      </c>
      <c r="Q19" s="109" t="str">
        <f>IF(GEP!$D48=GEP_Aggreg!$D19,GEP!R48,"error")</f>
        <v>-</v>
      </c>
      <c r="R19" s="109" t="str">
        <f>IF(GEP!$D48=GEP_Aggreg!$D19,GEP!S48,"error")</f>
        <v>-</v>
      </c>
      <c r="S19" s="149">
        <f t="shared" si="0"/>
        <v>445.15999999999997</v>
      </c>
      <c r="T19" s="106">
        <f>IF(D19='Table 1.1 complete'!C45,S19-'Table 1.1 complete'!E45,"error")</f>
        <v>5.999999999994543E-2</v>
      </c>
      <c r="U19" s="113">
        <f>IF(D19='Table 1.2 complete'!C45,S19-'Table 1.2 complete'!K45,"error")</f>
        <v>1.999999999998181E-2</v>
      </c>
      <c r="V19" s="106">
        <f>'Table 1.2 complete'!K17-'Table 1.1 complete'!E17</f>
        <v>9.9999999999997868E-3</v>
      </c>
    </row>
    <row r="20" spans="1:22" x14ac:dyDescent="0.25">
      <c r="A20" s="231"/>
      <c r="B20" s="231" t="s">
        <v>302</v>
      </c>
      <c r="C20" s="137">
        <v>13</v>
      </c>
      <c r="D20" s="178" t="s">
        <v>244</v>
      </c>
      <c r="E20" s="109">
        <f>IF(GEP!$D49=GEP_Aggreg!$D20,GEP!F49,"error")</f>
        <v>160.04</v>
      </c>
      <c r="F20" s="109">
        <f>IF(GEP!$D49=GEP_Aggreg!$D20,GEP!G49,"error")</f>
        <v>178.98</v>
      </c>
      <c r="G20" s="109">
        <f>IF(GEP!$D49=GEP_Aggreg!$D20,GEP!H49,"error")</f>
        <v>0.49</v>
      </c>
      <c r="H20" s="109">
        <f>IF(GEP!$D49=GEP_Aggreg!$D20,GEP!I49,"error")</f>
        <v>0.01</v>
      </c>
      <c r="I20" s="109">
        <f>IF(GEP!$D49=GEP_Aggreg!$D20,GEP!J49,"error")</f>
        <v>100.1</v>
      </c>
      <c r="J20" s="109">
        <f>IF(GEP!$D49=GEP_Aggreg!$D20,GEP!K49,"error")</f>
        <v>61.52</v>
      </c>
      <c r="K20" s="109">
        <f>IF(GEP!$D49=GEP_Aggreg!$D20,GEP!L49,"error")</f>
        <v>0.75</v>
      </c>
      <c r="L20" s="109">
        <f>IF(GEP!$D49=GEP_Aggreg!$D20,GEP!M49,"error")</f>
        <v>7.51</v>
      </c>
      <c r="M20" s="109">
        <f>IF(GEP!$D49=GEP_Aggreg!$D20,GEP!N49,"error")</f>
        <v>17.23</v>
      </c>
      <c r="N20" s="109">
        <f>IF(GEP!$D49=GEP_Aggreg!$D20,GEP!O49,"error")</f>
        <v>486.71</v>
      </c>
      <c r="O20" s="109">
        <f>IF(GEP!$D49=GEP_Aggreg!$D20,GEP!P49,"error")</f>
        <v>0.01</v>
      </c>
      <c r="P20" s="109">
        <f>IF(GEP!$D49=GEP_Aggreg!$D20,GEP!Q49,"error")</f>
        <v>1.98</v>
      </c>
      <c r="Q20" s="109" t="str">
        <f>IF(GEP!$D49=GEP_Aggreg!$D20,GEP!R49,"error")</f>
        <v>-</v>
      </c>
      <c r="R20" s="109" t="str">
        <f>IF(GEP!$D49=GEP_Aggreg!$D20,GEP!S49,"error")</f>
        <v>-</v>
      </c>
      <c r="S20" s="149">
        <f t="shared" si="0"/>
        <v>1015.3299999999999</v>
      </c>
      <c r="T20" s="106">
        <f>IF(D20='Table 1.1 complete'!C46,S20-'Table 1.1 complete'!E46,"error")</f>
        <v>2.9999999999972715E-2</v>
      </c>
      <c r="U20" s="113">
        <f>IF(D20='Table 1.2 complete'!C46,S20-'Table 1.2 complete'!K46,"error")</f>
        <v>-1.1368683772161603E-13</v>
      </c>
      <c r="V20" s="106">
        <f>'Table 1.2 complete'!K18-'Table 1.1 complete'!E18</f>
        <v>0</v>
      </c>
    </row>
    <row r="21" spans="1:22" x14ac:dyDescent="0.25">
      <c r="A21" s="231"/>
      <c r="B21" s="231" t="s">
        <v>302</v>
      </c>
      <c r="C21" s="126">
        <v>14</v>
      </c>
      <c r="D21" s="166" t="s">
        <v>241</v>
      </c>
      <c r="E21" s="109">
        <f>IF(GEP!$D50=GEP_Aggreg!$D21,GEP!F50,"error")</f>
        <v>16.78</v>
      </c>
      <c r="F21" s="109">
        <f>IF(GEP!$D50=GEP_Aggreg!$D21,GEP!G50,"error")</f>
        <v>123.83</v>
      </c>
      <c r="G21" s="109" t="str">
        <f>IF(GEP!$D50=GEP_Aggreg!$D21,GEP!H50,"error")</f>
        <v>-</v>
      </c>
      <c r="H21" s="109">
        <f>IF(GEP!$D50=GEP_Aggreg!$D21,GEP!I50,"error")</f>
        <v>11.67</v>
      </c>
      <c r="I21" s="109">
        <f>IF(GEP!$D50=GEP_Aggreg!$D21,GEP!J50,"error")</f>
        <v>516.57000000000005</v>
      </c>
      <c r="J21" s="109">
        <f>IF(GEP!$D50=GEP_Aggreg!$D21,GEP!K50,"error")</f>
        <v>18.87</v>
      </c>
      <c r="K21" s="109" t="str">
        <f>IF(GEP!$D50=GEP_Aggreg!$D21,GEP!L50,"error")</f>
        <v>-</v>
      </c>
      <c r="L21" s="109">
        <f>IF(GEP!$D50=GEP_Aggreg!$D21,GEP!M50,"error")</f>
        <v>1.48</v>
      </c>
      <c r="M21" s="109">
        <f>IF(GEP!$D50=GEP_Aggreg!$D21,GEP!N50,"error")</f>
        <v>35.520000000000003</v>
      </c>
      <c r="N21" s="109">
        <f>IF(GEP!$D50=GEP_Aggreg!$D21,GEP!O50,"error")</f>
        <v>65.760000000000005</v>
      </c>
      <c r="O21" s="109">
        <f>IF(GEP!$D50=GEP_Aggreg!$D21,GEP!P50,"error")</f>
        <v>1.95</v>
      </c>
      <c r="P21" s="109" t="str">
        <f>IF(GEP!$D50=GEP_Aggreg!$D21,GEP!Q50,"error")</f>
        <v>-</v>
      </c>
      <c r="Q21" s="109" t="str">
        <f>IF(GEP!$D50=GEP_Aggreg!$D21,GEP!R50,"error")</f>
        <v>-</v>
      </c>
      <c r="R21" s="109" t="str">
        <f>IF(GEP!$D50=GEP_Aggreg!$D21,GEP!S50,"error")</f>
        <v>-</v>
      </c>
      <c r="S21" s="149">
        <f t="shared" si="0"/>
        <v>792.43000000000006</v>
      </c>
      <c r="T21" s="106">
        <f>IF(D21='Table 1.1 complete'!C47,S21-'Table 1.1 complete'!E47,"error")</f>
        <v>3.0000000000086402E-2</v>
      </c>
      <c r="U21" s="113">
        <f>IF(D21='Table 1.2 complete'!C47,S21-'Table 1.2 complete'!K47,"error")</f>
        <v>1.0000000000104592E-2</v>
      </c>
      <c r="V21" s="106">
        <f>'Table 1.2 complete'!K19-'Table 1.1 complete'!E19</f>
        <v>3.9999999999992042E-2</v>
      </c>
    </row>
    <row r="22" spans="1:22" x14ac:dyDescent="0.25">
      <c r="B22" s="86" t="s">
        <v>302</v>
      </c>
      <c r="C22" s="119">
        <v>15</v>
      </c>
      <c r="D22" s="159" t="s">
        <v>239</v>
      </c>
      <c r="E22" s="109">
        <f>IF(GEP!$D51=GEP_Aggreg!$D22,SUM(GEP!F51:F52),"error")</f>
        <v>62.13</v>
      </c>
      <c r="F22" s="109">
        <f>IF(GEP!$D51=GEP_Aggreg!$D22,SUM(GEP!G51:G52),"error")</f>
        <v>485.26</v>
      </c>
      <c r="G22" s="109">
        <f>IF(GEP!$D51=GEP_Aggreg!$D22,SUM(GEP!H51:H52),"error")</f>
        <v>0</v>
      </c>
      <c r="H22" s="109">
        <f>IF(GEP!$D51=GEP_Aggreg!$D22,SUM(GEP!I51:I52),"error")</f>
        <v>8.91</v>
      </c>
      <c r="I22" s="109">
        <f>IF(GEP!$D51=GEP_Aggreg!$D22,SUM(GEP!J51:J52),"error")</f>
        <v>2662.85</v>
      </c>
      <c r="J22" s="109">
        <f>IF(GEP!$D51=GEP_Aggreg!$D22,SUM(GEP!K51:K52),"error")</f>
        <v>0</v>
      </c>
      <c r="K22" s="109">
        <f>IF(GEP!$D51=GEP_Aggreg!$D22,SUM(GEP!L51:L52),"error")</f>
        <v>0</v>
      </c>
      <c r="L22" s="109">
        <f>IF(GEP!$D51=GEP_Aggreg!$D22,SUM(GEP!M51:M52),"error")</f>
        <v>22.12</v>
      </c>
      <c r="M22" s="109">
        <f>IF(GEP!$D51=GEP_Aggreg!$D22,SUM(GEP!N51:N52),"error")</f>
        <v>33.75</v>
      </c>
      <c r="N22" s="109">
        <f>IF(GEP!$D51=GEP_Aggreg!$D22,SUM(GEP!O51:O52),"error")</f>
        <v>40.86</v>
      </c>
      <c r="O22" s="109">
        <f>IF(GEP!$D51=GEP_Aggreg!$D22,SUM(GEP!P51:P52),"error")</f>
        <v>2.31</v>
      </c>
      <c r="P22" s="109">
        <f>IF(GEP!$D51=GEP_Aggreg!$D22,SUM(GEP!Q51:Q52),"error")</f>
        <v>0</v>
      </c>
      <c r="Q22" s="109">
        <f>IF(GEP!$D51=GEP_Aggreg!$D22,SUM(GEP!R51:R52),"error")</f>
        <v>0</v>
      </c>
      <c r="R22" s="109">
        <f>IF(GEP!$D51=GEP_Aggreg!$D22,SUM(GEP!S51:S52),"error")</f>
        <v>0</v>
      </c>
      <c r="S22" s="149">
        <f t="shared" si="0"/>
        <v>3318.1899999999996</v>
      </c>
      <c r="T22" s="106">
        <f>IF(D22='Table 1.1 complete'!C48,S22-SUM('Table 1.1 complete'!E48:E49),"error")</f>
        <v>-1.0000000000218279E-2</v>
      </c>
      <c r="U22" s="113">
        <f>IF(D22='Table 1.2 complete'!C48,S22-SUM('Table 1.2 complete'!K48:K49),"error")</f>
        <v>9.9999999997635314E-3</v>
      </c>
      <c r="V22" s="106">
        <f>'Table 1.2 complete'!K20-'Table 1.1 complete'!E20</f>
        <v>4.9999999999982947E-2</v>
      </c>
    </row>
    <row r="23" spans="1:22" x14ac:dyDescent="0.25">
      <c r="A23" s="231"/>
      <c r="B23" s="231" t="s">
        <v>302</v>
      </c>
      <c r="C23" s="136">
        <v>16</v>
      </c>
      <c r="D23" s="177" t="s">
        <v>245</v>
      </c>
      <c r="E23" s="109">
        <f>IF(GEP!$D53=GEP_Aggreg!$D23,GEP!F53,"error")</f>
        <v>11.32</v>
      </c>
      <c r="F23" s="109">
        <f>IF(GEP!$D53=GEP_Aggreg!$D23,GEP!G53,"error")</f>
        <v>3.91</v>
      </c>
      <c r="G23" s="109" t="str">
        <f>IF(GEP!$D53=GEP_Aggreg!$D23,GEP!H53,"error")</f>
        <v>-</v>
      </c>
      <c r="H23" s="109">
        <f>IF(GEP!$D53=GEP_Aggreg!$D23,GEP!I53,"error")</f>
        <v>0.05</v>
      </c>
      <c r="I23" s="109">
        <f>IF(GEP!$D53=GEP_Aggreg!$D23,GEP!J53,"error")</f>
        <v>246.79</v>
      </c>
      <c r="J23" s="109" t="str">
        <f>IF(GEP!$D53=GEP_Aggreg!$D23,GEP!K53,"error")</f>
        <v>-</v>
      </c>
      <c r="K23" s="109" t="str">
        <f>IF(GEP!$D53=GEP_Aggreg!$D23,GEP!L53,"error")</f>
        <v>-</v>
      </c>
      <c r="L23" s="109" t="str">
        <f>IF(GEP!$D53=GEP_Aggreg!$D23,GEP!M53,"error")</f>
        <v>-</v>
      </c>
      <c r="M23" s="109">
        <f>IF(GEP!$D53=GEP_Aggreg!$D23,GEP!N53,"error")</f>
        <v>1.1499999999999999</v>
      </c>
      <c r="N23" s="109" t="str">
        <f>IF(GEP!$D53=GEP_Aggreg!$D23,GEP!O53,"error")</f>
        <v>-</v>
      </c>
      <c r="O23" s="109">
        <f>IF(GEP!$D53=GEP_Aggreg!$D23,GEP!P53,"error")</f>
        <v>0.26</v>
      </c>
      <c r="P23" s="109" t="str">
        <f>IF(GEP!$D53=GEP_Aggreg!$D23,GEP!Q53,"error")</f>
        <v>-</v>
      </c>
      <c r="Q23" s="109" t="str">
        <f>IF(GEP!$D53=GEP_Aggreg!$D23,GEP!R53,"error")</f>
        <v>-</v>
      </c>
      <c r="R23" s="109" t="str">
        <f>IF(GEP!$D53=GEP_Aggreg!$D23,GEP!S53,"error")</f>
        <v>-</v>
      </c>
      <c r="S23" s="149">
        <f t="shared" si="0"/>
        <v>263.47999999999996</v>
      </c>
      <c r="T23" s="106">
        <f>IF(D23='Table 1.1 complete'!C50,S23-'Table 1.1 complete'!E50,"error")</f>
        <v>-2.0000000000038654E-2</v>
      </c>
      <c r="U23" s="113">
        <f>IF(D23='Table 1.2 complete'!C50,S23-'Table 1.2 complete'!K50,"error")</f>
        <v>-5.6843418860808015E-14</v>
      </c>
      <c r="V23" s="106">
        <f>'Table 1.2 complete'!K21-'Table 1.1 complete'!E21</f>
        <v>3.999999999996362E-2</v>
      </c>
    </row>
    <row r="24" spans="1:22" x14ac:dyDescent="0.25">
      <c r="B24" s="86" t="s">
        <v>302</v>
      </c>
      <c r="C24" s="127">
        <v>21</v>
      </c>
      <c r="D24" s="167" t="s">
        <v>422</v>
      </c>
      <c r="E24" s="109">
        <f>IF(GEP!$D60=GEP_Aggreg!$D24,SUM(GEP!F54:F70),"error")</f>
        <v>0</v>
      </c>
      <c r="F24" s="109">
        <f>IF(GEP!$D60=GEP_Aggreg!$D24,SUM(GEP!G54:G70),"error")</f>
        <v>39.79</v>
      </c>
      <c r="G24" s="109">
        <f>IF(GEP!$D60=GEP_Aggreg!$D24,SUM(GEP!H54:H70),"error")</f>
        <v>0</v>
      </c>
      <c r="H24" s="109">
        <f>IF(GEP!$D60=GEP_Aggreg!$D24,SUM(GEP!I54:I70),"error")</f>
        <v>1.29</v>
      </c>
      <c r="I24" s="109">
        <f>IF(GEP!$D60=GEP_Aggreg!$D24,SUM(GEP!J54:J70),"error")</f>
        <v>13.04</v>
      </c>
      <c r="J24" s="109">
        <f>IF(GEP!$D60=GEP_Aggreg!$D24,SUM(GEP!K54:K70),"error")</f>
        <v>0</v>
      </c>
      <c r="K24" s="109">
        <f>IF(GEP!$D60=GEP_Aggreg!$D24,SUM(GEP!L54:L70),"error")</f>
        <v>0</v>
      </c>
      <c r="L24" s="109">
        <f>IF(GEP!$D60=GEP_Aggreg!$D24,SUM(GEP!M54:M70),"error")</f>
        <v>0</v>
      </c>
      <c r="M24" s="109">
        <f>IF(GEP!$D60=GEP_Aggreg!$D24,SUM(GEP!N54:N70),"error")</f>
        <v>288.90999999999997</v>
      </c>
      <c r="N24" s="109">
        <f>IF(GEP!$D60=GEP_Aggreg!$D24,SUM(GEP!O54:O70),"error")</f>
        <v>542.28</v>
      </c>
      <c r="O24" s="109">
        <f>IF(GEP!$D60=GEP_Aggreg!$D24,SUM(GEP!P54:P70),"error")</f>
        <v>0</v>
      </c>
      <c r="P24" s="109">
        <f>IF(GEP!$D60=GEP_Aggreg!$D24,SUM(GEP!Q54:Q70),"error")</f>
        <v>0</v>
      </c>
      <c r="Q24" s="109">
        <f>IF(GEP!$D60=GEP_Aggreg!$D24,SUM(GEP!R54:R70),"error")</f>
        <v>0</v>
      </c>
      <c r="R24" s="109">
        <f>IF(GEP!$D60=GEP_Aggreg!$D24,SUM(GEP!S54:S70),"error")</f>
        <v>0.01</v>
      </c>
      <c r="S24" s="149">
        <f t="shared" si="0"/>
        <v>885.31999999999994</v>
      </c>
      <c r="T24" s="106">
        <f>IF(D24='Table 1.1 complete'!C57,S24-SUM('Table 1.1 complete'!E51:E67),"error")</f>
        <v>-8.0000000000154614E-2</v>
      </c>
      <c r="U24" s="113">
        <f>IF(D24='Table 1.2 complete'!C57,S24-SUM('Table 1.2 complete'!K51:K67),"error")</f>
        <v>-1.0000000000104592E-2</v>
      </c>
      <c r="V24" s="106">
        <f>'Table 1.2 complete'!K26-'Table 1.1 complete'!E26</f>
        <v>0</v>
      </c>
    </row>
    <row r="25" spans="1:22" x14ac:dyDescent="0.25">
      <c r="B25" s="86" t="s">
        <v>302</v>
      </c>
      <c r="C25" s="131">
        <v>22</v>
      </c>
      <c r="D25" s="171" t="s">
        <v>421</v>
      </c>
      <c r="E25" s="109">
        <f>IF(GEP!$D72=GEP_Aggreg!$D25,SUM(GEP!F71:F74),"error")</f>
        <v>0</v>
      </c>
      <c r="F25" s="109">
        <f>IF(GEP!$D72=GEP_Aggreg!$D25,SUM(GEP!G71:G74),"error")</f>
        <v>109.8</v>
      </c>
      <c r="G25" s="109">
        <f>IF(GEP!$D72=GEP_Aggreg!$D25,SUM(GEP!H71:H74),"error")</f>
        <v>7.02</v>
      </c>
      <c r="H25" s="109">
        <f>IF(GEP!$D72=GEP_Aggreg!$D25,SUM(GEP!I71:I74),"error")</f>
        <v>0</v>
      </c>
      <c r="I25" s="109">
        <f>IF(GEP!$D72=GEP_Aggreg!$D25,SUM(GEP!J71:J74),"error")</f>
        <v>0</v>
      </c>
      <c r="J25" s="109">
        <f>IF(GEP!$D72=GEP_Aggreg!$D25,SUM(GEP!K71:K74),"error")</f>
        <v>63.83</v>
      </c>
      <c r="K25" s="109">
        <f>IF(GEP!$D72=GEP_Aggreg!$D25,SUM(GEP!L71:L74),"error")</f>
        <v>0</v>
      </c>
      <c r="L25" s="109">
        <f>IF(GEP!$D72=GEP_Aggreg!$D25,SUM(GEP!M71:M74),"error")</f>
        <v>0</v>
      </c>
      <c r="M25" s="109">
        <f>IF(GEP!$D72=GEP_Aggreg!$D25,SUM(GEP!N71:N74),"error")</f>
        <v>59.07</v>
      </c>
      <c r="N25" s="109">
        <f>IF(GEP!$D72=GEP_Aggreg!$D25,SUM(GEP!O71:O74),"error")</f>
        <v>57.709999999999994</v>
      </c>
      <c r="O25" s="109">
        <f>IF(GEP!$D72=GEP_Aggreg!$D25,SUM(GEP!P71:P74),"error")</f>
        <v>0</v>
      </c>
      <c r="P25" s="109">
        <f>IF(GEP!$D72=GEP_Aggreg!$D25,SUM(GEP!Q71:Q74),"error")</f>
        <v>0</v>
      </c>
      <c r="Q25" s="109">
        <f>IF(GEP!$D72=GEP_Aggreg!$D25,SUM(GEP!R71:R74),"error")</f>
        <v>0</v>
      </c>
      <c r="R25" s="109">
        <f>IF(GEP!$D72=GEP_Aggreg!$D25,SUM(GEP!S71:S74),"error")</f>
        <v>0</v>
      </c>
      <c r="S25" s="149">
        <f t="shared" si="0"/>
        <v>297.42999999999995</v>
      </c>
      <c r="T25" s="106">
        <f>IF(D25='Table 1.1 complete'!C69,S25-SUM('Table 1.1 complete'!E68:E71),"error")</f>
        <v>2.9999999999972715E-2</v>
      </c>
      <c r="U25" s="113">
        <f>IF(D25='Table 1.2 complete'!C69,S25-SUM('Table 1.2 complete'!K68:K71),"error")</f>
        <v>1.999999999998181E-2</v>
      </c>
      <c r="V25" s="106">
        <f>'Table 1.2 complete'!K27-'Table 1.1 complete'!E27</f>
        <v>-4.9999999999997158E-2</v>
      </c>
    </row>
    <row r="26" spans="1:22" x14ac:dyDescent="0.25">
      <c r="B26" s="86" t="s">
        <v>302</v>
      </c>
      <c r="C26" s="141">
        <v>26</v>
      </c>
      <c r="D26" s="175" t="s">
        <v>423</v>
      </c>
      <c r="E26" s="222">
        <f>IF(GEP!$D124=GEP_Aggreg!$D26,SUM(GEP!F75:F148),"error")</f>
        <v>145.93</v>
      </c>
      <c r="F26" s="222">
        <f>IF(GEP!$D124=GEP_Aggreg!$D26,SUM(GEP!G75:G148),"error")</f>
        <v>519.97</v>
      </c>
      <c r="G26" s="222">
        <f>IF(GEP!$D124=GEP_Aggreg!$D26,SUM(GEP!H75:H148),"error")</f>
        <v>14.260000000000002</v>
      </c>
      <c r="H26" s="222">
        <f>IF(GEP!$D124=GEP_Aggreg!$D26,SUM(GEP!I75:I148),"error")</f>
        <v>1.4000000000000001</v>
      </c>
      <c r="I26" s="222">
        <f>IF(GEP!$D124=GEP_Aggreg!$D26,SUM(GEP!J75:J148),"error")</f>
        <v>402.86999999999989</v>
      </c>
      <c r="J26" s="222">
        <f>IF(GEP!$D124=GEP_Aggreg!$D26,SUM(GEP!K75:K148),"error")</f>
        <v>108.42</v>
      </c>
      <c r="K26" s="222">
        <f>IF(GEP!$D124=GEP_Aggreg!$D26,SUM(GEP!L75:L148),"error")</f>
        <v>0.01</v>
      </c>
      <c r="L26" s="222">
        <f>IF(GEP!$D124=GEP_Aggreg!$D26,SUM(GEP!M75:M148),"error")</f>
        <v>7.91</v>
      </c>
      <c r="M26" s="222">
        <f>IF(GEP!$D124=GEP_Aggreg!$D26,SUM(GEP!N75:N148),"error")</f>
        <v>229.26000000000002</v>
      </c>
      <c r="N26" s="222">
        <f>IF(GEP!$D124=GEP_Aggreg!$D26,SUM(GEP!O75:O148),"error")</f>
        <v>682.99</v>
      </c>
      <c r="O26" s="222">
        <f>IF(GEP!$D124=GEP_Aggreg!$D26,SUM(GEP!P75:P148),"error")</f>
        <v>13.94</v>
      </c>
      <c r="P26" s="222">
        <f>IF(GEP!$D124=GEP_Aggreg!$D26,SUM(GEP!Q75:Q148),"error")</f>
        <v>0.19</v>
      </c>
      <c r="Q26" s="222">
        <f>IF(GEP!$D124=GEP_Aggreg!$D26,SUM(GEP!R75:R148),"error")</f>
        <v>3.02</v>
      </c>
      <c r="R26" s="222">
        <f>IF(GEP!$D124=GEP_Aggreg!$D26,SUM(GEP!S75:S148),"error")</f>
        <v>9.0000000000000011E-2</v>
      </c>
      <c r="S26" s="223">
        <f t="shared" ref="S26" si="1">SUM(E26:R26)</f>
        <v>2130.2600000000002</v>
      </c>
      <c r="T26" s="224">
        <f>IF(D26='Table 1.1 complete'!C121,S26-SUM('Table 1.1 complete'!E72:E145),"error")</f>
        <v>0.26000000000067303</v>
      </c>
      <c r="U26" s="225">
        <f>IF(D26='Table 1.2 complete'!C121,S26-SUM('Table 1.2 complete'!K72:K145),"error")</f>
        <v>5.999999999994543E-2</v>
      </c>
      <c r="V26" s="224">
        <f>'Table 1.2 complete'!K31-'Table 1.1 complete'!E31</f>
        <v>0</v>
      </c>
    </row>
    <row r="27" spans="1:22" x14ac:dyDescent="0.25">
      <c r="C27" s="226">
        <v>99</v>
      </c>
      <c r="D27" s="227" t="s">
        <v>277</v>
      </c>
      <c r="E27" s="114">
        <f>IF(GEP!$D149=GEP_Aggreg!$D27,GEP!F149,"error")</f>
        <v>11.32</v>
      </c>
      <c r="F27" s="114">
        <f>IF(GEP!$D149=GEP_Aggreg!$D27,GEP!G149,"error")</f>
        <v>98.63</v>
      </c>
      <c r="G27" s="114">
        <f>IF(GEP!$D149=GEP_Aggreg!$D27,GEP!H149,"error")</f>
        <v>1.02</v>
      </c>
      <c r="H27" s="114">
        <f>IF(GEP!$D149=GEP_Aggreg!$D27,GEP!I149,"error")</f>
        <v>1.25</v>
      </c>
      <c r="I27" s="114">
        <f>IF(GEP!$D149=GEP_Aggreg!$D27,GEP!J149,"error")</f>
        <v>267.04000000000002</v>
      </c>
      <c r="J27" s="114" t="str">
        <f>IF(GEP!$D149=GEP_Aggreg!$D27,GEP!K149,"error")</f>
        <v>-</v>
      </c>
      <c r="K27" s="114" t="str">
        <f>IF(GEP!$D149=GEP_Aggreg!$D27,GEP!L149,"error")</f>
        <v>-</v>
      </c>
      <c r="L27" s="114" t="str">
        <f>IF(GEP!$D149=GEP_Aggreg!$D27,GEP!M149,"error")</f>
        <v>-</v>
      </c>
      <c r="M27" s="114">
        <f>IF(GEP!$D149=GEP_Aggreg!$D27,GEP!N149,"error")</f>
        <v>67.989999999999995</v>
      </c>
      <c r="N27" s="114">
        <f>IF(GEP!$D149=GEP_Aggreg!$D27,GEP!O149,"error")</f>
        <v>170.07</v>
      </c>
      <c r="O27" s="114">
        <f>IF(GEP!$D149=GEP_Aggreg!$D27,GEP!P149,"error")</f>
        <v>0.76</v>
      </c>
      <c r="P27" s="114" t="str">
        <f>IF(GEP!$D149=GEP_Aggreg!$D27,GEP!Q149,"error")</f>
        <v>-</v>
      </c>
      <c r="Q27" s="114" t="str">
        <f>IF(GEP!$D149=GEP_Aggreg!$D27,GEP!R149,"error")</f>
        <v>-</v>
      </c>
      <c r="R27" s="114" t="str">
        <f>IF(GEP!$D149=GEP_Aggreg!$D27,GEP!S149,"error")</f>
        <v>-</v>
      </c>
      <c r="S27" s="150">
        <f t="shared" ref="S27:S41" si="2">SUM(E27:R27)</f>
        <v>618.07999999999993</v>
      </c>
      <c r="T27" s="107">
        <f>IF(D27='Table 1.1 complete'!C146,S27-'Table 1.1 complete'!E146,"error")</f>
        <v>-2.0000000000095497E-2</v>
      </c>
      <c r="U27" s="114">
        <f>IF(D27='Table 1.2 complete'!C146,S27-SUM('Table 1.2 complete'!K146),"error")</f>
        <v>9.9999999998772182E-3</v>
      </c>
      <c r="V27" s="107">
        <f>'Table 1.2 complete'!K32-'Table 1.1 complete'!E32</f>
        <v>-3.9999999999999147E-2</v>
      </c>
    </row>
    <row r="28" spans="1:22" x14ac:dyDescent="0.25">
      <c r="C28" s="226">
        <v>99</v>
      </c>
      <c r="D28" s="228" t="s">
        <v>278</v>
      </c>
      <c r="E28" s="114">
        <f>IF(GEP!$D150=GEP_Aggreg!$D28,GEP!F150,"error")</f>
        <v>60.39</v>
      </c>
      <c r="F28" s="114">
        <f>IF(GEP!$D150=GEP_Aggreg!$D28,GEP!G150,"error")</f>
        <v>259.99</v>
      </c>
      <c r="G28" s="114">
        <f>IF(GEP!$D150=GEP_Aggreg!$D28,GEP!H150,"error")</f>
        <v>17.239999999999998</v>
      </c>
      <c r="H28" s="114">
        <f>IF(GEP!$D150=GEP_Aggreg!$D28,GEP!I150,"error")</f>
        <v>12.2</v>
      </c>
      <c r="I28" s="114">
        <f>IF(GEP!$D150=GEP_Aggreg!$D28,GEP!J150,"error")</f>
        <v>715.97</v>
      </c>
      <c r="J28" s="114">
        <f>IF(GEP!$D150=GEP_Aggreg!$D28,GEP!K150,"error")</f>
        <v>116.37</v>
      </c>
      <c r="K28" s="114" t="str">
        <f>IF(GEP!$D150=GEP_Aggreg!$D28,GEP!L150,"error")</f>
        <v>-</v>
      </c>
      <c r="L28" s="114">
        <f>IF(GEP!$D150=GEP_Aggreg!$D28,GEP!M150,"error")</f>
        <v>3.85</v>
      </c>
      <c r="M28" s="114">
        <f>IF(GEP!$D150=GEP_Aggreg!$D28,GEP!N150,"error")</f>
        <v>159.88999999999999</v>
      </c>
      <c r="N28" s="114">
        <f>IF(GEP!$D150=GEP_Aggreg!$D28,GEP!O150,"error")</f>
        <v>424.64</v>
      </c>
      <c r="O28" s="114">
        <f>IF(GEP!$D150=GEP_Aggreg!$D28,GEP!P150,"error")</f>
        <v>6.81</v>
      </c>
      <c r="P28" s="114" t="str">
        <f>IF(GEP!$D150=GEP_Aggreg!$D28,GEP!Q150,"error")</f>
        <v>-</v>
      </c>
      <c r="Q28" s="114">
        <f>IF(GEP!$D150=GEP_Aggreg!$D28,GEP!R150,"error")</f>
        <v>3.02</v>
      </c>
      <c r="R28" s="114">
        <f>IF(GEP!$D150=GEP_Aggreg!$D28,GEP!S150,"error")</f>
        <v>0.01</v>
      </c>
      <c r="S28" s="150">
        <f t="shared" si="2"/>
        <v>1780.3799999999994</v>
      </c>
      <c r="T28" s="107">
        <f>IF(D28='Table 1.1 complete'!C147,S28-'Table 1.1 complete'!E147,"error")</f>
        <v>-2.0000000000663931E-2</v>
      </c>
      <c r="U28" s="114">
        <f>IF(D28='Table 1.2 complete'!C147,S28-SUM('Table 1.2 complete'!K147),"error")</f>
        <v>1.9999999999527063E-2</v>
      </c>
      <c r="V28" s="107">
        <f>'Table 1.2 complete'!K33-'Table 1.1 complete'!E33</f>
        <v>4.9999999999982947E-2</v>
      </c>
    </row>
    <row r="29" spans="1:22" x14ac:dyDescent="0.25">
      <c r="C29" s="226">
        <v>99</v>
      </c>
      <c r="D29" s="228" t="s">
        <v>279</v>
      </c>
      <c r="E29" s="114">
        <f>IF(GEP!$D151=GEP_Aggreg!$D29,GEP!F151,"error")</f>
        <v>62.13</v>
      </c>
      <c r="F29" s="114">
        <f>IF(GEP!$D151=GEP_Aggreg!$D29,GEP!G151,"error")</f>
        <v>485.26</v>
      </c>
      <c r="G29" s="114" t="str">
        <f>IF(GEP!$D151=GEP_Aggreg!$D29,GEP!H151,"error")</f>
        <v>-</v>
      </c>
      <c r="H29" s="114">
        <f>IF(GEP!$D151=GEP_Aggreg!$D29,GEP!I151,"error")</f>
        <v>8.91</v>
      </c>
      <c r="I29" s="114">
        <f>IF(GEP!$D151=GEP_Aggreg!$D29,GEP!J151,"error")</f>
        <v>2662.85</v>
      </c>
      <c r="J29" s="114" t="str">
        <f>IF(GEP!$D151=GEP_Aggreg!$D29,GEP!K151,"error")</f>
        <v>-</v>
      </c>
      <c r="K29" s="114" t="str">
        <f>IF(GEP!$D151=GEP_Aggreg!$D29,GEP!L151,"error")</f>
        <v>-</v>
      </c>
      <c r="L29" s="114">
        <f>IF(GEP!$D151=GEP_Aggreg!$D29,GEP!M151,"error")</f>
        <v>22.12</v>
      </c>
      <c r="M29" s="114">
        <f>IF(GEP!$D151=GEP_Aggreg!$D29,GEP!N151,"error")</f>
        <v>33.75</v>
      </c>
      <c r="N29" s="114" t="str">
        <f>IF(GEP!$D151=GEP_Aggreg!$D29,GEP!O151,"error")</f>
        <v>-</v>
      </c>
      <c r="O29" s="114" t="str">
        <f>IF(GEP!$D151=GEP_Aggreg!$D29,GEP!P151,"error")</f>
        <v>-</v>
      </c>
      <c r="P29" s="114" t="str">
        <f>IF(GEP!$D151=GEP_Aggreg!$D29,GEP!Q151,"error")</f>
        <v>-</v>
      </c>
      <c r="Q29" s="114">
        <f>IF(GEP!$D151=GEP_Aggreg!$D29,GEP!R151,"error")</f>
        <v>40.86</v>
      </c>
      <c r="R29" s="114">
        <f>IF(GEP!$D151=GEP_Aggreg!$D29,GEP!S151,"error")</f>
        <v>2.31</v>
      </c>
      <c r="S29" s="150">
        <f t="shared" si="2"/>
        <v>3318.1899999999996</v>
      </c>
      <c r="T29" s="107">
        <f>IF(D29='Table 1.1 complete'!C148,S29-'Table 1.1 complete'!E148,"error")</f>
        <v>-1.0000000000218279E-2</v>
      </c>
      <c r="U29" s="114">
        <f>IF(D29='Table 1.2 complete'!C148,S29-SUM('Table 1.2 complete'!K148),"error")</f>
        <v>-4.5474735088646412E-13</v>
      </c>
      <c r="V29" s="107">
        <f>'Table 1.2 complete'!K34-'Table 1.1 complete'!E34</f>
        <v>-3.0000000000001137E-2</v>
      </c>
    </row>
    <row r="30" spans="1:22" x14ac:dyDescent="0.25">
      <c r="C30" s="226">
        <v>99</v>
      </c>
      <c r="D30" s="228" t="s">
        <v>280</v>
      </c>
      <c r="E30" s="114">
        <f>IF(GEP!$D152=GEP_Aggreg!$D30,GEP!F152,"error")</f>
        <v>264.97000000000003</v>
      </c>
      <c r="F30" s="114">
        <f>IF(GEP!$D152=GEP_Aggreg!$D30,GEP!G152,"error")</f>
        <v>249.69</v>
      </c>
      <c r="G30" s="114">
        <f>IF(GEP!$D152=GEP_Aggreg!$D30,GEP!H152,"error")</f>
        <v>0.49</v>
      </c>
      <c r="H30" s="114">
        <f>IF(GEP!$D152=GEP_Aggreg!$D30,GEP!I152,"error")</f>
        <v>0.54</v>
      </c>
      <c r="I30" s="114">
        <f>IF(GEP!$D152=GEP_Aggreg!$D30,GEP!J152,"error")</f>
        <v>217.99</v>
      </c>
      <c r="J30" s="114">
        <f>IF(GEP!$D152=GEP_Aggreg!$D30,GEP!K152,"error")</f>
        <v>75.599999999999994</v>
      </c>
      <c r="K30" s="114">
        <f>IF(GEP!$D152=GEP_Aggreg!$D30,GEP!L152,"error")</f>
        <v>0.79</v>
      </c>
      <c r="L30" s="114">
        <f>IF(GEP!$D152=GEP_Aggreg!$D30,GEP!M152,"error")</f>
        <v>10.9</v>
      </c>
      <c r="M30" s="114">
        <f>IF(GEP!$D152=GEP_Aggreg!$D30,GEP!N152,"error")</f>
        <v>34.380000000000003</v>
      </c>
      <c r="N30" s="114">
        <f>IF(GEP!$D152=GEP_Aggreg!$D30,GEP!O152,"error")</f>
        <v>633.27</v>
      </c>
      <c r="O30" s="114">
        <f>IF(GEP!$D152=GEP_Aggreg!$D30,GEP!P152,"error")</f>
        <v>0.1</v>
      </c>
      <c r="P30" s="114">
        <f>IF(GEP!$D152=GEP_Aggreg!$D30,GEP!Q152,"error")</f>
        <v>2.06</v>
      </c>
      <c r="Q30" s="114" t="str">
        <f>IF(GEP!$D152=GEP_Aggreg!$D30,GEP!R152,"error")</f>
        <v>-</v>
      </c>
      <c r="R30" s="114">
        <f>IF(GEP!$D152=GEP_Aggreg!$D30,GEP!S152,"error")</f>
        <v>0.06</v>
      </c>
      <c r="S30" s="150">
        <f t="shared" si="2"/>
        <v>1490.8399999999997</v>
      </c>
      <c r="T30" s="107">
        <f>IF(D30='Table 1.1 complete'!C149,S30-'Table 1.1 complete'!E149,"error")</f>
        <v>3.9999999999736247E-2</v>
      </c>
      <c r="U30" s="114">
        <f>IF(D30='Table 1.2 complete'!C149,S30-SUM('Table 1.2 complete'!K149),"error")</f>
        <v>1.9999999999754436E-2</v>
      </c>
      <c r="V30" s="107">
        <f>'Table 1.2 complete'!K35-'Table 1.1 complete'!E35</f>
        <v>-4.00000000000027E-2</v>
      </c>
    </row>
    <row r="31" spans="1:22" x14ac:dyDescent="0.25">
      <c r="C31" s="226">
        <v>99</v>
      </c>
      <c r="D31" s="228" t="s">
        <v>281</v>
      </c>
      <c r="E31" s="114">
        <f>IF(GEP!$D153=GEP_Aggreg!$D31,GEP!F153,"error")</f>
        <v>19.57</v>
      </c>
      <c r="F31" s="114">
        <f>IF(GEP!$D153=GEP_Aggreg!$D31,GEP!G153,"error")</f>
        <v>669.28</v>
      </c>
      <c r="G31" s="114">
        <f>IF(GEP!$D153=GEP_Aggreg!$D31,GEP!H153,"error")</f>
        <v>2.86</v>
      </c>
      <c r="H31" s="114">
        <f>IF(GEP!$D153=GEP_Aggreg!$D31,GEP!I153,"error")</f>
        <v>2.41</v>
      </c>
      <c r="I31" s="114">
        <f>IF(GEP!$D153=GEP_Aggreg!$D31,GEP!J153,"error")</f>
        <v>22.34</v>
      </c>
      <c r="J31" s="114">
        <f>IF(GEP!$D153=GEP_Aggreg!$D31,GEP!K153,"error")</f>
        <v>5.96</v>
      </c>
      <c r="K31" s="114" t="str">
        <f>IF(GEP!$D153=GEP_Aggreg!$D31,GEP!L153,"error")</f>
        <v>-</v>
      </c>
      <c r="L31" s="114">
        <f>IF(GEP!$D153=GEP_Aggreg!$D31,GEP!M153,"error")</f>
        <v>5</v>
      </c>
      <c r="M31" s="114">
        <f>IF(GEP!$D153=GEP_Aggreg!$D31,GEP!N153,"error")</f>
        <v>125.35</v>
      </c>
      <c r="N31" s="114">
        <f>IF(GEP!$D153=GEP_Aggreg!$D31,GEP!O153,"error")</f>
        <v>128.18</v>
      </c>
      <c r="O31" s="114">
        <f>IF(GEP!$D153=GEP_Aggreg!$D31,GEP!P153,"error")</f>
        <v>25.94</v>
      </c>
      <c r="P31" s="114" t="str">
        <f>IF(GEP!$D153=GEP_Aggreg!$D31,GEP!Q153,"error")</f>
        <v>-</v>
      </c>
      <c r="Q31" s="114" t="str">
        <f>IF(GEP!$D153=GEP_Aggreg!$D31,GEP!R153,"error")</f>
        <v>-</v>
      </c>
      <c r="R31" s="114">
        <f>IF(GEP!$D153=GEP_Aggreg!$D31,GEP!S153,"error")</f>
        <v>0.01</v>
      </c>
      <c r="S31" s="150">
        <f t="shared" si="2"/>
        <v>1006.9000000000001</v>
      </c>
      <c r="T31" s="107">
        <f>IF(D31='Table 1.1 complete'!C150,S31-'Table 1.1 complete'!E150,"error")</f>
        <v>1.1368683772161603E-13</v>
      </c>
      <c r="U31" s="114">
        <f>IF(D31='Table 1.2 complete'!C150,S31-SUM('Table 1.2 complete'!K150),"error")</f>
        <v>2.0000000000095497E-2</v>
      </c>
      <c r="V31" s="107">
        <f>'Table 1.2 complete'!K36-'Table 1.1 complete'!E36</f>
        <v>-3.0000000000001137E-2</v>
      </c>
    </row>
    <row r="32" spans="1:22" x14ac:dyDescent="0.25">
      <c r="C32" s="226">
        <v>99</v>
      </c>
      <c r="D32" s="227" t="s">
        <v>282</v>
      </c>
      <c r="E32" s="114" t="str">
        <f>IF(GEP!$D154=GEP_Aggreg!$D32,GEP!F154,"error")</f>
        <v>-</v>
      </c>
      <c r="F32" s="114">
        <f>IF(GEP!$D154=GEP_Aggreg!$D32,GEP!G154,"error")</f>
        <v>22.69</v>
      </c>
      <c r="G32" s="114" t="str">
        <f>IF(GEP!$D154=GEP_Aggreg!$D32,GEP!H154,"error")</f>
        <v>-</v>
      </c>
      <c r="H32" s="114">
        <f>IF(GEP!$D154=GEP_Aggreg!$D32,GEP!I154,"error")</f>
        <v>0.16</v>
      </c>
      <c r="I32" s="114">
        <f>IF(GEP!$D154=GEP_Aggreg!$D32,GEP!J154,"error")</f>
        <v>37.25</v>
      </c>
      <c r="J32" s="114">
        <f>IF(GEP!$D154=GEP_Aggreg!$D32,GEP!K154,"error")</f>
        <v>0.16</v>
      </c>
      <c r="K32" s="114" t="str">
        <f>IF(GEP!$D154=GEP_Aggreg!$D32,GEP!L154,"error")</f>
        <v>-</v>
      </c>
      <c r="L32" s="114" t="str">
        <f>IF(GEP!$D154=GEP_Aggreg!$D32,GEP!M154,"error")</f>
        <v>-</v>
      </c>
      <c r="M32" s="114">
        <f>IF(GEP!$D154=GEP_Aggreg!$D32,GEP!N154,"error")</f>
        <v>250.07</v>
      </c>
      <c r="N32" s="114">
        <f>IF(GEP!$D154=GEP_Aggreg!$D32,GEP!O154,"error")</f>
        <v>404.28</v>
      </c>
      <c r="O32" s="114" t="str">
        <f>IF(GEP!$D154=GEP_Aggreg!$D32,GEP!P154,"error")</f>
        <v>-</v>
      </c>
      <c r="P32" s="114" t="str">
        <f>IF(GEP!$D154=GEP_Aggreg!$D32,GEP!Q154,"error")</f>
        <v>-</v>
      </c>
      <c r="Q32" s="114" t="str">
        <f>IF(GEP!$D154=GEP_Aggreg!$D32,GEP!R154,"error")</f>
        <v>-</v>
      </c>
      <c r="R32" s="114">
        <f>IF(GEP!$D154=GEP_Aggreg!$D32,GEP!S154,"error")</f>
        <v>0.01</v>
      </c>
      <c r="S32" s="150">
        <f t="shared" si="2"/>
        <v>714.61999999999989</v>
      </c>
      <c r="T32" s="107">
        <f>IF(D32='Table 1.1 complete'!C151,S32-'Table 1.1 complete'!E151,"error")</f>
        <v>1.9999999999868123E-2</v>
      </c>
      <c r="U32" s="114">
        <f>IF(D32='Table 1.2 complete'!C151,S32-SUM('Table 1.2 complete'!K151),"error")</f>
        <v>1.9999999999868123E-2</v>
      </c>
      <c r="V32" s="107">
        <f>'Table 1.2 complete'!K37-'Table 1.1 complete'!E37</f>
        <v>4.0000000000077307E-2</v>
      </c>
    </row>
    <row r="33" spans="3:22" x14ac:dyDescent="0.25">
      <c r="C33" s="226">
        <v>99</v>
      </c>
      <c r="D33" s="228" t="s">
        <v>283</v>
      </c>
      <c r="E33" s="114">
        <f>IF(GEP!$D155=GEP_Aggreg!$D33,GEP!F155,"error")</f>
        <v>28.05</v>
      </c>
      <c r="F33" s="114">
        <f>IF(GEP!$D155=GEP_Aggreg!$D33,GEP!G155,"error")</f>
        <v>44.7</v>
      </c>
      <c r="G33" s="114" t="str">
        <f>IF(GEP!$D155=GEP_Aggreg!$D33,GEP!H155,"error")</f>
        <v>-</v>
      </c>
      <c r="H33" s="114">
        <f>IF(GEP!$D155=GEP_Aggreg!$D33,GEP!I155,"error")</f>
        <v>0.09</v>
      </c>
      <c r="I33" s="114">
        <f>IF(GEP!$D155=GEP_Aggreg!$D33,GEP!J155,"error")</f>
        <v>15.58</v>
      </c>
      <c r="J33" s="114">
        <f>IF(GEP!$D155=GEP_Aggreg!$D33,GEP!K155,"error")</f>
        <v>78.239999999999995</v>
      </c>
      <c r="K33" s="114" t="str">
        <f>IF(GEP!$D155=GEP_Aggreg!$D33,GEP!L155,"error")</f>
        <v>-</v>
      </c>
      <c r="L33" s="114">
        <f>IF(GEP!$D155=GEP_Aggreg!$D33,GEP!M155,"error")</f>
        <v>0.41</v>
      </c>
      <c r="M33" s="114">
        <f>IF(GEP!$D155=GEP_Aggreg!$D33,GEP!N155,"error")</f>
        <v>12.5</v>
      </c>
      <c r="N33" s="114">
        <f>IF(GEP!$D155=GEP_Aggreg!$D33,GEP!O155,"error")</f>
        <v>17.8</v>
      </c>
      <c r="O33" s="114">
        <f>IF(GEP!$D155=GEP_Aggreg!$D33,GEP!P155,"error")</f>
        <v>0.1</v>
      </c>
      <c r="P33" s="114">
        <f>IF(GEP!$D155=GEP_Aggreg!$D33,GEP!Q155,"error")</f>
        <v>0.01</v>
      </c>
      <c r="Q33" s="114" t="str">
        <f>IF(GEP!$D155=GEP_Aggreg!$D33,GEP!R155,"error")</f>
        <v>-</v>
      </c>
      <c r="R33" s="114">
        <f>IF(GEP!$D155=GEP_Aggreg!$D33,GEP!S155,"error")</f>
        <v>0.06</v>
      </c>
      <c r="S33" s="150">
        <f t="shared" si="2"/>
        <v>197.54</v>
      </c>
      <c r="T33" s="107">
        <f>IF(D33='Table 1.1 complete'!C152,S33-'Table 1.1 complete'!E152,"error")</f>
        <v>3.9999999999992042E-2</v>
      </c>
      <c r="U33" s="114">
        <f>IF(D33='Table 1.2 complete'!C152,S33-SUM('Table 1.2 complete'!K152),"error")</f>
        <v>1.999999999998181E-2</v>
      </c>
      <c r="V33" s="107">
        <f>'Table 1.2 complete'!K38-'Table 1.1 complete'!E38</f>
        <v>-1.9999999999999574E-2</v>
      </c>
    </row>
    <row r="34" spans="3:22" x14ac:dyDescent="0.25">
      <c r="C34" s="226">
        <v>99</v>
      </c>
      <c r="D34" s="228" t="s">
        <v>284</v>
      </c>
      <c r="E34" s="114">
        <f>IF(GEP!$D156=GEP_Aggreg!$D34,GEP!F156,"error")</f>
        <v>446.42</v>
      </c>
      <c r="F34" s="114">
        <f>IF(GEP!$D156=GEP_Aggreg!$D34,GEP!G156,"error")</f>
        <v>1830.23</v>
      </c>
      <c r="G34" s="114">
        <f>IF(GEP!$D156=GEP_Aggreg!$D34,GEP!H156,"error")</f>
        <v>21.61</v>
      </c>
      <c r="H34" s="114">
        <f>IF(GEP!$D156=GEP_Aggreg!$D34,GEP!I156,"error")</f>
        <v>25.54</v>
      </c>
      <c r="I34" s="114">
        <f>IF(GEP!$D156=GEP_Aggreg!$D34,GEP!J156,"error")</f>
        <v>3939.01</v>
      </c>
      <c r="J34" s="114">
        <f>IF(GEP!$D156=GEP_Aggreg!$D34,GEP!K156,"error")</f>
        <v>276.32</v>
      </c>
      <c r="K34" s="114">
        <f>IF(GEP!$D156=GEP_Aggreg!$D34,GEP!L156,"error")</f>
        <v>0.79</v>
      </c>
      <c r="L34" s="114">
        <f>IF(GEP!$D156=GEP_Aggreg!$D34,GEP!M156,"error")</f>
        <v>42.28</v>
      </c>
      <c r="M34" s="114">
        <f>IF(GEP!$D156=GEP_Aggreg!$D34,GEP!N156,"error")</f>
        <v>683.91</v>
      </c>
      <c r="N34" s="114">
        <f>IF(GEP!$D156=GEP_Aggreg!$D34,GEP!O156,"error")</f>
        <v>1819.08</v>
      </c>
      <c r="O34" s="114">
        <f>IF(GEP!$D156=GEP_Aggreg!$D34,GEP!P156,"error")</f>
        <v>36.020000000000003</v>
      </c>
      <c r="P34" s="114">
        <f>IF(GEP!$D156=GEP_Aggreg!$D34,GEP!Q156,"error")</f>
        <v>2.0699999999999998</v>
      </c>
      <c r="Q34" s="114">
        <f>IF(GEP!$D156=GEP_Aggreg!$D34,GEP!R156,"error")</f>
        <v>3.02</v>
      </c>
      <c r="R34" s="114">
        <f>IF(GEP!$D156=GEP_Aggreg!$D34,GEP!S156,"error")</f>
        <v>0.14000000000000001</v>
      </c>
      <c r="S34" s="150">
        <f t="shared" si="2"/>
        <v>9126.4399999999987</v>
      </c>
      <c r="T34" s="107">
        <f>IF(D34='Table 1.1 complete'!C153,S34-'Table 1.1 complete'!E153,"error")</f>
        <v>3.9999999999054126E-2</v>
      </c>
      <c r="U34" s="114">
        <f>IF(D34='Table 1.2 complete'!C153,S34-SUM('Table 1.2 complete'!K153),"error")</f>
        <v>9.9999999983992893E-3</v>
      </c>
      <c r="V34" s="107">
        <f>'Table 1.2 complete'!K39-'Table 1.1 complete'!E39</f>
        <v>9.9999999999909051E-3</v>
      </c>
    </row>
    <row r="35" spans="3:22" x14ac:dyDescent="0.25">
      <c r="C35" s="226">
        <v>99</v>
      </c>
      <c r="D35" s="228" t="s">
        <v>285</v>
      </c>
      <c r="E35" s="114">
        <f>IF(GEP!$D157=GEP_Aggreg!$D35,GEP!F157,"error")</f>
        <v>446.42</v>
      </c>
      <c r="F35" s="114">
        <f>IF(GEP!$D157=GEP_Aggreg!$D35,GEP!G157,"error")</f>
        <v>1830.23</v>
      </c>
      <c r="G35" s="114">
        <f>IF(GEP!$D157=GEP_Aggreg!$D35,GEP!H157,"error")</f>
        <v>21.61</v>
      </c>
      <c r="H35" s="114">
        <f>IF(GEP!$D157=GEP_Aggreg!$D35,GEP!I157,"error")</f>
        <v>25.54</v>
      </c>
      <c r="I35" s="114">
        <f>IF(GEP!$D157=GEP_Aggreg!$D35,GEP!J157,"error")</f>
        <v>3939.01</v>
      </c>
      <c r="J35" s="114">
        <f>IF(GEP!$D157=GEP_Aggreg!$D35,GEP!K157,"error")</f>
        <v>276.32</v>
      </c>
      <c r="K35" s="114">
        <f>IF(GEP!$D157=GEP_Aggreg!$D35,GEP!L157,"error")</f>
        <v>0.79</v>
      </c>
      <c r="L35" s="114">
        <f>IF(GEP!$D157=GEP_Aggreg!$D35,GEP!M157,"error")</f>
        <v>42.28</v>
      </c>
      <c r="M35" s="114">
        <f>IF(GEP!$D157=GEP_Aggreg!$D35,GEP!N157,"error")</f>
        <v>683.91</v>
      </c>
      <c r="N35" s="114">
        <f>IF(GEP!$D157=GEP_Aggreg!$D35,GEP!O157,"error")</f>
        <v>1819.08</v>
      </c>
      <c r="O35" s="114">
        <f>IF(GEP!$D157=GEP_Aggreg!$D35,GEP!P157,"error")</f>
        <v>36.020000000000003</v>
      </c>
      <c r="P35" s="114">
        <f>IF(GEP!$D157=GEP_Aggreg!$D35,GEP!Q157,"error")</f>
        <v>2.0699999999999998</v>
      </c>
      <c r="Q35" s="114">
        <f>IF(GEP!$D157=GEP_Aggreg!$D35,GEP!R157,"error")</f>
        <v>3.02</v>
      </c>
      <c r="R35" s="114">
        <f>IF(GEP!$D157=GEP_Aggreg!$D35,GEP!S157,"error")</f>
        <v>0.14000000000000001</v>
      </c>
      <c r="S35" s="150">
        <f t="shared" si="2"/>
        <v>9126.4399999999987</v>
      </c>
      <c r="T35" s="107">
        <f>IF(D35='Table 1.1 complete'!C154,S35-'Table 1.1 complete'!E154,"error")</f>
        <v>3.9999999999054126E-2</v>
      </c>
      <c r="U35" s="114">
        <f>IF(D35='Table 1.2 complete'!C154,S35-SUM('Table 1.2 complete'!K154),"error")</f>
        <v>9.9999999983992893E-3</v>
      </c>
      <c r="V35" s="107">
        <f>'Table 1.2 complete'!K40-'Table 1.1 complete'!E40</f>
        <v>1.999999999998181E-2</v>
      </c>
    </row>
    <row r="36" spans="3:22" x14ac:dyDescent="0.25">
      <c r="C36" s="226">
        <v>99</v>
      </c>
      <c r="D36" s="228" t="s">
        <v>286</v>
      </c>
      <c r="E36" s="114">
        <f>IF(GEP!$D158=GEP_Aggreg!$D36,GEP!F158,"error")</f>
        <v>925.32</v>
      </c>
      <c r="F36" s="114">
        <f>IF(GEP!$D158=GEP_Aggreg!$D36,GEP!G158,"error")</f>
        <v>533.11</v>
      </c>
      <c r="G36" s="114">
        <f>IF(GEP!$D158=GEP_Aggreg!$D36,GEP!H158,"error")</f>
        <v>9.51</v>
      </c>
      <c r="H36" s="114">
        <f>IF(GEP!$D158=GEP_Aggreg!$D36,GEP!I158,"error")</f>
        <v>111.93</v>
      </c>
      <c r="I36" s="114">
        <f>IF(GEP!$D158=GEP_Aggreg!$D36,GEP!J158,"error")</f>
        <v>600.42999999999995</v>
      </c>
      <c r="J36" s="114">
        <f>IF(GEP!$D158=GEP_Aggreg!$D36,GEP!K158,"error")</f>
        <v>366.37</v>
      </c>
      <c r="K36" s="114">
        <f>IF(GEP!$D158=GEP_Aggreg!$D36,GEP!L158,"error")</f>
        <v>9.93</v>
      </c>
      <c r="L36" s="114">
        <f>IF(GEP!$D158=GEP_Aggreg!$D36,GEP!M158,"error")</f>
        <v>35.97</v>
      </c>
      <c r="M36" s="114">
        <f>IF(GEP!$D158=GEP_Aggreg!$D36,GEP!N158,"error")</f>
        <v>109.89</v>
      </c>
      <c r="N36" s="114">
        <f>IF(GEP!$D158=GEP_Aggreg!$D36,GEP!O158,"error")</f>
        <v>801.95</v>
      </c>
      <c r="O36" s="114">
        <f>IF(GEP!$D158=GEP_Aggreg!$D36,GEP!P158,"error")</f>
        <v>52.63</v>
      </c>
      <c r="P36" s="114">
        <f>IF(GEP!$D158=GEP_Aggreg!$D36,GEP!Q158,"error")</f>
        <v>3.96</v>
      </c>
      <c r="Q36" s="114">
        <f>IF(GEP!$D158=GEP_Aggreg!$D36,GEP!R158,"error")</f>
        <v>29.25</v>
      </c>
      <c r="R36" s="114">
        <f>IF(GEP!$D158=GEP_Aggreg!$D36,GEP!S158,"error")</f>
        <v>22.25</v>
      </c>
      <c r="S36" s="150">
        <f t="shared" si="2"/>
        <v>3612.5</v>
      </c>
      <c r="T36" s="107">
        <f>IF(D36='Table 1.1 complete'!C155,S36-'Table 1.1 complete'!E155,"error")</f>
        <v>0</v>
      </c>
      <c r="U36" s="114">
        <f>IF(D36='Table 1.2 complete'!C155,S36-SUM('Table 1.2 complete'!K155),"error")</f>
        <v>0</v>
      </c>
      <c r="V36" s="107">
        <f>'Table 1.2 complete'!K41-'Table 1.1 complete'!E41</f>
        <v>-4.0000000000020464E-2</v>
      </c>
    </row>
    <row r="37" spans="3:22" x14ac:dyDescent="0.25">
      <c r="C37" s="226">
        <v>99</v>
      </c>
      <c r="D37" s="227" t="s">
        <v>287</v>
      </c>
      <c r="E37" s="114">
        <f>IF(GEP!$D159=GEP_Aggreg!$D37,GEP!F159,"error")</f>
        <v>940.55</v>
      </c>
      <c r="F37" s="114">
        <f>IF(GEP!$D159=GEP_Aggreg!$D37,GEP!G159,"error")</f>
        <v>671.34</v>
      </c>
      <c r="G37" s="114">
        <f>IF(GEP!$D159=GEP_Aggreg!$D37,GEP!H159,"error")</f>
        <v>24.2</v>
      </c>
      <c r="H37" s="114">
        <f>IF(GEP!$D159=GEP_Aggreg!$D37,GEP!I159,"error")</f>
        <v>39.79</v>
      </c>
      <c r="I37" s="114">
        <f>IF(GEP!$D159=GEP_Aggreg!$D37,GEP!J159,"error")</f>
        <v>2101.4499999999998</v>
      </c>
      <c r="J37" s="114">
        <f>IF(GEP!$D159=GEP_Aggreg!$D37,GEP!K159,"error")</f>
        <v>159.99</v>
      </c>
      <c r="K37" s="114" t="str">
        <f>IF(GEP!$D159=GEP_Aggreg!$D37,GEP!L159,"error")</f>
        <v>-</v>
      </c>
      <c r="L37" s="114">
        <f>IF(GEP!$D159=GEP_Aggreg!$D37,GEP!M159,"error")</f>
        <v>4.33</v>
      </c>
      <c r="M37" s="114">
        <f>IF(GEP!$D159=GEP_Aggreg!$D37,GEP!N159,"error")</f>
        <v>140.24</v>
      </c>
      <c r="N37" s="114">
        <f>IF(GEP!$D159=GEP_Aggreg!$D37,GEP!O159,"error")</f>
        <v>1081.51</v>
      </c>
      <c r="O37" s="114">
        <f>IF(GEP!$D159=GEP_Aggreg!$D37,GEP!P159,"error")</f>
        <v>52.14</v>
      </c>
      <c r="P37" s="114">
        <f>IF(GEP!$D159=GEP_Aggreg!$D37,GEP!Q159,"error")</f>
        <v>5.01</v>
      </c>
      <c r="Q37" s="114">
        <f>IF(GEP!$D159=GEP_Aggreg!$D37,GEP!R159,"error")</f>
        <v>17.260000000000002</v>
      </c>
      <c r="R37" s="114">
        <f>IF(GEP!$D159=GEP_Aggreg!$D37,GEP!S159,"error")</f>
        <v>8.36</v>
      </c>
      <c r="S37" s="150">
        <f t="shared" si="2"/>
        <v>5246.17</v>
      </c>
      <c r="T37" s="107">
        <f>IF(D37='Table 1.1 complete'!C156,S37-'Table 1.1 complete'!E156,"error")</f>
        <v>-2.9999999999745341E-2</v>
      </c>
      <c r="U37" s="114">
        <f>IF(D37='Table 1.2 complete'!C156,S37-SUM('Table 1.2 complete'!K156),"error")</f>
        <v>2.0000000000436557E-2</v>
      </c>
      <c r="V37" s="107">
        <f>'Table 1.2 complete'!K42-'Table 1.1 complete'!E42</f>
        <v>5.0000000000004263E-2</v>
      </c>
    </row>
    <row r="38" spans="3:22" x14ac:dyDescent="0.25">
      <c r="C38" s="226">
        <v>99</v>
      </c>
      <c r="D38" s="228" t="s">
        <v>288</v>
      </c>
      <c r="E38" s="114">
        <f>IF(GEP!$D160=GEP_Aggreg!$D38,GEP!F160,"error")</f>
        <v>406.77</v>
      </c>
      <c r="F38" s="114">
        <f>IF(GEP!$D160=GEP_Aggreg!$D38,GEP!G160,"error")</f>
        <v>127.52</v>
      </c>
      <c r="G38" s="114">
        <f>IF(GEP!$D160=GEP_Aggreg!$D38,GEP!H160,"error")</f>
        <v>6.5</v>
      </c>
      <c r="H38" s="114">
        <f>IF(GEP!$D160=GEP_Aggreg!$D38,GEP!I160,"error")</f>
        <v>6.76</v>
      </c>
      <c r="I38" s="114">
        <f>IF(GEP!$D160=GEP_Aggreg!$D38,GEP!J160,"error")</f>
        <v>567.21</v>
      </c>
      <c r="J38" s="114">
        <f>IF(GEP!$D160=GEP_Aggreg!$D38,GEP!K160,"error")</f>
        <v>57.5</v>
      </c>
      <c r="K38" s="114" t="str">
        <f>IF(GEP!$D160=GEP_Aggreg!$D38,GEP!L160,"error")</f>
        <v>-</v>
      </c>
      <c r="L38" s="114">
        <f>IF(GEP!$D160=GEP_Aggreg!$D38,GEP!M160,"error")</f>
        <v>54.16</v>
      </c>
      <c r="M38" s="114">
        <f>IF(GEP!$D160=GEP_Aggreg!$D38,GEP!N160,"error")</f>
        <v>183.64</v>
      </c>
      <c r="N38" s="114">
        <f>IF(GEP!$D160=GEP_Aggreg!$D38,GEP!O160,"error")</f>
        <v>423.39</v>
      </c>
      <c r="O38" s="114">
        <f>IF(GEP!$D160=GEP_Aggreg!$D38,GEP!P160,"error")</f>
        <v>17.45</v>
      </c>
      <c r="P38" s="114">
        <f>IF(GEP!$D160=GEP_Aggreg!$D38,GEP!Q160,"error")</f>
        <v>0.44</v>
      </c>
      <c r="Q38" s="114">
        <f>IF(GEP!$D160=GEP_Aggreg!$D38,GEP!R160,"error")</f>
        <v>7.03</v>
      </c>
      <c r="R38" s="114">
        <f>IF(GEP!$D160=GEP_Aggreg!$D38,GEP!S160,"error")</f>
        <v>1.49</v>
      </c>
      <c r="S38" s="150">
        <f t="shared" si="2"/>
        <v>1859.86</v>
      </c>
      <c r="T38" s="107">
        <f>IF(D38='Table 1.1 complete'!C157,S38-'Table 1.1 complete'!E157,"error")</f>
        <v>5.999999999994543E-2</v>
      </c>
      <c r="U38" s="114">
        <f>IF(D38='Table 1.2 complete'!C157,S38-SUM('Table 1.2 complete'!K157),"error")</f>
        <v>1.999999999998181E-2</v>
      </c>
      <c r="V38" s="107">
        <f>'Table 1.2 complete'!K43-'Table 1.1 complete'!E43</f>
        <v>-3.0000000000001137E-2</v>
      </c>
    </row>
    <row r="39" spans="3:22" x14ac:dyDescent="0.25">
      <c r="C39" s="226">
        <v>99</v>
      </c>
      <c r="D39" s="228" t="s">
        <v>289</v>
      </c>
      <c r="E39" s="114">
        <f>IF(GEP!$D161=GEP_Aggreg!$D39,GEP!F161,"error")</f>
        <v>2272.64</v>
      </c>
      <c r="F39" s="114">
        <f>IF(GEP!$D161=GEP_Aggreg!$D39,GEP!G161,"error")</f>
        <v>1331.96</v>
      </c>
      <c r="G39" s="114">
        <f>IF(GEP!$D161=GEP_Aggreg!$D39,GEP!H161,"error")</f>
        <v>40.21</v>
      </c>
      <c r="H39" s="114">
        <f>IF(GEP!$D161=GEP_Aggreg!$D39,GEP!I161,"error")</f>
        <v>158.47999999999999</v>
      </c>
      <c r="I39" s="114">
        <f>IF(GEP!$D161=GEP_Aggreg!$D39,GEP!J161,"error")</f>
        <v>3269.09</v>
      </c>
      <c r="J39" s="114">
        <f>IF(GEP!$D161=GEP_Aggreg!$D39,GEP!K161,"error")</f>
        <v>583.85</v>
      </c>
      <c r="K39" s="114">
        <f>IF(GEP!$D161=GEP_Aggreg!$D39,GEP!L161,"error")</f>
        <v>9.93</v>
      </c>
      <c r="L39" s="114">
        <f>IF(GEP!$D161=GEP_Aggreg!$D39,GEP!M161,"error")</f>
        <v>94.46</v>
      </c>
      <c r="M39" s="114">
        <f>IF(GEP!$D161=GEP_Aggreg!$D39,GEP!N161,"error")</f>
        <v>433.77</v>
      </c>
      <c r="N39" s="114">
        <f>IF(GEP!$D161=GEP_Aggreg!$D39,GEP!O161,"error")</f>
        <v>2306.85</v>
      </c>
      <c r="O39" s="114">
        <f>IF(GEP!$D161=GEP_Aggreg!$D39,GEP!P161,"error")</f>
        <v>122.22</v>
      </c>
      <c r="P39" s="114">
        <f>IF(GEP!$D161=GEP_Aggreg!$D39,GEP!Q161,"error")</f>
        <v>9.41</v>
      </c>
      <c r="Q39" s="114">
        <f>IF(GEP!$D161=GEP_Aggreg!$D39,GEP!R161,"error")</f>
        <v>53.55</v>
      </c>
      <c r="R39" s="114">
        <f>IF(GEP!$D161=GEP_Aggreg!$D39,GEP!S161,"error")</f>
        <v>32.090000000000003</v>
      </c>
      <c r="S39" s="150">
        <f t="shared" si="2"/>
        <v>10718.51</v>
      </c>
      <c r="T39" s="107">
        <f>IF(D39='Table 1.1 complete'!C158,S39-'Table 1.1 complete'!E158,"error")</f>
        <v>1.0000000000218279E-2</v>
      </c>
      <c r="U39" s="114">
        <f>IF(D39='Table 1.2 complete'!C158,S39-SUM('Table 1.2 complete'!K158),"error")</f>
        <v>2.0000000000436557E-2</v>
      </c>
      <c r="V39" s="107">
        <f>'Table 1.2 complete'!K44-'Table 1.1 complete'!E44</f>
        <v>-3.999999999996362E-2</v>
      </c>
    </row>
    <row r="40" spans="3:22" x14ac:dyDescent="0.25">
      <c r="C40" s="226">
        <v>99</v>
      </c>
      <c r="D40" s="228" t="s">
        <v>290</v>
      </c>
      <c r="E40" s="114">
        <f>IF(GEP!$D162=GEP_Aggreg!$D40,GEP!F162,"error")</f>
        <v>2272.64</v>
      </c>
      <c r="F40" s="114">
        <f>IF(GEP!$D162=GEP_Aggreg!$D40,GEP!G162,"error")</f>
        <v>1331.96</v>
      </c>
      <c r="G40" s="114">
        <f>IF(GEP!$D162=GEP_Aggreg!$D40,GEP!H162,"error")</f>
        <v>40.21</v>
      </c>
      <c r="H40" s="114">
        <f>IF(GEP!$D162=GEP_Aggreg!$D40,GEP!I162,"error")</f>
        <v>158.47999999999999</v>
      </c>
      <c r="I40" s="114">
        <f>IF(GEP!$D162=GEP_Aggreg!$D40,GEP!J162,"error")</f>
        <v>3269.09</v>
      </c>
      <c r="J40" s="114">
        <f>IF(GEP!$D162=GEP_Aggreg!$D40,GEP!K162,"error")</f>
        <v>583.85</v>
      </c>
      <c r="K40" s="114">
        <f>IF(GEP!$D162=GEP_Aggreg!$D40,GEP!L162,"error")</f>
        <v>9.93</v>
      </c>
      <c r="L40" s="114">
        <f>IF(GEP!$D162=GEP_Aggreg!$D40,GEP!M162,"error")</f>
        <v>94.46</v>
      </c>
      <c r="M40" s="114">
        <f>IF(GEP!$D162=GEP_Aggreg!$D40,GEP!N162,"error")</f>
        <v>433.77</v>
      </c>
      <c r="N40" s="114">
        <f>IF(GEP!$D162=GEP_Aggreg!$D40,GEP!O162,"error")</f>
        <v>2306.85</v>
      </c>
      <c r="O40" s="114">
        <f>IF(GEP!$D162=GEP_Aggreg!$D40,GEP!P162,"error")</f>
        <v>122.22</v>
      </c>
      <c r="P40" s="114">
        <f>IF(GEP!$D162=GEP_Aggreg!$D40,GEP!Q162,"error")</f>
        <v>9.41</v>
      </c>
      <c r="Q40" s="114">
        <f>IF(GEP!$D162=GEP_Aggreg!$D40,GEP!R162,"error")</f>
        <v>53.55</v>
      </c>
      <c r="R40" s="114">
        <f>IF(GEP!$D162=GEP_Aggreg!$D40,GEP!S162,"error")</f>
        <v>32.090000000000003</v>
      </c>
      <c r="S40" s="150">
        <f t="shared" si="2"/>
        <v>10718.51</v>
      </c>
      <c r="T40" s="107">
        <f>IF(D40='Table 1.1 complete'!C159,S40-'Table 1.1 complete'!E159,"error")</f>
        <v>1.0000000000218279E-2</v>
      </c>
      <c r="U40" s="114">
        <f>IF(D40='Table 1.2 complete'!C159,S40-SUM('Table 1.2 complete'!K159),"error")</f>
        <v>2.0000000000436557E-2</v>
      </c>
      <c r="V40" s="107">
        <f>'Table 1.2 complete'!K45-'Table 1.1 complete'!E45</f>
        <v>3.999999999996362E-2</v>
      </c>
    </row>
    <row r="41" spans="3:22" x14ac:dyDescent="0.25">
      <c r="C41" s="229">
        <v>99</v>
      </c>
      <c r="D41" s="230" t="s">
        <v>291</v>
      </c>
      <c r="E41" s="115">
        <f>IF(GEP!$D163=GEP_Aggreg!$D41,GEP!F163,"error")</f>
        <v>2719.06</v>
      </c>
      <c r="F41" s="115">
        <f>IF(GEP!$D163=GEP_Aggreg!$D41,GEP!G163,"error")</f>
        <v>3162.19</v>
      </c>
      <c r="G41" s="115">
        <f>IF(GEP!$D163=GEP_Aggreg!$D41,GEP!H163,"error")</f>
        <v>61.82</v>
      </c>
      <c r="H41" s="115">
        <f>IF(GEP!$D163=GEP_Aggreg!$D41,GEP!I163,"error")</f>
        <v>184.02</v>
      </c>
      <c r="I41" s="115">
        <f>IF(GEP!$D163=GEP_Aggreg!$D41,GEP!J163,"error")</f>
        <v>7208.1</v>
      </c>
      <c r="J41" s="115">
        <f>IF(GEP!$D163=GEP_Aggreg!$D41,GEP!K163,"error")</f>
        <v>860.17</v>
      </c>
      <c r="K41" s="115">
        <f>IF(GEP!$D163=GEP_Aggreg!$D41,GEP!L163,"error")</f>
        <v>10.72</v>
      </c>
      <c r="L41" s="115">
        <f>IF(GEP!$D163=GEP_Aggreg!$D41,GEP!M163,"error")</f>
        <v>136.72999999999999</v>
      </c>
      <c r="M41" s="115">
        <f>IF(GEP!$D163=GEP_Aggreg!$D41,GEP!N163,"error")</f>
        <v>1117.68</v>
      </c>
      <c r="N41" s="115">
        <f>IF(GEP!$D163=GEP_Aggreg!$D41,GEP!O163,"error")</f>
        <v>4125.93</v>
      </c>
      <c r="O41" s="115">
        <f>IF(GEP!$D163=GEP_Aggreg!$D41,GEP!P163,"error")</f>
        <v>158.24</v>
      </c>
      <c r="P41" s="115">
        <f>IF(GEP!$D163=GEP_Aggreg!$D41,GEP!Q163,"error")</f>
        <v>11.47</v>
      </c>
      <c r="Q41" s="115">
        <f>IF(GEP!$D163=GEP_Aggreg!$D41,GEP!R163,"error")</f>
        <v>56.56</v>
      </c>
      <c r="R41" s="115">
        <f>IF(GEP!$D163=GEP_Aggreg!$D41,GEP!S163,"error")</f>
        <v>32.229999999999997</v>
      </c>
      <c r="S41" s="151">
        <f t="shared" si="2"/>
        <v>19844.920000000002</v>
      </c>
      <c r="T41" s="108">
        <f>IF(D41='Table 1.1 complete'!C160,S41-'Table 1.1 complete'!E160,"error")</f>
        <v>2.0000000000436557E-2</v>
      </c>
      <c r="U41" s="115">
        <f>IF(D41='Table 1.2 complete'!C160,S41-SUM('Table 1.2 complete'!K160),"error")</f>
        <v>3.637978807091713E-12</v>
      </c>
      <c r="V41" s="108">
        <f>'Table 1.2 complete'!K46-'Table 1.1 complete'!E46</f>
        <v>3.0000000000086402E-2</v>
      </c>
    </row>
  </sheetData>
  <autoFilter ref="C8:U8"/>
  <mergeCells count="12">
    <mergeCell ref="T6:V6"/>
    <mergeCell ref="I7:L7"/>
    <mergeCell ref="M7:N7"/>
    <mergeCell ref="E2:R2"/>
    <mergeCell ref="E3:H3"/>
    <mergeCell ref="I3:R3"/>
    <mergeCell ref="E4:R4"/>
    <mergeCell ref="E5:E7"/>
    <mergeCell ref="F5:H7"/>
    <mergeCell ref="I5:R5"/>
    <mergeCell ref="I6:N6"/>
    <mergeCell ref="O6:R7"/>
  </mergeCells>
  <conditionalFormatting sqref="T10:V16 T18:V41">
    <cfRule type="cellIs" dxfId="193" priority="12" operator="lessThan">
      <formula>-0.04</formula>
    </cfRule>
    <cfRule type="cellIs" dxfId="192" priority="13" operator="greaterThan">
      <formula>0.04</formula>
    </cfRule>
  </conditionalFormatting>
  <conditionalFormatting sqref="E14:R16 E18:R25">
    <cfRule type="cellIs" dxfId="191" priority="7" operator="equal">
      <formula>"error"</formula>
    </cfRule>
  </conditionalFormatting>
  <conditionalFormatting sqref="E10:R13">
    <cfRule type="cellIs" dxfId="189" priority="4" operator="equal">
      <formula>"error"</formula>
    </cfRule>
  </conditionalFormatting>
  <conditionalFormatting sqref="E26:R26">
    <cfRule type="cellIs" dxfId="188" priority="5" operator="equal">
      <formula>"error"</formula>
    </cfRule>
  </conditionalFormatting>
  <conditionalFormatting sqref="T17:V17">
    <cfRule type="cellIs" dxfId="187" priority="2" operator="lessThan">
      <formula>-0.04</formula>
    </cfRule>
    <cfRule type="cellIs" dxfId="186" priority="3" operator="greaterThan">
      <formula>0.04</formula>
    </cfRule>
  </conditionalFormatting>
  <conditionalFormatting sqref="E17:R17">
    <cfRule type="cellIs" dxfId="185" priority="1" operator="equal">
      <formula>"error"</formula>
    </cfRule>
  </conditionalFormatting>
  <hyperlinks>
    <hyperlink ref="C3" r:id="rId1"/>
  </hyperlinks>
  <pageMargins left="0.7" right="0.7" top="0.78740157499999996" bottom="0.78740157499999996" header="0.3" footer="0.3"/>
  <pageSetup paperSize="9" scale="29"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J52"/>
  <sheetViews>
    <sheetView zoomScale="80" zoomScaleNormal="80" workbookViewId="0">
      <selection activeCell="M45" sqref="M45"/>
    </sheetView>
  </sheetViews>
  <sheetFormatPr baseColWidth="10" defaultRowHeight="15" x14ac:dyDescent="0.25"/>
  <cols>
    <col min="1" max="1" width="33.28515625" customWidth="1"/>
    <col min="2" max="2" width="5.28515625" customWidth="1"/>
    <col min="3" max="5" width="11.5703125" customWidth="1"/>
    <col min="6" max="6" width="14.42578125" customWidth="1"/>
    <col min="7" max="7" width="9.42578125" style="55" customWidth="1"/>
    <col min="8" max="8" width="10.28515625" bestFit="1" customWidth="1"/>
    <col min="9" max="9" width="8.85546875" bestFit="1" customWidth="1"/>
    <col min="10" max="10" width="9.42578125" bestFit="1" customWidth="1"/>
    <col min="11" max="11" width="7.42578125" customWidth="1"/>
    <col min="12" max="12" width="10.5703125" customWidth="1"/>
    <col min="13" max="13" width="10" customWidth="1"/>
    <col min="14" max="15" width="8.7109375" bestFit="1" customWidth="1"/>
    <col min="16" max="16" width="9.7109375" customWidth="1"/>
    <col min="17" max="17" width="7.140625" bestFit="1" customWidth="1"/>
    <col min="18" max="18" width="8.42578125" bestFit="1" customWidth="1"/>
    <col min="19" max="19" width="7.5703125" customWidth="1"/>
    <col min="20" max="20" width="8.7109375" bestFit="1" customWidth="1"/>
    <col min="21" max="22" width="8.42578125" bestFit="1" customWidth="1"/>
    <col min="23" max="23" width="9.7109375" customWidth="1"/>
    <col min="24" max="26" width="5.85546875" customWidth="1"/>
    <col min="27" max="27" width="7.140625" bestFit="1" customWidth="1"/>
    <col min="28" max="31" width="5.85546875" customWidth="1"/>
    <col min="32" max="32" width="13.5703125" style="152" bestFit="1" customWidth="1"/>
    <col min="33" max="33" width="13.42578125" style="152" customWidth="1"/>
    <col min="34" max="35" width="17.7109375" bestFit="1" customWidth="1"/>
    <col min="36" max="36" width="20.5703125" customWidth="1"/>
  </cols>
  <sheetData>
    <row r="1" spans="1:36" s="86" customFormat="1" ht="18.75" customHeight="1" x14ac:dyDescent="0.25">
      <c r="A1" s="537"/>
      <c r="B1" s="537"/>
      <c r="C1" s="820" t="s">
        <v>347</v>
      </c>
      <c r="D1" s="820"/>
      <c r="E1" s="821"/>
      <c r="G1" s="153"/>
      <c r="H1" s="540" t="s">
        <v>408</v>
      </c>
      <c r="R1" s="93"/>
      <c r="S1" s="346"/>
      <c r="AF1" s="146"/>
      <c r="AG1" s="146"/>
    </row>
    <row r="2" spans="1:36" x14ac:dyDescent="0.25">
      <c r="A2" s="537"/>
      <c r="B2" s="537"/>
      <c r="C2" s="820"/>
      <c r="D2" s="820"/>
      <c r="E2" s="821"/>
      <c r="F2" s="154"/>
      <c r="G2" s="153"/>
      <c r="H2" s="790" t="s">
        <v>269</v>
      </c>
      <c r="I2" s="790"/>
      <c r="J2" s="790"/>
      <c r="K2" s="790"/>
      <c r="L2" s="790"/>
      <c r="M2" s="790"/>
      <c r="N2" s="790"/>
      <c r="O2" s="790"/>
      <c r="P2" s="790"/>
      <c r="Q2" s="790"/>
      <c r="R2" s="790"/>
      <c r="S2" s="790"/>
      <c r="T2" s="790"/>
      <c r="U2" s="790"/>
      <c r="V2" s="790"/>
      <c r="W2" s="790"/>
      <c r="X2" s="790"/>
      <c r="Y2" s="790"/>
      <c r="Z2" s="790"/>
      <c r="AA2" s="790"/>
      <c r="AB2" s="790"/>
      <c r="AC2" s="790"/>
      <c r="AD2" s="790"/>
      <c r="AE2" s="790"/>
      <c r="AF2" s="146"/>
      <c r="AG2" s="146"/>
      <c r="AH2" s="270" t="s">
        <v>309</v>
      </c>
      <c r="AI2" s="86"/>
      <c r="AJ2" s="86"/>
    </row>
    <row r="3" spans="1:36" x14ac:dyDescent="0.25">
      <c r="A3" s="373" t="s">
        <v>354</v>
      </c>
      <c r="C3" s="381" t="s">
        <v>349</v>
      </c>
      <c r="D3" s="377"/>
      <c r="E3" s="379"/>
      <c r="F3" s="154"/>
      <c r="G3" s="153"/>
      <c r="H3" s="792" t="s">
        <v>267</v>
      </c>
      <c r="I3" s="792"/>
      <c r="J3" s="792"/>
      <c r="K3" s="792"/>
      <c r="L3" s="792"/>
      <c r="M3" s="792"/>
      <c r="N3" s="792" t="s">
        <v>268</v>
      </c>
      <c r="O3" s="792"/>
      <c r="P3" s="792"/>
      <c r="Q3" s="792"/>
      <c r="R3" s="792"/>
      <c r="S3" s="792"/>
      <c r="T3" s="792"/>
      <c r="U3" s="792"/>
      <c r="V3" s="792"/>
      <c r="W3" s="792"/>
      <c r="X3" s="792"/>
      <c r="Y3" s="792"/>
      <c r="Z3" s="792"/>
      <c r="AA3" s="792"/>
      <c r="AB3" s="792"/>
      <c r="AC3" s="792"/>
      <c r="AD3" s="792"/>
      <c r="AE3" s="792"/>
      <c r="AF3" s="146"/>
      <c r="AG3" s="146"/>
      <c r="AH3" s="86"/>
      <c r="AI3" s="86"/>
      <c r="AJ3" s="86"/>
    </row>
    <row r="4" spans="1:36" ht="21.75" customHeight="1" x14ac:dyDescent="0.25">
      <c r="A4" s="386" t="s">
        <v>355</v>
      </c>
      <c r="C4" s="377" t="s">
        <v>352</v>
      </c>
      <c r="D4" s="377"/>
      <c r="E4" s="379"/>
      <c r="F4" s="154"/>
      <c r="G4" s="153"/>
      <c r="H4" s="816" t="s">
        <v>272</v>
      </c>
      <c r="I4" s="793"/>
      <c r="J4" s="793"/>
      <c r="K4" s="793"/>
      <c r="L4" s="793"/>
      <c r="M4" s="793"/>
      <c r="N4" s="793"/>
      <c r="O4" s="793"/>
      <c r="P4" s="793"/>
      <c r="Q4" s="793"/>
      <c r="R4" s="793"/>
      <c r="S4" s="793"/>
      <c r="T4" s="793"/>
      <c r="U4" s="793"/>
      <c r="V4" s="793"/>
      <c r="W4" s="793"/>
      <c r="X4" s="793"/>
      <c r="Y4" s="793"/>
      <c r="Z4" s="793"/>
      <c r="AA4" s="793"/>
      <c r="AB4" s="793"/>
      <c r="AC4" s="793"/>
      <c r="AD4" s="793"/>
      <c r="AE4" s="794"/>
      <c r="AF4" s="146"/>
      <c r="AG4" s="146"/>
      <c r="AH4" s="86"/>
      <c r="AI4" s="86"/>
      <c r="AJ4" s="86"/>
    </row>
    <row r="5" spans="1:36" ht="18" customHeight="1" x14ac:dyDescent="0.25">
      <c r="C5" s="377" t="s">
        <v>402</v>
      </c>
      <c r="D5" s="377"/>
      <c r="E5" s="379"/>
      <c r="F5" s="154" t="s">
        <v>52</v>
      </c>
      <c r="G5" s="153"/>
      <c r="H5" s="817" t="s">
        <v>257</v>
      </c>
      <c r="I5" s="795" t="s">
        <v>256</v>
      </c>
      <c r="J5" s="796"/>
      <c r="K5" s="796"/>
      <c r="L5" s="796"/>
      <c r="M5" s="797"/>
      <c r="N5" s="804" t="s">
        <v>258</v>
      </c>
      <c r="O5" s="805"/>
      <c r="P5" s="805"/>
      <c r="Q5" s="805"/>
      <c r="R5" s="805"/>
      <c r="S5" s="805"/>
      <c r="T5" s="805"/>
      <c r="U5" s="805"/>
      <c r="V5" s="805"/>
      <c r="W5" s="805"/>
      <c r="X5" s="805"/>
      <c r="Y5" s="805"/>
      <c r="Z5" s="805"/>
      <c r="AA5" s="805"/>
      <c r="AB5" s="805"/>
      <c r="AC5" s="805"/>
      <c r="AD5" s="805"/>
      <c r="AE5" s="806"/>
      <c r="AF5" s="146"/>
      <c r="AG5" s="146"/>
      <c r="AH5" s="86"/>
      <c r="AI5" s="86"/>
      <c r="AJ5" s="86"/>
    </row>
    <row r="6" spans="1:36" ht="18" customHeight="1" x14ac:dyDescent="0.25">
      <c r="A6" s="537"/>
      <c r="C6" s="378" t="s">
        <v>348</v>
      </c>
      <c r="D6" s="377"/>
      <c r="E6" s="379"/>
      <c r="F6" s="154"/>
      <c r="G6" s="153"/>
      <c r="H6" s="818"/>
      <c r="I6" s="798"/>
      <c r="J6" s="799"/>
      <c r="K6" s="799"/>
      <c r="L6" s="799"/>
      <c r="M6" s="800"/>
      <c r="N6" s="807" t="s">
        <v>342</v>
      </c>
      <c r="O6" s="808"/>
      <c r="P6" s="808"/>
      <c r="Q6" s="808"/>
      <c r="R6" s="808"/>
      <c r="S6" s="808"/>
      <c r="T6" s="808"/>
      <c r="U6" s="808"/>
      <c r="V6" s="809"/>
      <c r="W6" s="807" t="s">
        <v>343</v>
      </c>
      <c r="X6" s="808"/>
      <c r="Y6" s="808"/>
      <c r="Z6" s="808"/>
      <c r="AA6" s="808"/>
      <c r="AB6" s="808"/>
      <c r="AC6" s="808"/>
      <c r="AD6" s="808"/>
      <c r="AE6" s="809"/>
      <c r="AF6" s="146"/>
      <c r="AG6" s="146"/>
      <c r="AH6" s="729" t="s">
        <v>276</v>
      </c>
      <c r="AI6" s="730"/>
      <c r="AJ6" s="731"/>
    </row>
    <row r="7" spans="1:36" ht="17.25" customHeight="1" x14ac:dyDescent="0.25">
      <c r="A7" s="377"/>
      <c r="B7" s="377"/>
      <c r="C7" s="377"/>
      <c r="D7" s="377"/>
      <c r="E7" s="379"/>
      <c r="F7" s="154"/>
      <c r="G7" s="153"/>
      <c r="H7" s="819"/>
      <c r="I7" s="801"/>
      <c r="J7" s="802"/>
      <c r="K7" s="802"/>
      <c r="L7" s="802"/>
      <c r="M7" s="803"/>
      <c r="N7" s="813" t="s">
        <v>253</v>
      </c>
      <c r="O7" s="814"/>
      <c r="P7" s="814"/>
      <c r="Q7" s="810"/>
      <c r="R7" s="811"/>
      <c r="S7" s="811"/>
      <c r="T7" s="811"/>
      <c r="U7" s="811"/>
      <c r="V7" s="812"/>
      <c r="W7" s="810"/>
      <c r="X7" s="811"/>
      <c r="Y7" s="811"/>
      <c r="Z7" s="811"/>
      <c r="AA7" s="811"/>
      <c r="AB7" s="811"/>
      <c r="AC7" s="811"/>
      <c r="AD7" s="811"/>
      <c r="AE7" s="812"/>
      <c r="AF7" s="147"/>
      <c r="AG7" s="783" t="s">
        <v>350</v>
      </c>
      <c r="AH7" s="232" t="s">
        <v>303</v>
      </c>
      <c r="AI7" s="233" t="s">
        <v>304</v>
      </c>
      <c r="AJ7" s="144"/>
    </row>
    <row r="8" spans="1:36" ht="17.25" customHeight="1" thickBot="1" x14ac:dyDescent="0.3">
      <c r="A8" s="372"/>
      <c r="B8" s="372"/>
      <c r="C8" s="822" t="s">
        <v>415</v>
      </c>
      <c r="D8" s="823"/>
      <c r="E8" s="824"/>
      <c r="F8" s="325" t="s">
        <v>275</v>
      </c>
      <c r="G8" s="277" t="s">
        <v>262</v>
      </c>
      <c r="H8" s="278" t="s">
        <v>186</v>
      </c>
      <c r="I8" s="776" t="s">
        <v>187</v>
      </c>
      <c r="J8" s="777"/>
      <c r="K8" s="278" t="s">
        <v>188</v>
      </c>
      <c r="L8" s="776" t="s">
        <v>385</v>
      </c>
      <c r="M8" s="777"/>
      <c r="N8" s="776" t="s">
        <v>386</v>
      </c>
      <c r="O8" s="777"/>
      <c r="P8" s="278" t="s">
        <v>202</v>
      </c>
      <c r="Q8" s="776" t="s">
        <v>387</v>
      </c>
      <c r="R8" s="815"/>
      <c r="S8" s="777"/>
      <c r="T8" s="776" t="s">
        <v>388</v>
      </c>
      <c r="U8" s="815"/>
      <c r="V8" s="777"/>
      <c r="W8" s="279" t="str">
        <f>CONCATENATE(AD8," + ",AE8)</f>
        <v>Wood + Biogas liq. Biof.</v>
      </c>
      <c r="X8" s="781" t="s">
        <v>315</v>
      </c>
      <c r="Y8" s="782"/>
      <c r="Z8" s="265" t="s">
        <v>203</v>
      </c>
      <c r="AA8" s="265" t="s">
        <v>204</v>
      </c>
      <c r="AB8" s="265" t="s">
        <v>208</v>
      </c>
      <c r="AC8" s="265" t="s">
        <v>209</v>
      </c>
      <c r="AD8" s="265" t="s">
        <v>207</v>
      </c>
      <c r="AE8" s="265" t="s">
        <v>210</v>
      </c>
      <c r="AF8" s="148" t="s">
        <v>250</v>
      </c>
      <c r="AG8" s="784"/>
      <c r="AH8" s="112" t="s">
        <v>270</v>
      </c>
      <c r="AI8" s="112" t="s">
        <v>270</v>
      </c>
      <c r="AJ8" s="145" t="s">
        <v>271</v>
      </c>
    </row>
    <row r="9" spans="1:36" ht="17.25" customHeight="1" x14ac:dyDescent="0.25">
      <c r="A9" s="375" t="s">
        <v>353</v>
      </c>
      <c r="B9" s="375" t="s">
        <v>351</v>
      </c>
      <c r="C9" s="544" t="s">
        <v>414</v>
      </c>
      <c r="D9" s="544" t="s">
        <v>413</v>
      </c>
      <c r="E9" s="544" t="s">
        <v>412</v>
      </c>
      <c r="F9" s="326"/>
      <c r="G9" s="280"/>
      <c r="H9" s="281" t="s">
        <v>292</v>
      </c>
      <c r="I9" s="281" t="s">
        <v>310</v>
      </c>
      <c r="J9" s="281" t="s">
        <v>311</v>
      </c>
      <c r="K9" s="281" t="s">
        <v>294</v>
      </c>
      <c r="L9" s="281" t="s">
        <v>312</v>
      </c>
      <c r="M9" s="281" t="s">
        <v>313</v>
      </c>
      <c r="N9" s="281" t="s">
        <v>318</v>
      </c>
      <c r="O9" s="281" t="s">
        <v>314</v>
      </c>
      <c r="P9" s="281" t="s">
        <v>296</v>
      </c>
      <c r="Q9" s="281" t="s">
        <v>324</v>
      </c>
      <c r="R9" s="281" t="s">
        <v>319</v>
      </c>
      <c r="S9" s="281" t="s">
        <v>320</v>
      </c>
      <c r="T9" s="281" t="s">
        <v>321</v>
      </c>
      <c r="U9" s="281" t="s">
        <v>322</v>
      </c>
      <c r="V9" s="281" t="s">
        <v>323</v>
      </c>
      <c r="W9" s="282" t="s">
        <v>299</v>
      </c>
      <c r="X9" s="274" t="s">
        <v>316</v>
      </c>
      <c r="Y9" s="273" t="s">
        <v>317</v>
      </c>
      <c r="Z9" s="272" t="s">
        <v>308</v>
      </c>
      <c r="AA9" s="272" t="s">
        <v>307</v>
      </c>
      <c r="AB9" s="272" t="s">
        <v>301</v>
      </c>
      <c r="AC9" s="272" t="s">
        <v>301</v>
      </c>
      <c r="AD9" s="265" t="s">
        <v>299</v>
      </c>
      <c r="AE9" s="265" t="s">
        <v>299</v>
      </c>
      <c r="AF9" s="148" t="s">
        <v>325</v>
      </c>
      <c r="AG9" s="785"/>
      <c r="AH9" s="112" t="s">
        <v>270</v>
      </c>
      <c r="AI9" s="112" t="s">
        <v>270</v>
      </c>
      <c r="AJ9" s="145" t="s">
        <v>271</v>
      </c>
    </row>
    <row r="10" spans="1:36" ht="15" customHeight="1" x14ac:dyDescent="0.25">
      <c r="A10" t="s">
        <v>395</v>
      </c>
      <c r="B10" s="385">
        <f>AF10-GEP_Aggreg!S10</f>
        <v>0</v>
      </c>
      <c r="C10" s="547">
        <f t="shared" ref="C10:C26" si="0">(H10+P10+N10+W10+I10+Q10+T10+K10)/AG10</f>
        <v>0.69717511378913777</v>
      </c>
      <c r="D10" s="547">
        <f>(L10+M10+O10+R10+U10)/AG10</f>
        <v>0.2515468843643196</v>
      </c>
      <c r="E10" s="547">
        <f t="shared" ref="E10:E26" si="1">(V10+S10+J10)/AG10</f>
        <v>5.127800184654259E-2</v>
      </c>
      <c r="F10" s="327">
        <v>1</v>
      </c>
      <c r="G10" s="283" t="s">
        <v>238</v>
      </c>
      <c r="H10" s="267">
        <f>IF(GEP_add1!T9="-",,GEP_add1!T9)</f>
        <v>140.53</v>
      </c>
      <c r="I10" s="384">
        <f>IF(GEP_add1!U9="-",,GEP_add1!U9-GEP_add1!E9)</f>
        <v>20.86</v>
      </c>
      <c r="J10" s="384">
        <f>IF(GEP_add1!U9="-",,GEP_add1!E9)</f>
        <v>7.6</v>
      </c>
      <c r="K10" s="267">
        <f>IF(GEP_add1!V9="-",,GEP_add1!V9)</f>
        <v>0</v>
      </c>
      <c r="L10" s="384">
        <f>IF(GEP_add1!W9="-",,GEP_add1!W9-GEP_add1!F9)</f>
        <v>3.0899999999999963</v>
      </c>
      <c r="M10" s="384">
        <f>IF(GEP_add1!W9="-",,GEP_add1!F9)</f>
        <v>39.700000000000003</v>
      </c>
      <c r="N10" s="384">
        <f>IF(GEP_add1!$X9="-",,GEP_add1!$B9*2)</f>
        <v>24.698</v>
      </c>
      <c r="O10" s="384">
        <f>IF(GEP_add1!$X9="-",,GEP_add1!$X9-N10)</f>
        <v>107.572</v>
      </c>
      <c r="P10" s="267">
        <f>IF(GEP_add1!Y9="-",,GEP_add1!Y9)</f>
        <v>167.51</v>
      </c>
      <c r="Q10" s="384">
        <f>IF(GEP_add1!$AB9="-",,GEP_add1!C9)</f>
        <v>5.25</v>
      </c>
      <c r="R10" s="384">
        <v>0</v>
      </c>
      <c r="S10" s="384">
        <f>IF(GEP_add1!$AB9="-",,GEP_add1!$AB9-R10-Q10)</f>
        <v>5.83</v>
      </c>
      <c r="T10" s="384">
        <f>IF(GEP_add1!$AC9="-",,GEP_add1!D9)</f>
        <v>49.747</v>
      </c>
      <c r="U10" s="384">
        <f>IF(GEP_add1!$AC9="-",,GEP_add1!$AC9-V10-T10)</f>
        <v>4.9354999999999976</v>
      </c>
      <c r="V10" s="384">
        <f>IF(GEP_add1!$AC9="-",,GEP_add1!$AC9*25/100)</f>
        <v>18.227499999999999</v>
      </c>
      <c r="W10" s="302">
        <f>IF(GEP_add1!AD9="-",IF(GEP_add1!AG9="-",,GEP_add1!AG9),IF(GEP_add1!AG9="-",GEP_add1!AD9,GEP_add1!AD9+GEP_add1!AG9))</f>
        <v>21.82</v>
      </c>
      <c r="X10" s="552"/>
      <c r="Y10" s="427"/>
      <c r="Z10" s="301">
        <f>IF(GEP_Aggreg!K10="-",,GEP_Aggreg!K10)</f>
        <v>0</v>
      </c>
      <c r="AA10" s="301">
        <f>IF(GEP_Aggreg!L10="-",,GEP_Aggreg!L10)</f>
        <v>10.78</v>
      </c>
      <c r="AB10" s="301">
        <f>IF(GEP_Aggreg!P10="-",,GEP_Aggreg!P10)</f>
        <v>0.68</v>
      </c>
      <c r="AC10" s="301">
        <f>IF(GEP_Aggreg!Q10="-",,GEP_Aggreg!Q10)</f>
        <v>8.26</v>
      </c>
      <c r="AD10" s="113"/>
      <c r="AE10" s="113"/>
      <c r="AF10" s="149">
        <f>SUM(H10:AC10)</f>
        <v>637.08999999999992</v>
      </c>
      <c r="AG10" s="149">
        <f>SUM(H10:W10)</f>
        <v>617.37</v>
      </c>
      <c r="AH10" s="106">
        <f>IF(G10='Table 1.1 complete'!C6,AF10-'Table 1.1 complete'!E6,"error")</f>
        <v>-1.0000000000104592E-2</v>
      </c>
      <c r="AI10" s="113">
        <f>IF(G10='Table 1.2 complete'!C6,AF10-'Table 1.2 complete'!K6,"error")</f>
        <v>-1.0000000000104592E-2</v>
      </c>
      <c r="AJ10" s="106">
        <f>'Table 1.2 complete'!K6-'Table 1.1 complete'!E6</f>
        <v>0</v>
      </c>
    </row>
    <row r="11" spans="1:36" x14ac:dyDescent="0.25">
      <c r="A11" t="s">
        <v>384</v>
      </c>
      <c r="B11" s="109">
        <f>AF11-GEP_Aggreg!S11</f>
        <v>0</v>
      </c>
      <c r="C11" s="546">
        <f t="shared" si="0"/>
        <v>0.88856894008069809</v>
      </c>
      <c r="D11" s="546">
        <f>(L11+M11+O11+R11+U11)/AG11</f>
        <v>6.1390177571588544E-2</v>
      </c>
      <c r="E11" s="546">
        <f t="shared" si="1"/>
        <v>5.0040882347713242E-2</v>
      </c>
      <c r="F11" s="328">
        <v>2</v>
      </c>
      <c r="G11" s="284" t="s">
        <v>249</v>
      </c>
      <c r="H11" s="267">
        <f>IF(GEP_add1!T10="-",,GEP_add1!T10)</f>
        <v>439.73</v>
      </c>
      <c r="I11" s="384">
        <f>IF(GEP_add1!U10="-",,GEP_add1!U10-GEP_add1!E10)</f>
        <v>58.16</v>
      </c>
      <c r="J11" s="384">
        <f>IF(GEP_add1!U10="-",,GEP_add1!E10)</f>
        <v>5.5</v>
      </c>
      <c r="K11" s="267">
        <f>IF(GEP_add1!V10="-",,GEP_add1!V10)</f>
        <v>0</v>
      </c>
      <c r="L11" s="384">
        <f>IF(GEP_add1!W10="-",,GEP_add1!W10-GEP_add1!F10)</f>
        <v>0.49000000000000021</v>
      </c>
      <c r="M11" s="384">
        <f>IF(GEP_add1!W10="-",,GEP_add1!F10)</f>
        <v>4.0999999999999996</v>
      </c>
      <c r="N11" s="384">
        <v>0</v>
      </c>
      <c r="O11" s="384">
        <f>IF(GEP_add1!$X10="-",,GEP_add1!$X10-N11)</f>
        <v>24.45</v>
      </c>
      <c r="P11" s="267">
        <f>IF(GEP_add1!Y10="-",,GEP_add1!Y10)</f>
        <v>0</v>
      </c>
      <c r="Q11" s="384">
        <v>0</v>
      </c>
      <c r="R11" s="384">
        <v>0</v>
      </c>
      <c r="S11" s="384">
        <f>IF(GEP_add1!$AB10="-",,GEP_add1!$AB10-R11-Q11)</f>
        <v>6.16</v>
      </c>
      <c r="T11" s="384">
        <v>0</v>
      </c>
      <c r="U11" s="384">
        <f>IF(GEP_add1!$AC10="-",,GEP_add1!$AC10-V11-T11)</f>
        <v>5.4975000000000023</v>
      </c>
      <c r="V11" s="384">
        <f>IF(GEP_add1!$AC10="-",,GEP_add1!$AC10*75/100)</f>
        <v>16.492499999999996</v>
      </c>
      <c r="W11" s="302">
        <f>IF(GEP_add1!AD10="-",IF(GEP_add1!AG10="-",,GEP_add1!AG10),IF(GEP_add1!AG10="-",GEP_add1!AD10,GEP_add1!AD10+GEP_add1!AG10))</f>
        <v>2.0100000000000002</v>
      </c>
      <c r="X11" s="552"/>
      <c r="Y11" s="427"/>
      <c r="Z11" s="113">
        <f>IF(GEP_Aggreg!K11="-",,GEP_Aggreg!K11)</f>
        <v>0</v>
      </c>
      <c r="AA11" s="113">
        <f>IF(GEP_Aggreg!L11="-",,GEP_Aggreg!L11)</f>
        <v>3.75</v>
      </c>
      <c r="AB11" s="113">
        <f>IF(GEP_Aggreg!P11="-",,GEP_Aggreg!P11)</f>
        <v>0</v>
      </c>
      <c r="AC11" s="113">
        <f>IF(GEP_Aggreg!Q11="-",,GEP_Aggreg!Q11)</f>
        <v>3.51</v>
      </c>
      <c r="AD11" s="113"/>
      <c r="AE11" s="113"/>
      <c r="AF11" s="149">
        <f t="shared" ref="AF11:AF40" si="2">SUM(H11:AC11)</f>
        <v>569.85</v>
      </c>
      <c r="AG11" s="149">
        <f t="shared" ref="AG11:AG41" si="3">SUM(H11:W11)</f>
        <v>562.59</v>
      </c>
      <c r="AH11" s="106">
        <f>IF(G11='Table 1.1 complete'!C7,AF11-'Table 1.1 complete'!E7,"error")</f>
        <v>5.0000000000068212E-2</v>
      </c>
      <c r="AI11" s="113">
        <f>IF(G11='Table 1.2 complete'!C7,AF11-'Table 1.2 complete'!K7,"error")</f>
        <v>9.9999999999909051E-3</v>
      </c>
      <c r="AJ11" s="106">
        <f>'Table 1.2 complete'!K7-'Table 1.1 complete'!E7</f>
        <v>4.0000000000077307E-2</v>
      </c>
    </row>
    <row r="12" spans="1:36" x14ac:dyDescent="0.25">
      <c r="A12" t="s">
        <v>390</v>
      </c>
      <c r="B12" s="109">
        <f>AF12-GEP_Aggreg!S12</f>
        <v>0</v>
      </c>
      <c r="C12" s="546">
        <f t="shared" si="0"/>
        <v>0.75071953010279002</v>
      </c>
      <c r="D12" s="546">
        <f t="shared" ref="D12:D26" si="4">(L12+M12+O12+R12+U12)/AG12</f>
        <v>0.19719530102790012</v>
      </c>
      <c r="E12" s="546">
        <f t="shared" si="1"/>
        <v>5.2085168869309841E-2</v>
      </c>
      <c r="F12" s="329">
        <v>3</v>
      </c>
      <c r="G12" s="285" t="s">
        <v>229</v>
      </c>
      <c r="H12" s="267">
        <f>IF(GEP_add1!T11="-",,GEP_add1!T11)</f>
        <v>0</v>
      </c>
      <c r="I12" s="384">
        <f>IF(GEP_add1!U11="-",,GEP_add1!U11-J12)</f>
        <v>35.99</v>
      </c>
      <c r="J12" s="384">
        <f>IF(GEP_add1!U11="-",,GEP_add1!E11)</f>
        <v>2.5</v>
      </c>
      <c r="K12" s="267">
        <f>IF(GEP_add1!V11="-",,GEP_add1!V11)</f>
        <v>0</v>
      </c>
      <c r="L12" s="384">
        <f>IF(GEP_add1!W11="-",,GEP_add1!W11-GEP_add1!F11)</f>
        <v>4.9999999999999822E-2</v>
      </c>
      <c r="M12" s="384">
        <f>IF(GEP_add1!W11="-",,GEP_add1!F11)</f>
        <v>2</v>
      </c>
      <c r="N12" s="384">
        <f>IF(GEP_add1!$X11="-",,GEP_add1!$B11*0.8)</f>
        <v>0.31440000000000001</v>
      </c>
      <c r="O12" s="384">
        <f>IF(GEP_add1!$X11="-",,GEP_add1!$X11-N12)</f>
        <v>5.9455999999999998</v>
      </c>
      <c r="P12" s="267">
        <f>IF(GEP_add1!Y11="-",,GEP_add1!Y11)</f>
        <v>0</v>
      </c>
      <c r="Q12" s="384">
        <f>IF(GEP_add1!$AB11="-",,GEP_add1!C11*0.8)</f>
        <v>0.68640000000000001</v>
      </c>
      <c r="R12" s="384">
        <v>0</v>
      </c>
      <c r="S12" s="384">
        <f>IF(GEP_add1!$AB11="-",,GEP_add1!$AB11-R12-Q12)</f>
        <v>0.59360000000000002</v>
      </c>
      <c r="T12" s="384">
        <f>IF(GEP_add1!$AC11="-",,GEP_add1!D11*0.8)</f>
        <v>5.6808000000000005</v>
      </c>
      <c r="U12" s="384">
        <f>IF(GEP_add1!$AC11="-",,GEP_add1!$AC11-V12-T12)</f>
        <v>4.0904999999999996</v>
      </c>
      <c r="V12" s="384">
        <f>IF(GEP_add1!$AC11="-",,GEP_add1!$AC11*1/100)</f>
        <v>9.8699999999999996E-2</v>
      </c>
      <c r="W12" s="302">
        <f>IF(GEP_add1!AD11="-",IF(GEP_add1!AG11="-",,GEP_add1!AG11),IF(GEP_add1!AG11="-",GEP_add1!AD11,GEP_add1!AD11+GEP_add1!AG11))</f>
        <v>3.3400000000000003</v>
      </c>
      <c r="X12" s="552"/>
      <c r="Y12" s="427"/>
      <c r="Z12" s="113">
        <f>IF(GEP_Aggreg!K12="-",,GEP_Aggreg!K12)</f>
        <v>0</v>
      </c>
      <c r="AA12" s="113">
        <f>IF(GEP_Aggreg!L12="-",,GEP_Aggreg!L12)</f>
        <v>1.33</v>
      </c>
      <c r="AB12" s="113">
        <f>IF(GEP_Aggreg!P12="-",,GEP_Aggreg!P12)</f>
        <v>0.31</v>
      </c>
      <c r="AC12" s="113">
        <f>IF(GEP_Aggreg!Q12="-",,GEP_Aggreg!Q12)</f>
        <v>0.5</v>
      </c>
      <c r="AD12" s="113"/>
      <c r="AE12" s="113"/>
      <c r="AF12" s="149">
        <f t="shared" si="2"/>
        <v>63.43</v>
      </c>
      <c r="AG12" s="149">
        <f>SUM(H12:W12)</f>
        <v>61.29</v>
      </c>
      <c r="AH12" s="106">
        <f>IF(G12='Table 1.1 complete'!C8,AF12-'Table 1.1 complete'!E8,"error")</f>
        <v>3.0000000000001137E-2</v>
      </c>
      <c r="AI12" s="113">
        <f>IF(G12='Table 1.2 complete'!C8,AF12-'Table 1.2 complete'!K8,"error")</f>
        <v>0</v>
      </c>
      <c r="AJ12" s="106">
        <f>'Table 1.2 complete'!K8-'Table 1.1 complete'!E8</f>
        <v>3.0000000000001137E-2</v>
      </c>
    </row>
    <row r="13" spans="1:36" x14ac:dyDescent="0.25">
      <c r="A13" t="s">
        <v>389</v>
      </c>
      <c r="B13" s="109">
        <f>AF13-GEP_Aggreg!S13</f>
        <v>0</v>
      </c>
      <c r="C13" s="546">
        <f t="shared" si="0"/>
        <v>0.96239575435936309</v>
      </c>
      <c r="D13" s="546">
        <f t="shared" si="4"/>
        <v>8.567096285064444E-3</v>
      </c>
      <c r="E13" s="546">
        <f t="shared" si="1"/>
        <v>2.9037149355572403E-2</v>
      </c>
      <c r="F13" s="330">
        <v>4</v>
      </c>
      <c r="G13" s="286" t="s">
        <v>246</v>
      </c>
      <c r="H13" s="267">
        <f>IF(GEP_add1!T12="-",,GEP_add1!T12)</f>
        <v>27.93</v>
      </c>
      <c r="I13" s="384">
        <f>IF(GEP_add1!U12="-",,GEP_add1!U12-GEP_add1!E12)</f>
        <v>35.24</v>
      </c>
      <c r="J13" s="384">
        <f>IF(GEP_add1!U12="-",,GEP_add1!E12)</f>
        <v>1.5</v>
      </c>
      <c r="K13" s="267">
        <f>IF(GEP_add1!V12="-",,GEP_add1!V12)</f>
        <v>0</v>
      </c>
      <c r="L13" s="384">
        <f>IF(GEP_add1!W12="-",,GEP_add1!W12-GEP_add1!F12)</f>
        <v>0.04</v>
      </c>
      <c r="M13" s="384">
        <f>IF(GEP_add1!W12="-",,GEP_add1!F12)</f>
        <v>0</v>
      </c>
      <c r="N13" s="384">
        <v>0</v>
      </c>
      <c r="O13" s="384">
        <f>IF(GEP_add1!$X12="-",,GEP_add1!$X12-N13)</f>
        <v>0</v>
      </c>
      <c r="P13" s="267">
        <f>IF(GEP_add1!Y12="-",,GEP_add1!Y12)</f>
        <v>0</v>
      </c>
      <c r="Q13" s="384">
        <v>0</v>
      </c>
      <c r="R13" s="384">
        <v>0</v>
      </c>
      <c r="S13" s="384">
        <f>IF(GEP_add1!$AB12="-",,GEP_add1!$AB12-R13-Q13)</f>
        <v>0.19</v>
      </c>
      <c r="T13" s="384">
        <v>0</v>
      </c>
      <c r="U13" s="384">
        <f>IF(GEP_add1!$AC12="-",,GEP_add1!$AC12-V13-T13)</f>
        <v>0.52500000000000002</v>
      </c>
      <c r="V13" s="384">
        <f>IF(GEP_add1!$AC12="-",,GEP_add1!$AC12*30/100)</f>
        <v>0.22500000000000001</v>
      </c>
      <c r="W13" s="302">
        <f>IF(GEP_add1!AD12="-",IF(GEP_add1!AG12="-",,GEP_add1!AG12),IF(GEP_add1!AG12="-",GEP_add1!AD12,GEP_add1!AD12+GEP_add1!AG12))</f>
        <v>0.30000000000000004</v>
      </c>
      <c r="X13" s="552"/>
      <c r="Y13" s="427"/>
      <c r="Z13" s="113">
        <f>IF(GEP_Aggreg!K13="-",,GEP_Aggreg!K13)</f>
        <v>0</v>
      </c>
      <c r="AA13" s="113">
        <f>IF(GEP_Aggreg!L13="-",,GEP_Aggreg!L13)</f>
        <v>0</v>
      </c>
      <c r="AB13" s="113">
        <f>IF(GEP_Aggreg!P13="-",,GEP_Aggreg!P13)</f>
        <v>0.23</v>
      </c>
      <c r="AC13" s="113">
        <f>IF(GEP_Aggreg!Q13="-",,GEP_Aggreg!Q13)</f>
        <v>1.78</v>
      </c>
      <c r="AD13" s="113"/>
      <c r="AE13" s="113"/>
      <c r="AF13" s="149">
        <f t="shared" si="2"/>
        <v>67.960000000000008</v>
      </c>
      <c r="AG13" s="149">
        <f t="shared" si="3"/>
        <v>65.95</v>
      </c>
      <c r="AH13" s="106">
        <f>IF(G13='Table 1.1 complete'!C9,AF13-'Table 1.1 complete'!E9,"error")</f>
        <v>-3.9999999999992042E-2</v>
      </c>
      <c r="AI13" s="113">
        <f>IF(G13='Table 1.2 complete'!C9,AF13-'Table 1.2 complete'!K9,"error")</f>
        <v>1.0000000000005116E-2</v>
      </c>
      <c r="AJ13" s="106">
        <f>'Table 1.2 complete'!K9-'Table 1.1 complete'!E9</f>
        <v>-4.9999999999997158E-2</v>
      </c>
    </row>
    <row r="14" spans="1:36" x14ac:dyDescent="0.25">
      <c r="A14" t="s">
        <v>424</v>
      </c>
      <c r="B14" s="109">
        <f>AF14-GEP_Aggreg!S14</f>
        <v>0</v>
      </c>
      <c r="C14" s="547">
        <f t="shared" si="0"/>
        <v>0.71411278138856149</v>
      </c>
      <c r="D14" s="547">
        <f t="shared" si="4"/>
        <v>0.23896054330134142</v>
      </c>
      <c r="E14" s="547">
        <f t="shared" si="1"/>
        <v>4.6926675310097109E-2</v>
      </c>
      <c r="F14" s="332">
        <v>7</v>
      </c>
      <c r="G14" s="288" t="s">
        <v>236</v>
      </c>
      <c r="H14" s="113">
        <f>IF(GEP_add1!$R24=$G14,SUM(GEP_add1!T13:T24),"error")</f>
        <v>215.68</v>
      </c>
      <c r="I14" s="947">
        <f>IF(GEP_add1!$R24=$G14,SUM(GEP_add1!U13:U24)-NEWAGE!J14,"error")</f>
        <v>90.047371300000009</v>
      </c>
      <c r="J14" s="947">
        <f>IF(GEP_add1!$R24=$G14,SUM(GEP_add1!E13:E24),"error")</f>
        <v>6.7426287000000009</v>
      </c>
      <c r="K14" s="113">
        <f>IF(GEP_add1!$R24=$G14,SUM(GEP_add1!V13:V24),"error")</f>
        <v>0</v>
      </c>
      <c r="L14" s="947">
        <f>IF(GEP_add1!$R24=$G14,SUM(GEP_add1!W13:W24)-NEWAGE!M14,"error")</f>
        <v>0.87000000000000099</v>
      </c>
      <c r="M14" s="947">
        <f>IF(GEP_add1!$R24=$G14,SUM(GEP_add1!F13:F24),"error")</f>
        <v>20.53</v>
      </c>
      <c r="N14" s="947">
        <f>IF(GEP_add1!$R24=$G14,SUM(GEP_add1!B13:B24)*5,"error")</f>
        <v>185.39000000000001</v>
      </c>
      <c r="O14" s="947">
        <f>IF(GEP_add1!$R24=$G14,SUM(GEP_add1!X13:X24)-NEWAGE!N14,"error")</f>
        <v>22.699999999999989</v>
      </c>
      <c r="P14" s="948">
        <f>IF(GEP_add1!$R24=$G14,SUM(GEP_add1!Y13:Y24),"error")</f>
        <v>11.41</v>
      </c>
      <c r="Q14" s="947">
        <f>SUM(GEP_add1!C13:C24)</f>
        <v>7.1349999999999998</v>
      </c>
      <c r="R14" s="947">
        <v>0</v>
      </c>
      <c r="S14" s="947">
        <f>IF(GEP_add1!$R24=$G14,SUM(GEP_add1!AB13:AB24)-NEWAGE!Q14-NEWAGE!R14,"error")</f>
        <v>6.0150000000000023</v>
      </c>
      <c r="T14" s="947">
        <f>IF(GEP_add1!$R19=$G14,SUM(GEP_add1!D13:D24),"error")</f>
        <v>92.644999999999996</v>
      </c>
      <c r="U14" s="947">
        <f>IF(GEP_add1!$R24=$G14,SUM(GEP_add1!AC13:AC24)-NEWAGE!V14-NEWAGE!T14,"error")</f>
        <v>168.77800000000002</v>
      </c>
      <c r="V14" s="947">
        <f>IF(GEP_add1!$R24=$G14,SUM(GEP_add1!AC13:AC24)*10/100,"error")</f>
        <v>29.047000000000004</v>
      </c>
      <c r="W14" s="949">
        <f>IF(GEP_add1!$R24=$G14,SUM(GEP_add1!AD13:AD24)+SUM(GEP_add1!AG13:AG24),"error")</f>
        <v>33.86</v>
      </c>
      <c r="X14" s="552"/>
      <c r="Y14" s="427"/>
      <c r="Z14" s="113">
        <f>IF(GEP_Aggreg!K14="-",,GEP_Aggreg!K14)</f>
        <v>9.9599999999999991</v>
      </c>
      <c r="AA14" s="113">
        <f>IF(GEP_Aggreg!L14="-",,GEP_Aggreg!L14)</f>
        <v>8.33</v>
      </c>
      <c r="AB14" s="113">
        <f>IF(GEP_Aggreg!P14="-",,GEP_Aggreg!P14)</f>
        <v>2.0499999999999998</v>
      </c>
      <c r="AC14" s="113">
        <f>IF(GEP_Aggreg!Q14="-",,GEP_Aggreg!Q14)</f>
        <v>9.6999999999999993</v>
      </c>
      <c r="AD14" s="113"/>
      <c r="AE14" s="113"/>
      <c r="AF14" s="149">
        <f t="shared" si="2"/>
        <v>920.8900000000001</v>
      </c>
      <c r="AG14" s="149">
        <f t="shared" si="3"/>
        <v>890.85</v>
      </c>
      <c r="AH14" s="106">
        <f>IF(G14='Table 1.1 complete'!C16,AF14-SUM('Table 1.1 complete'!E10:E21),"error")</f>
        <v>0.19000000000016826</v>
      </c>
      <c r="AI14" s="113">
        <f>IF(G14='Table 1.2 complete'!C16,AF14-SUM('Table 1.2 complete'!K10:K21),"error")</f>
        <v>8.0000000000154614E-2</v>
      </c>
      <c r="AJ14" s="106">
        <f>'Table 1.2 complete'!K12-'Table 1.1 complete'!E12</f>
        <v>-9.9999999999997868E-3</v>
      </c>
    </row>
    <row r="15" spans="1:36" x14ac:dyDescent="0.25">
      <c r="A15" t="s">
        <v>425</v>
      </c>
      <c r="B15" s="109">
        <f>AF15-GEP_Aggreg!S15</f>
        <v>0</v>
      </c>
      <c r="C15" s="547">
        <f t="shared" si="0"/>
        <v>0.70348649044934097</v>
      </c>
      <c r="D15" s="547">
        <f t="shared" si="4"/>
        <v>0.24778462030631423</v>
      </c>
      <c r="E15" s="547">
        <f t="shared" si="1"/>
        <v>4.8728889244344924E-2</v>
      </c>
      <c r="F15" s="333">
        <v>8</v>
      </c>
      <c r="G15" s="289" t="s">
        <v>235</v>
      </c>
      <c r="H15" s="113">
        <f>IF(GEP_add1!$R30=$G15,SUM(GEP_add1!T25:T32),"error")</f>
        <v>60.800000000000004</v>
      </c>
      <c r="I15" s="947">
        <f>IF(GEP_add1!$R30=$G15,SUM(GEP_add1!U25:U32)-NEWAGE!J15,"error")</f>
        <v>80.703599999999994</v>
      </c>
      <c r="J15" s="947">
        <f>IF(GEP_add1!$R30=$G15,SUM(GEP_add1!E25:E32),"error")</f>
        <v>10.086400000000001</v>
      </c>
      <c r="K15" s="113">
        <f>IF(GEP_add1!$R30=$G15,SUM(GEP_add1!V25:V32),"error")</f>
        <v>5.7700000000000005</v>
      </c>
      <c r="L15" s="947">
        <f>IF(GEP_add1!$R30=$G15,SUM(GEP_add1!W25:W32)-NEWAGE!M15,"error")</f>
        <v>2.0100400000000036</v>
      </c>
      <c r="M15" s="947">
        <f>IF(GEP_add1!$R30=$G15,SUM(GEP_add1!F25:F32),"error")</f>
        <v>37.339959999999998</v>
      </c>
      <c r="N15" s="947">
        <f>IF(GEP_add1!$R30=$G15,SUM(GEP_add1!B25:B32)*20,"error")</f>
        <v>108.94</v>
      </c>
      <c r="O15" s="947">
        <f>IF(GEP_add1!$R30=$G15,SUM(GEP_add1!X25:X32)-NEWAGE!N15,"error")</f>
        <v>15.240000000000009</v>
      </c>
      <c r="P15" s="948">
        <f>IF(GEP_add1!$R30=$G15,SUM(GEP_add1!Y25:Y32),"error")</f>
        <v>48.01</v>
      </c>
      <c r="Q15" s="947">
        <f>IF(GEP_add1!$R30=$G15,SUM(GEP_add1!C25:C32)*2,"error")</f>
        <v>52.53</v>
      </c>
      <c r="R15" s="947">
        <f>IF(GEP_add1!$R30=$G15,SUM(GEP_add1!AB25:AB32)-NEWAGE!Q15-NEWAGE!S15,"error")</f>
        <v>13.72749999999999</v>
      </c>
      <c r="S15" s="947">
        <f>IF(GEP_add1!$R30=$G15,SUM(GEP_add1!AB25:AB32)*15/100,"error")</f>
        <v>11.692499999999997</v>
      </c>
      <c r="T15" s="947">
        <f>IF(GEP_add1!$R30=$G15,SUM(GEP_add1!D25:D32)*1.5,"error")</f>
        <v>163.209</v>
      </c>
      <c r="U15" s="947">
        <f>IF(GEP_add1!$R30=$G15,SUM(GEP_add1!AC25:AC32)-NEWAGE!V15-NEWAGE!T15,"error")</f>
        <v>117.57299999999998</v>
      </c>
      <c r="V15" s="947">
        <f>IF(GEP_add1!$R30=$G15,SUM(GEP_add1!AC25:AC32)*5/100,"error")</f>
        <v>14.777999999999999</v>
      </c>
      <c r="W15" s="949">
        <f>IF(GEP_add1!$R30=$G15,SUM(GEP_add1!AD25:AD32)+SUM(GEP_add1!AG25:AG32),"error")</f>
        <v>7.8000000000000007</v>
      </c>
      <c r="X15" s="552"/>
      <c r="Y15" s="427"/>
      <c r="Z15" s="113">
        <f>IF(GEP_Aggreg!K15="-",,GEP_Aggreg!K15)</f>
        <v>0</v>
      </c>
      <c r="AA15" s="113">
        <f>IF(GEP_Aggreg!L15="-",,GEP_Aggreg!L15)</f>
        <v>6.91</v>
      </c>
      <c r="AB15" s="113">
        <f>IF(GEP_Aggreg!P15="-",,GEP_Aggreg!P15)</f>
        <v>0.23</v>
      </c>
      <c r="AC15" s="113">
        <f>IF(GEP_Aggreg!Q15="-",,GEP_Aggreg!Q15)</f>
        <v>5.04</v>
      </c>
      <c r="AD15" s="113"/>
      <c r="AE15" s="113"/>
      <c r="AF15" s="149">
        <f t="shared" si="2"/>
        <v>762.38999999999987</v>
      </c>
      <c r="AG15" s="149">
        <f t="shared" si="3"/>
        <v>750.20999999999992</v>
      </c>
      <c r="AH15" s="106">
        <f>IF(G15='Table 1.1 complete'!C22,AF15-SUM('Table 1.1 complete'!E22:E29),"error")</f>
        <v>-1.0000000000218279E-2</v>
      </c>
      <c r="AI15" s="113">
        <f>IF(G15='Table 1.2 complete'!C22,AF15-SUM('Table 1.2 complete'!K22:K29),"error")</f>
        <v>-2.2737367544323206E-13</v>
      </c>
      <c r="AJ15" s="106">
        <f>'Table 1.2 complete'!K13-'Table 1.1 complete'!E13</f>
        <v>4.9999999999997158E-2</v>
      </c>
    </row>
    <row r="16" spans="1:36" x14ac:dyDescent="0.25">
      <c r="A16" t="s">
        <v>394</v>
      </c>
      <c r="B16" s="109">
        <f>AF16-GEP_Aggreg!S16</f>
        <v>0</v>
      </c>
      <c r="C16" s="547">
        <f t="shared" si="0"/>
        <v>0.71515491824564792</v>
      </c>
      <c r="D16" s="547">
        <f t="shared" si="4"/>
        <v>0.2304103347119362</v>
      </c>
      <c r="E16" s="547">
        <f t="shared" si="1"/>
        <v>5.4434747042416083E-2</v>
      </c>
      <c r="F16" s="334">
        <v>9</v>
      </c>
      <c r="G16" s="290" t="s">
        <v>233</v>
      </c>
      <c r="H16" s="113">
        <f>IF(GEP_add1!$R38=$G16,SUM(GEP_add1!T33:T38),"error")</f>
        <v>78.53</v>
      </c>
      <c r="I16" s="947">
        <f>IF(GEP_add1!$R38=$G16,SUM(GEP_add1!U33:U38)-NEWAGE!J16,"error")</f>
        <v>28.016677400000003</v>
      </c>
      <c r="J16" s="947">
        <f>IF(GEP_add1!$R38=$G16,SUM(GEP_add1!E33:E38),"error")</f>
        <v>1.4733226000000001</v>
      </c>
      <c r="K16" s="113">
        <f>IF(GEP_add1!$R38=$G16,SUM(GEP_add1!V33:V38),"error")</f>
        <v>0</v>
      </c>
      <c r="L16" s="947">
        <f>IF(GEP_add1!$R38=$G16,SUM(GEP_add1!W33:W38)-NEWAGE!M16,"error")</f>
        <v>0.10206966000000006</v>
      </c>
      <c r="M16" s="947">
        <f>IF(GEP_add1!$R38=$G16,SUM(GEP_add1!F33:F38),"error")</f>
        <v>0.76793034000000004</v>
      </c>
      <c r="N16" s="947">
        <f>IF(GEP_add1!$R38=$G16,SUM(GEP_add1!B33:B38)*25/100,"error")</f>
        <v>25.176750000000002</v>
      </c>
      <c r="O16" s="947">
        <f>IF(GEP_add1!$R38=$G16,SUM(GEP_add1!X33:X38)-NEWAGE!N16,"error")</f>
        <v>76.67325000000001</v>
      </c>
      <c r="P16" s="948">
        <f>IF(GEP_add1!$R38=$G16,SUM(GEP_add1!Y33:Y38),"error")</f>
        <v>157.16</v>
      </c>
      <c r="Q16" s="947">
        <f>IF(GEP_add1!$R38=$G16,SUM(GEP_add1!C33:C38)*10/100,"error")</f>
        <v>0.45119999999999999</v>
      </c>
      <c r="R16" s="947">
        <f>IF(GEP_add1!$R38=$G16,SUM(GEP_add1!AB33:AB38)-NEWAGE!Q16-NEWAGE!S16,"error")</f>
        <v>2.2187999999999999</v>
      </c>
      <c r="S16" s="947">
        <f>IF(GEP_add1!$R38=$G16,SUM(GEP_add1!AB33:AB38)*50/100,"error")</f>
        <v>2.67</v>
      </c>
      <c r="T16" s="947">
        <f>IF(GEP_add1!$R38=$G16,SUM(GEP_add1!D33:D38)*10/100,"error")</f>
        <v>2.4340000000000002</v>
      </c>
      <c r="U16" s="947">
        <f>IF(GEP_add1!$R38=$G16,SUM(GEP_add1!AC33:AC38)-NEWAGE!V16-NEWAGE!T16,"error")</f>
        <v>16.060999999999996</v>
      </c>
      <c r="V16" s="947">
        <f>IF(GEP_add1!$R38=$G16,SUM(GEP_add1!AC33:AC38)*50/100,"error")</f>
        <v>18.494999999999997</v>
      </c>
      <c r="W16" s="949">
        <f>IF(GEP_add1!$R38=$G16,SUM(GEP_add1!AD33:AD38)+SUM(GEP_add1!AG33:AG38),"error")</f>
        <v>5.65</v>
      </c>
      <c r="X16" s="552"/>
      <c r="Y16" s="427"/>
      <c r="Z16" s="113">
        <f>IF(GEP_Aggreg!K16="-",,GEP_Aggreg!K16)</f>
        <v>0</v>
      </c>
      <c r="AA16" s="113">
        <f>IF(GEP_Aggreg!L16="-",,GEP_Aggreg!L16)</f>
        <v>3.99</v>
      </c>
      <c r="AB16" s="113">
        <f>IF(GEP_Aggreg!P16="-",,GEP_Aggreg!P16)</f>
        <v>0.36000000000000004</v>
      </c>
      <c r="AC16" s="113">
        <f>IF(GEP_Aggreg!Q16="-",,GEP_Aggreg!Q16)</f>
        <v>0.35000000000000003</v>
      </c>
      <c r="AD16" s="113"/>
      <c r="AE16" s="113"/>
      <c r="AF16" s="149">
        <f t="shared" si="2"/>
        <v>420.58</v>
      </c>
      <c r="AG16" s="149">
        <f t="shared" si="3"/>
        <v>415.87999999999994</v>
      </c>
      <c r="AH16" s="106">
        <f>IF(G16='Table 1.1 complete'!C30,AF16-SUM('Table 1.1 complete'!E30:E35),"error")</f>
        <v>-2.0000000000038654E-2</v>
      </c>
      <c r="AI16" s="113">
        <f>IF(G16='Table 1.2 complete'!C30,AF16-SUM('Table 1.2 complete'!K30:K35),"error")</f>
        <v>3.999999999996362E-2</v>
      </c>
      <c r="AJ16" s="106">
        <f>'Table 1.2 complete'!K14-'Table 1.1 complete'!E14</f>
        <v>-4.0000000000000008E-2</v>
      </c>
    </row>
    <row r="17" spans="1:36" s="372" customFormat="1" x14ac:dyDescent="0.25">
      <c r="A17" s="940" t="s">
        <v>426</v>
      </c>
      <c r="B17" s="523">
        <f>AF17-GEP_Aggreg!S17</f>
        <v>0</v>
      </c>
      <c r="C17" s="550">
        <f t="shared" si="0"/>
        <v>0.69894357513963257</v>
      </c>
      <c r="D17" s="550">
        <f t="shared" si="4"/>
        <v>0.25235061489288924</v>
      </c>
      <c r="E17" s="550">
        <f t="shared" si="1"/>
        <v>4.8705809967478246E-2</v>
      </c>
      <c r="F17" s="941">
        <v>10</v>
      </c>
      <c r="G17" s="942" t="s">
        <v>420</v>
      </c>
      <c r="H17" s="950">
        <f>IF(GEP_add1!R40=$G17,SUM(GEP_add1!T39:T46),"error")</f>
        <v>510.68</v>
      </c>
      <c r="I17" s="951">
        <f>IF(GEP_add1!$R40=$G17,SUM(GEP_add1!U39:U46)-NEWAGE!J17,"error")</f>
        <v>653.65</v>
      </c>
      <c r="J17" s="951">
        <f>IF(GEP_add1!$R40=$G17,SUM(GEP_add1!E39:E46),"error")</f>
        <v>13.1</v>
      </c>
      <c r="K17" s="530">
        <f>IF(GEP_add1!$R40=$G17,SUM(GEP_add1!V39:V46),"error")</f>
        <v>17.48</v>
      </c>
      <c r="L17" s="951">
        <f>IF(GEP_add1!$R40=$G17,SUM(GEP_add1!W39:W46)-NEWAGE!M17,"error")</f>
        <v>0.47999999999999865</v>
      </c>
      <c r="M17" s="951">
        <f>IF(GEP_add1!$R40=$G17,SUM(GEP_add1!F39:F46),"error")</f>
        <v>10.700000000000001</v>
      </c>
      <c r="N17" s="951">
        <f>IF(GEP_add1!$R40=$G17,SUM(GEP_add1!B39:B46)*50,"error")</f>
        <v>523.08498256735345</v>
      </c>
      <c r="O17" s="951">
        <f>IF(GEP_add1!$R40=$G17,SUM(GEP_add1!X39:X46)-NEWAGE!N17,"error")</f>
        <v>121.40501743264656</v>
      </c>
      <c r="P17" s="950">
        <f>IF(GEP_add1!$R40=$G17,SUM(GEP_add1!Y39:Y46),"error")</f>
        <v>127.25</v>
      </c>
      <c r="Q17" s="951">
        <f>IF(GEP_add1!$R40=$G17,SUM(GEP_add1!C39:C46),"error")</f>
        <v>37.008238284352664</v>
      </c>
      <c r="R17" s="951">
        <f>IF(GEP_add1!$R40=$G17,SUM(GEP_add1!AB39:AB46)-NEWAGE!Q17-NEWAGE!S17,"error")</f>
        <v>171.90476171564734</v>
      </c>
      <c r="S17" s="951">
        <f>IF(GEP_add1!$R40=$G17,SUM(GEP_add1!AB39:AB46)*15/100,"error")</f>
        <v>36.866999999999997</v>
      </c>
      <c r="T17" s="951">
        <f>IF(GEP_add1!$R40=$G17,SUM(GEP_add1!D39:D46),"error")</f>
        <v>88.607042739193787</v>
      </c>
      <c r="U17" s="951">
        <f>IF(GEP_add1!$R40=$G17,SUM(GEP_add1!AC39:AC46)-NEWAGE!V17-NEWAGE!T17,"error")</f>
        <v>413.25845726080627</v>
      </c>
      <c r="V17" s="951">
        <f>IF(GEP_add1!$R40=$G17,SUM(GEP_add1!AC39:AC46)*15/100,"error")</f>
        <v>88.56450000000001</v>
      </c>
      <c r="W17" s="952">
        <f>IF(GEP_add1!$R40=$G17,SUM(GEP_add1!AD39:AD46)+SUM(GEP_add1!AG39:AG46),"error")</f>
        <v>30.210000000000004</v>
      </c>
      <c r="X17" s="554"/>
      <c r="Y17" s="555"/>
      <c r="Z17" s="530">
        <f>IF(GEP_Aggreg!K17="-",,GEP_Aggreg!K17)</f>
        <v>0</v>
      </c>
      <c r="AA17" s="530">
        <f>IF(GEP_Aggreg!L17="-",,GEP_Aggreg!L17)</f>
        <v>54.589999999999996</v>
      </c>
      <c r="AB17" s="530">
        <f>IF(GEP_Aggreg!P17="-",,GEP_Aggreg!P17)</f>
        <v>0.45</v>
      </c>
      <c r="AC17" s="530">
        <f>IF(GEP_Aggreg!Q17="-",,GEP_Aggreg!Q17)</f>
        <v>7.32</v>
      </c>
      <c r="AD17" s="530"/>
      <c r="AE17" s="530"/>
      <c r="AF17" s="531">
        <f t="shared" si="2"/>
        <v>2906.61</v>
      </c>
      <c r="AG17" s="531">
        <f t="shared" si="3"/>
        <v>2844.25</v>
      </c>
      <c r="AH17" s="532">
        <f>IF(G17='Table 1.1 complete'!C36,AF17-SUM('Table 1.1 complete'!E36:E43),"error")</f>
        <v>9.9999999997635314E-3</v>
      </c>
      <c r="AI17" s="530">
        <f>IF(G17='Table 1.2 complete'!C36,AF17-SUM('Table 1.2 complete'!K36:K43),"error")</f>
        <v>1.0000000000218279E-2</v>
      </c>
      <c r="AJ17" s="532">
        <f>'Table 1.2 complete'!K15-'Table 1.1 complete'!E15</f>
        <v>3.0000000000001137E-2</v>
      </c>
    </row>
    <row r="18" spans="1:36" s="522" customFormat="1" x14ac:dyDescent="0.25">
      <c r="A18" s="522" t="s">
        <v>396</v>
      </c>
      <c r="B18" s="523">
        <f>AF18-GEP_Aggreg!S18</f>
        <v>0</v>
      </c>
      <c r="C18" s="550">
        <f t="shared" si="0"/>
        <v>0.6924903302519686</v>
      </c>
      <c r="D18" s="550">
        <f t="shared" si="4"/>
        <v>0.25555952678381411</v>
      </c>
      <c r="E18" s="550">
        <f t="shared" si="1"/>
        <v>5.1950142964217308E-2</v>
      </c>
      <c r="F18" s="524">
        <v>11</v>
      </c>
      <c r="G18" s="525" t="s">
        <v>247</v>
      </c>
      <c r="H18" s="526">
        <f>IF(GEP_add1!T47="-",,GEP_add1!T47)</f>
        <v>836.63</v>
      </c>
      <c r="I18" s="527">
        <f>IF(GEP_add1!U47="-",,GEP_add1!U47-GEP_add1!E47)</f>
        <v>249.65</v>
      </c>
      <c r="J18" s="527">
        <f>IF(GEP_add1!U47="-",,GEP_add1!E47)</f>
        <v>25.9</v>
      </c>
      <c r="K18" s="526">
        <f>IF(GEP_add1!V47="-",,GEP_add1!V47)</f>
        <v>16.8</v>
      </c>
      <c r="L18" s="527">
        <f>IF(GEP_add1!W47="-",,GEP_add1!W47-GEP_add1!F47)</f>
        <v>1.8399999999999963</v>
      </c>
      <c r="M18" s="527">
        <f>IF(GEP_add1!W47="-",,GEP_add1!F47)</f>
        <v>34.6</v>
      </c>
      <c r="N18" s="527">
        <f>IF(GEP_add1!$X47="-",,GEP_add1!X47*75/100)</f>
        <v>1518.1724999999999</v>
      </c>
      <c r="O18" s="527">
        <f>IF(GEP_add1!$X47="-",,GEP_add1!$X47-N18)</f>
        <v>506.05750000000012</v>
      </c>
      <c r="P18" s="526">
        <f>IF(GEP_add1!Y47="-",,GEP_add1!Y47)</f>
        <v>90.23</v>
      </c>
      <c r="Q18" s="527">
        <f>IF(GEP_add1!$AB47="-",,GEP_add1!C47)</f>
        <v>18.748000000000001</v>
      </c>
      <c r="R18" s="527">
        <f>IF(GEP_add1!$R47=$G18,GEP_add1!AB47-Q18-S18,"error")</f>
        <v>43.763999999999996</v>
      </c>
      <c r="S18" s="527">
        <f>IF(GEP_add1!$AB47="-",,GEP_add1!$AB47*20/100)</f>
        <v>15.628</v>
      </c>
      <c r="T18" s="527">
        <f>IF(GEP_add1!$AC47="-",,GEP_add1!D47)</f>
        <v>213.69900000000001</v>
      </c>
      <c r="U18" s="527">
        <f>IF(GEP_add1!$AC47="-",,GEP_add1!$AC47-V18-T18)</f>
        <v>518.46100000000001</v>
      </c>
      <c r="V18" s="527">
        <f>IF(GEP_add1!$AC47="-",,GEP_add1!$AC47*20/100)</f>
        <v>183.04</v>
      </c>
      <c r="W18" s="528">
        <f>IF(GEP_add1!AD47="-",IF(GEP_add1!AG47="-",,GEP_add1!AG47),IF(GEP_add1!AG47="-",GEP_add1!AD47,GEP_add1!AD47+GEP_add1!AG47))</f>
        <v>49.54</v>
      </c>
      <c r="X18" s="554"/>
      <c r="Y18" s="555"/>
      <c r="Z18" s="530">
        <f>IF(GEP_Aggreg!K18="-",,GEP_Aggreg!K18)</f>
        <v>0</v>
      </c>
      <c r="AA18" s="530">
        <f>IF(GEP_Aggreg!L18="-",,GEP_Aggreg!L18)</f>
        <v>3.99</v>
      </c>
      <c r="AB18" s="530">
        <f>IF(GEP_Aggreg!P18="-",,GEP_Aggreg!P18)</f>
        <v>5.01</v>
      </c>
      <c r="AC18" s="530">
        <f>IF(GEP_Aggreg!Q18="-",,GEP_Aggreg!Q18)</f>
        <v>17.100000000000001</v>
      </c>
      <c r="AD18" s="530"/>
      <c r="AE18" s="530"/>
      <c r="AF18" s="531">
        <f t="shared" si="2"/>
        <v>4348.8600000000006</v>
      </c>
      <c r="AG18" s="531">
        <f t="shared" si="3"/>
        <v>4322.76</v>
      </c>
      <c r="AH18" s="532">
        <f>IF(G18='Table 1.1 complete'!C44,AF18-'Table 1.1 complete'!E44,"error")</f>
        <v>-3.9999999999054126E-2</v>
      </c>
      <c r="AI18" s="530">
        <f>IF(G18='Table 1.2 complete'!C44,AF18-'Table 1.2 complete'!K44,"error")</f>
        <v>9.0949470177292824E-13</v>
      </c>
      <c r="AJ18" s="532">
        <f>'Table 1.2 complete'!K16-'Table 1.1 complete'!E16</f>
        <v>-3.0000000000000249E-2</v>
      </c>
    </row>
    <row r="19" spans="1:36" x14ac:dyDescent="0.25">
      <c r="A19" s="537" t="s">
        <v>398</v>
      </c>
      <c r="B19" s="109">
        <f>AF19-GEP_Aggreg!S19</f>
        <v>0</v>
      </c>
      <c r="C19" s="546">
        <f t="shared" si="0"/>
        <v>0.88648605758331434</v>
      </c>
      <c r="D19" s="546">
        <f t="shared" si="4"/>
        <v>6.4481976875991845E-2</v>
      </c>
      <c r="E19" s="546">
        <f t="shared" si="1"/>
        <v>4.9031965540693723E-2</v>
      </c>
      <c r="F19" s="335">
        <v>12</v>
      </c>
      <c r="G19" s="293" t="s">
        <v>232</v>
      </c>
      <c r="H19" s="267">
        <f>IF(GEP_add1!T48="-",,GEP_add1!T48)</f>
        <v>12.35</v>
      </c>
      <c r="I19" s="384">
        <f>IF(GEP_add1!U48="-",,GEP_add1!U48-J19)</f>
        <v>355.31899999999996</v>
      </c>
      <c r="J19" s="384">
        <f>IF(GEP_add1!U43="-",,GEP_add1!U48*5/100)</f>
        <v>18.701000000000001</v>
      </c>
      <c r="K19" s="267">
        <f>IF(GEP_add1!V48="-",,GEP_add1!V48)</f>
        <v>0</v>
      </c>
      <c r="L19" s="384">
        <f>IF(GEP_add1!W48="-",,GEP_add1!W48-M19)</f>
        <v>0.10000000000000009</v>
      </c>
      <c r="M19" s="384">
        <f>IF(GEP_add1!W48="-",,GEP_add1!W48*95/100)</f>
        <v>1.9</v>
      </c>
      <c r="N19" s="384">
        <f>IF(GEP_add1!$X48="-",,GEP_add1!X48*0/100)</f>
        <v>0</v>
      </c>
      <c r="O19" s="384">
        <f>IF(GEP_add1!$X48="-",,GEP_add1!$X48-N19)</f>
        <v>0.1</v>
      </c>
      <c r="P19" s="267">
        <f>IF(GEP_add1!Y48="-",,GEP_add1!Y48)</f>
        <v>5.96</v>
      </c>
      <c r="Q19" s="384">
        <f>IF(GEP_add1!$AB48="-",,GEP_add1!C48)</f>
        <v>0</v>
      </c>
      <c r="R19" s="384">
        <f>IF(GEP_add1!$R48=$G19,GEP_add1!AB48-Q19-S19,"error")</f>
        <v>12.393000000000001</v>
      </c>
      <c r="S19" s="384">
        <f>IF(GEP_add1!$AB48="-",,GEP_add1!$AB48*10/100)</f>
        <v>1.3769999999999998</v>
      </c>
      <c r="T19" s="384">
        <f>IF(GEP_add1!$AC48="-",,GEP_add1!D48)</f>
        <v>0</v>
      </c>
      <c r="U19" s="384">
        <f>IF(GEP_add1!$AC48="-",,GEP_add1!$AC48-V19-T19)</f>
        <v>13.95</v>
      </c>
      <c r="V19" s="384">
        <f>IF(GEP_add1!$AC48="-",,GEP_add1!$AC48*10/100)</f>
        <v>1.55</v>
      </c>
      <c r="W19" s="302">
        <f>IF(GEP_add1!AD48="-",IF(GEP_add1!AG48="-",,GEP_add1!AG48),IF(GEP_add1!AG48="-",GEP_add1!AD48,GEP_add1!AD48+GEP_add1!AG48))</f>
        <v>17.399999999999999</v>
      </c>
      <c r="X19" s="552"/>
      <c r="Y19" s="427"/>
      <c r="Z19" s="113">
        <f>IF(GEP_Aggreg!K19="-",,GEP_Aggreg!K19)</f>
        <v>0</v>
      </c>
      <c r="AA19" s="113">
        <f>IF(GEP_Aggreg!L19="-",,GEP_Aggreg!L19)</f>
        <v>4.0599999999999996</v>
      </c>
      <c r="AB19" s="113">
        <f>IF(GEP_Aggreg!P19="-",,GEP_Aggreg!P19)</f>
        <v>0</v>
      </c>
      <c r="AC19" s="113">
        <f>IF(GEP_Aggreg!Q19="-",,GEP_Aggreg!Q19)</f>
        <v>0</v>
      </c>
      <c r="AD19" s="113"/>
      <c r="AE19" s="113"/>
      <c r="AF19" s="149">
        <f t="shared" si="2"/>
        <v>445.15999999999997</v>
      </c>
      <c r="AG19" s="149">
        <f t="shared" si="3"/>
        <v>441.09999999999997</v>
      </c>
      <c r="AH19" s="106">
        <f>IF(G19='Table 1.1 complete'!C45,AF19-'Table 1.1 complete'!E45,"error")</f>
        <v>5.999999999994543E-2</v>
      </c>
      <c r="AI19" s="113">
        <f>IF(G19='Table 1.2 complete'!C45,AF19-'Table 1.2 complete'!K45,"error")</f>
        <v>1.999999999998181E-2</v>
      </c>
      <c r="AJ19" s="106">
        <f>'Table 1.2 complete'!K17-'Table 1.1 complete'!E17</f>
        <v>9.9999999999997868E-3</v>
      </c>
    </row>
    <row r="20" spans="1:36" x14ac:dyDescent="0.25">
      <c r="A20" s="537" t="s">
        <v>400</v>
      </c>
      <c r="B20" s="109">
        <f>AF20-GEP_Aggreg!S20</f>
        <v>0</v>
      </c>
      <c r="C20" s="547">
        <f t="shared" si="0"/>
        <v>0.70082102100309429</v>
      </c>
      <c r="D20" s="547">
        <f t="shared" si="4"/>
        <v>0.24040235202817659</v>
      </c>
      <c r="E20" s="547">
        <f t="shared" si="1"/>
        <v>5.8776626968729165E-2</v>
      </c>
      <c r="F20" s="336">
        <v>13</v>
      </c>
      <c r="G20" s="294" t="s">
        <v>244</v>
      </c>
      <c r="H20" s="267">
        <f>IF(GEP_add1!T49="-",,GEP_add1!T49)</f>
        <v>160.04</v>
      </c>
      <c r="I20" s="384">
        <f>IF(GEP_add1!U49="-",,GEP_add1!U49-J20)</f>
        <v>177.19019999999998</v>
      </c>
      <c r="J20" s="384">
        <f>IF(GEP_add1!U49="-",,GEP_add1!U49*1/100)</f>
        <v>1.7897999999999998</v>
      </c>
      <c r="K20" s="267">
        <f>IF(GEP_add1!V49="-",,GEP_add1!V49)</f>
        <v>0.49</v>
      </c>
      <c r="L20" s="384">
        <f>IF(GEP_add1!W49="-",,GEP_add1!W49-M20)</f>
        <v>4.9999999999999871E-4</v>
      </c>
      <c r="M20" s="384">
        <f>IF(GEP_add1!W49="-",,GEP_add1!W49*95/100)</f>
        <v>9.5000000000000015E-3</v>
      </c>
      <c r="N20" s="384">
        <f>IF(GEP_add1!$X49="-",,GEP_add1!X49*60/100)</f>
        <v>60.06</v>
      </c>
      <c r="O20" s="384">
        <f>IF(GEP_add1!$X49="-",,GEP_add1!$X49-N20)</f>
        <v>40.039999999999992</v>
      </c>
      <c r="P20" s="267">
        <f>IF(GEP_add1!Y49="-",,GEP_add1!Y49)</f>
        <v>61.52</v>
      </c>
      <c r="Q20" s="384">
        <f>IF(GEP_add1!$AB49="-",,GEP_add1!AB49*10/100)</f>
        <v>1.7230000000000001</v>
      </c>
      <c r="R20" s="384">
        <f>IF(GEP_add1!$R49=$G20,GEP_add1!AB49-Q20-S20,"error")</f>
        <v>6.8919999999999995</v>
      </c>
      <c r="S20" s="384">
        <f>IF(GEP_add1!$AB49="-",,GEP_add1!$AB49*50/100)</f>
        <v>8.6150000000000002</v>
      </c>
      <c r="T20" s="384">
        <f>IF(GEP_add1!$AC49="-",,GEP_add1!AC49*50/100)</f>
        <v>243.35499999999999</v>
      </c>
      <c r="U20" s="384">
        <f>IF(GEP_add1!$AC49="-",,GEP_add1!$AC49-V20-T20)</f>
        <v>194.684</v>
      </c>
      <c r="V20" s="384">
        <f>IF(GEP_add1!$AC49="-",,GEP_add1!$AC49*10/100)</f>
        <v>48.670999999999992</v>
      </c>
      <c r="W20" s="302">
        <f>IF(GEP_add1!AD49="-",IF(GEP_add1!AG49="-",,GEP_add1!AG49),IF(GEP_add1!AG49="-",GEP_add1!AD49,GEP_add1!AD49+GEP_add1!AG49))</f>
        <v>0.01</v>
      </c>
      <c r="X20" s="552"/>
      <c r="Y20" s="427"/>
      <c r="Z20" s="113">
        <f>IF(GEP_Aggreg!K20="-",,GEP_Aggreg!K20)</f>
        <v>0.75</v>
      </c>
      <c r="AA20" s="113">
        <f>IF(GEP_Aggreg!L20="-",,GEP_Aggreg!L20)</f>
        <v>7.51</v>
      </c>
      <c r="AB20" s="113">
        <f>IF(GEP_Aggreg!P20="-",,GEP_Aggreg!P20)</f>
        <v>1.98</v>
      </c>
      <c r="AC20" s="113">
        <f>IF(GEP_Aggreg!Q20="-",,GEP_Aggreg!Q20)</f>
        <v>0</v>
      </c>
      <c r="AD20" s="113"/>
      <c r="AE20" s="113"/>
      <c r="AF20" s="149">
        <f t="shared" si="2"/>
        <v>1015.3299999999999</v>
      </c>
      <c r="AG20" s="149">
        <f t="shared" si="3"/>
        <v>1005.0899999999999</v>
      </c>
      <c r="AH20" s="106">
        <f>IF(G20='Table 1.1 complete'!C46,AF20-'Table 1.1 complete'!E46,"error")</f>
        <v>2.9999999999972715E-2</v>
      </c>
      <c r="AI20" s="113">
        <f>IF(G20='Table 1.2 complete'!C46,AF20-'Table 1.2 complete'!K46,"error")</f>
        <v>-1.1368683772161603E-13</v>
      </c>
      <c r="AJ20" s="106">
        <f>'Table 1.2 complete'!K18-'Table 1.1 complete'!E18</f>
        <v>0</v>
      </c>
    </row>
    <row r="21" spans="1:36" x14ac:dyDescent="0.25">
      <c r="A21" s="537" t="s">
        <v>403</v>
      </c>
      <c r="B21" s="109">
        <f>AF21-GEP_Aggreg!S21</f>
        <v>0</v>
      </c>
      <c r="C21" s="547">
        <f t="shared" si="0"/>
        <v>0.69875870788292538</v>
      </c>
      <c r="D21" s="547">
        <f t="shared" si="4"/>
        <v>0.25352361084771463</v>
      </c>
      <c r="E21" s="547">
        <f t="shared" si="1"/>
        <v>4.7717681269359623E-2</v>
      </c>
      <c r="F21" s="337">
        <v>14</v>
      </c>
      <c r="G21" s="295" t="s">
        <v>241</v>
      </c>
      <c r="H21" s="267">
        <f>IF(GEP_add1!T50="-",,GEP_add1!T50)</f>
        <v>16.78</v>
      </c>
      <c r="I21" s="384">
        <f>IF(GEP_add1!U50="-",,GEP_add1!U50-J21)</f>
        <v>122.5917</v>
      </c>
      <c r="J21" s="384">
        <f>IF(GEP_add1!U50="-",,GEP_add1!U50*1/100)</f>
        <v>1.2383</v>
      </c>
      <c r="K21" s="267">
        <f>IF(GEP_add1!V50="-",,GEP_add1!V50)</f>
        <v>0</v>
      </c>
      <c r="L21" s="384">
        <f>IF(GEP_add1!W50="-",,GEP_add1!W50-M21)</f>
        <v>0.58349999999999902</v>
      </c>
      <c r="M21" s="384">
        <f>IF(GEP_add1!W50="-",,GEP_add1!W50*95/100)</f>
        <v>11.086500000000001</v>
      </c>
      <c r="N21" s="384">
        <f>IF(GEP_add1!$X50="-",,GEP_add1!X50*75/100)</f>
        <v>387.42750000000007</v>
      </c>
      <c r="O21" s="384">
        <f>IF(GEP_add1!$X50="-",,GEP_add1!$X50-N21)</f>
        <v>129.14249999999998</v>
      </c>
      <c r="P21" s="267">
        <f>IF(GEP_add1!Y50="-",,GEP_add1!Y50)</f>
        <v>18.87</v>
      </c>
      <c r="Q21" s="384">
        <f>IF(GEP_add1!$AB50="-",,GEP_add1!AB50*5/100)</f>
        <v>1.7760000000000002</v>
      </c>
      <c r="R21" s="384">
        <f>IF(GEP_add1!$R50=$G21,GEP_add1!AB50-Q21-S21,"error")</f>
        <v>7.1039999999999957</v>
      </c>
      <c r="S21" s="384">
        <f>IF(GEP_add1!$AB50="-",,GEP_add1!$AB50*75/100)</f>
        <v>26.640000000000004</v>
      </c>
      <c r="T21" s="384">
        <f>IF(GEP_add1!$AC50="-",,GEP_add1!AC50*5/100)</f>
        <v>3.2880000000000003</v>
      </c>
      <c r="U21" s="384">
        <f>IF(GEP_add1!$AC50="-",,GEP_add1!$AC50-V21-T21)</f>
        <v>52.608000000000004</v>
      </c>
      <c r="V21" s="384">
        <f>IF(GEP_add1!$AC50="-",,GEP_add1!$AC50*15/100)</f>
        <v>9.8640000000000008</v>
      </c>
      <c r="W21" s="302">
        <f>IF(GEP_add1!AD50="-",IF(GEP_add1!AG50="-",,GEP_add1!AG50),IF(GEP_add1!AG50="-",GEP_add1!AD50,GEP_add1!AD50+GEP_add1!AG50))</f>
        <v>1.95</v>
      </c>
      <c r="X21" s="552"/>
      <c r="Y21" s="427"/>
      <c r="Z21" s="113">
        <f>IF(GEP_Aggreg!K21="-",,GEP_Aggreg!K21)</f>
        <v>0</v>
      </c>
      <c r="AA21" s="113">
        <f>IF(GEP_Aggreg!L21="-",,GEP_Aggreg!L21)</f>
        <v>1.48</v>
      </c>
      <c r="AB21" s="113">
        <f>IF(GEP_Aggreg!P21="-",,GEP_Aggreg!P21)</f>
        <v>0</v>
      </c>
      <c r="AC21" s="113">
        <f>IF(GEP_Aggreg!Q21="-",,GEP_Aggreg!Q21)</f>
        <v>0</v>
      </c>
      <c r="AD21" s="113"/>
      <c r="AE21" s="113"/>
      <c r="AF21" s="149">
        <f t="shared" si="2"/>
        <v>792.43000000000029</v>
      </c>
      <c r="AG21" s="149">
        <f t="shared" si="3"/>
        <v>790.95000000000027</v>
      </c>
      <c r="AH21" s="106">
        <f>IF(G21='Table 1.1 complete'!C47,AF21-'Table 1.1 complete'!E47,"error")</f>
        <v>3.0000000000313776E-2</v>
      </c>
      <c r="AI21" s="113">
        <f>IF(G21='Table 1.2 complete'!C47,AF21-'Table 1.2 complete'!K47,"error")</f>
        <v>1.0000000000331966E-2</v>
      </c>
      <c r="AJ21" s="106">
        <f>'Table 1.2 complete'!K19-'Table 1.1 complete'!E19</f>
        <v>3.9999999999992042E-2</v>
      </c>
    </row>
    <row r="22" spans="1:36" x14ac:dyDescent="0.25">
      <c r="A22" s="537" t="s">
        <v>401</v>
      </c>
      <c r="B22" s="109">
        <f>AF22-GEP_Aggreg!S22</f>
        <v>0</v>
      </c>
      <c r="C22" s="547">
        <f t="shared" si="0"/>
        <v>0.70297402664385167</v>
      </c>
      <c r="D22" s="547">
        <f t="shared" si="4"/>
        <v>0.24607696438485832</v>
      </c>
      <c r="E22" s="547">
        <f t="shared" si="1"/>
        <v>5.0949008971290059E-2</v>
      </c>
      <c r="F22" s="338">
        <v>15</v>
      </c>
      <c r="G22" s="296" t="s">
        <v>239</v>
      </c>
      <c r="H22" s="384">
        <f>IF(GEP_add1!$R51=$G22,SUM(GEP_add1!T51:T52),"error")</f>
        <v>62.13</v>
      </c>
      <c r="I22" s="384">
        <f>IF(GEP_add1!$R51=$G22,SUM(GEP_add1!U51:U52)-NEWAGE!J22,"error")</f>
        <v>388.20799999999997</v>
      </c>
      <c r="J22" s="384">
        <f>IF(GEP_add1!$R51=$G22,SUM(GEP_add1!U51:U52)*20/100,"error")</f>
        <v>97.052000000000007</v>
      </c>
      <c r="K22" s="267">
        <f>IF(GEP_add1!$R51=$G22,SUM(GEP_add1!V51:V52),"error")</f>
        <v>0</v>
      </c>
      <c r="L22" s="384">
        <f>IF(GEP_add1!$R51=$G22,SUM(GEP_add1!W51:W52)-NEWAGE!M22,"error")</f>
        <v>0.44549999999999912</v>
      </c>
      <c r="M22" s="384">
        <f>IF(GEP_add1!$R51=$G22,SUM(GEP_add1!W51:W52)*95/100,"error")</f>
        <v>8.464500000000001</v>
      </c>
      <c r="N22" s="384">
        <f>IF(GEP_add1!$R51=$G22,SUM(GEP_add1!X51:X52)*70/100,"error")</f>
        <v>1863.9949999999999</v>
      </c>
      <c r="O22" s="384">
        <f>IF(GEP_add1!$R51=$G22,SUM(GEP_add1!X51:X52)-NEWAGE!N22,"error")</f>
        <v>798.85500000000002</v>
      </c>
      <c r="P22" s="267">
        <f>IF(GEP_add1!$R51=$G22,SUM(GEP_add1!Y51:Y52),"error")</f>
        <v>0</v>
      </c>
      <c r="Q22" s="384">
        <f>IF(GEP_add1!$R51=$G22,SUM(GEP_add1!C51:C52),"error")</f>
        <v>0</v>
      </c>
      <c r="R22" s="384">
        <f>IF(GEP_add1!$R51=$G22,SUM(GEP_add1!AB51:AB52)-NEWAGE!Q22-NEWAGE!S22,"error")</f>
        <v>1.6875</v>
      </c>
      <c r="S22" s="384">
        <f>IF(GEP_add1!$R51=$G22,SUM(GEP_add1!AB51:AB52)*95/100,"error")</f>
        <v>32.0625</v>
      </c>
      <c r="T22" s="384">
        <f>IF(GEP_add1!$R51=$G22,SUM(GEP_add1!AC51:AC52)*1/100,"error")</f>
        <v>0.40860000000000002</v>
      </c>
      <c r="U22" s="384">
        <f>IF(GEP_add1!$R51=$G22,SUM(GEP_add1!AC51:AC52)-NEWAGE!V22-NEWAGE!T22,"error")</f>
        <v>1.6343999999999992</v>
      </c>
      <c r="V22" s="384">
        <f>IF(GEP_add1!$R51=$G22,SUM(GEP_add1!AC51:AC52)*95/100,"error")</f>
        <v>38.817</v>
      </c>
      <c r="W22" s="302">
        <f>IF(GEP_add1!$R51=$G22,SUM(GEP_add1!AD51:AD52)+SUM(GEP_add1!AG51:AG52),"error")</f>
        <v>2.31</v>
      </c>
      <c r="X22" s="552"/>
      <c r="Y22" s="427"/>
      <c r="Z22" s="113">
        <f>IF(GEP_Aggreg!K22="-",,GEP_Aggreg!K22)</f>
        <v>0</v>
      </c>
      <c r="AA22" s="113">
        <f>IF(GEP_Aggreg!L22="-",,GEP_Aggreg!L22)</f>
        <v>22.12</v>
      </c>
      <c r="AB22" s="113">
        <f>IF(GEP_Aggreg!P22="-",,GEP_Aggreg!P22)</f>
        <v>0</v>
      </c>
      <c r="AC22" s="113">
        <f>IF(GEP_Aggreg!Q22="-",,GEP_Aggreg!Q22)</f>
        <v>0</v>
      </c>
      <c r="AD22" s="113"/>
      <c r="AE22" s="113"/>
      <c r="AF22" s="149">
        <f t="shared" si="2"/>
        <v>3318.19</v>
      </c>
      <c r="AG22" s="149">
        <f t="shared" si="3"/>
        <v>3296.07</v>
      </c>
      <c r="AH22" s="106">
        <f>IF(G22='Table 1.1 complete'!C48,AF22-SUM('Table 1.1 complete'!E48:E49),"error")</f>
        <v>-9.9999999997635314E-3</v>
      </c>
      <c r="AI22" s="113">
        <f>IF(G22='Table 1.2 complete'!C48,AF22-SUM('Table 1.2 complete'!K48:K49),"error")</f>
        <v>1.0000000000218279E-2</v>
      </c>
      <c r="AJ22" s="106">
        <f>'Table 1.2 complete'!K20-'Table 1.1 complete'!E20</f>
        <v>4.9999999999982947E-2</v>
      </c>
    </row>
    <row r="23" spans="1:36" s="372" customFormat="1" x14ac:dyDescent="0.25">
      <c r="A23" s="538" t="s">
        <v>406</v>
      </c>
      <c r="B23" s="222">
        <f>AF23-GEP_Aggreg!S23</f>
        <v>0</v>
      </c>
      <c r="C23" s="548">
        <f t="shared" si="0"/>
        <v>0.7010930620919994</v>
      </c>
      <c r="D23" s="548">
        <f t="shared" si="4"/>
        <v>0.28118642781235775</v>
      </c>
      <c r="E23" s="549">
        <f t="shared" si="1"/>
        <v>1.7720510095642936E-2</v>
      </c>
      <c r="F23" s="520">
        <v>16</v>
      </c>
      <c r="G23" s="521" t="s">
        <v>245</v>
      </c>
      <c r="H23" s="268">
        <f>IF(GEP_add1!T53="-",,GEP_add1!T53)</f>
        <v>11.32</v>
      </c>
      <c r="I23" s="515">
        <f>IF(GEP_add1!U53="-",,GEP_add1!U53-J23)</f>
        <v>0.39100000000000001</v>
      </c>
      <c r="J23" s="515">
        <f>IF(GEP_add1!U53="-",,GEP_add1!U53*90/100)</f>
        <v>3.5190000000000001</v>
      </c>
      <c r="K23" s="268">
        <f>IF(GEP_add1!V53="-",,GEP_add1!V53)</f>
        <v>0</v>
      </c>
      <c r="L23" s="515">
        <f>IF(GEP_add1!W53="-",,GEP_add1!W53-M23)</f>
        <v>2.5000000000000001E-2</v>
      </c>
      <c r="M23" s="515">
        <f>IF(GEP_add1!W53="-",,GEP_add1!W53*50/100)</f>
        <v>2.5000000000000001E-2</v>
      </c>
      <c r="N23" s="515">
        <f>IF(GEP_add1!$X53="-",,GEP_add1!X53*70/100)</f>
        <v>172.75299999999999</v>
      </c>
      <c r="O23" s="515">
        <f>IF(GEP_add1!$X53="-",,GEP_add1!$X53-N23)</f>
        <v>74.037000000000006</v>
      </c>
      <c r="P23" s="268">
        <f>IF(GEP_add1!Y53="-",,GEP_add1!Y53)</f>
        <v>0</v>
      </c>
      <c r="Q23" s="515">
        <f>IF(GEP_add1!$AB53="-",,GEP_add1!C53)</f>
        <v>0</v>
      </c>
      <c r="R23" s="515">
        <f>IF(GEP_add1!$R53=$G23,GEP_add1!AB53-Q23-S23,"error")</f>
        <v>0</v>
      </c>
      <c r="S23" s="515">
        <f>IF(GEP_add1!$AB53="-",,GEP_add1!$AB53*100/100)</f>
        <v>1.1499999999999999</v>
      </c>
      <c r="T23" s="515">
        <f>IF(GEP_add1!$AC53="-",,GEP_add1!D53)</f>
        <v>0</v>
      </c>
      <c r="U23" s="515">
        <f>IF(GEP_add1!$AC53="-",,GEP_add1!$AC53-V23-T23)</f>
        <v>0</v>
      </c>
      <c r="V23" s="515">
        <f>IF(GEP_add1!$AC53="-",,GEP_add1!$AC53*20/100)</f>
        <v>0</v>
      </c>
      <c r="W23" s="516">
        <f>IF(GEP_add1!AD53="-",IF(GEP_add1!AG53="-",,GEP_add1!AG53),IF(GEP_add1!AG53="-",GEP_add1!AD53,GEP_add1!AD53+GEP_add1!AG53))</f>
        <v>0.26</v>
      </c>
      <c r="X23" s="553"/>
      <c r="Y23" s="435"/>
      <c r="Z23" s="225">
        <f>IF(GEP_Aggreg!K23="-",,GEP_Aggreg!K23)</f>
        <v>0</v>
      </c>
      <c r="AA23" s="225">
        <f>IF(GEP_Aggreg!L23="-",,GEP_Aggreg!L23)</f>
        <v>0</v>
      </c>
      <c r="AB23" s="225">
        <f>IF(GEP_Aggreg!P23="-",,GEP_Aggreg!P23)</f>
        <v>0</v>
      </c>
      <c r="AC23" s="225">
        <f>IF(GEP_Aggreg!Q23="-",,GEP_Aggreg!Q23)</f>
        <v>0</v>
      </c>
      <c r="AD23" s="225"/>
      <c r="AE23" s="225"/>
      <c r="AF23" s="223">
        <f t="shared" si="2"/>
        <v>263.47999999999996</v>
      </c>
      <c r="AG23" s="223">
        <f t="shared" si="3"/>
        <v>263.47999999999996</v>
      </c>
      <c r="AH23" s="224">
        <f>IF(G23='Table 1.1 complete'!C50,AF23-'Table 1.1 complete'!E50,"error")</f>
        <v>-2.0000000000038654E-2</v>
      </c>
      <c r="AI23" s="225">
        <f>IF(G23='Table 1.2 complete'!C50,AF23-'Table 1.2 complete'!K50,"error")</f>
        <v>-5.6843418860808015E-14</v>
      </c>
      <c r="AJ23" s="224">
        <f>'Table 1.2 complete'!K21-'Table 1.1 complete'!E21</f>
        <v>3.999999999996362E-2</v>
      </c>
    </row>
    <row r="24" spans="1:36" x14ac:dyDescent="0.25">
      <c r="A24" s="927" t="s">
        <v>427</v>
      </c>
      <c r="B24" s="385">
        <f>AF24-GEP_Aggreg!S24</f>
        <v>0</v>
      </c>
      <c r="C24" s="938">
        <f t="shared" si="0"/>
        <v>0.70465266796186687</v>
      </c>
      <c r="D24" s="938">
        <f t="shared" si="4"/>
        <v>0.24795497673157724</v>
      </c>
      <c r="E24" s="938">
        <f t="shared" si="1"/>
        <v>4.739235530655582E-2</v>
      </c>
      <c r="F24" s="339">
        <v>21</v>
      </c>
      <c r="G24" s="299" t="s">
        <v>422</v>
      </c>
      <c r="H24" s="113">
        <f>IF(GEP_add1!$R54=$G24,SUM(GEP_add1!T54:T70),"error")</f>
        <v>0</v>
      </c>
      <c r="I24" s="947">
        <f>IF(GEP_add1!$R54=$G24,SUM(GEP_add1!U54:U70)-NEWAGE!J24,"error")</f>
        <v>39.392099999999999</v>
      </c>
      <c r="J24" s="947">
        <f>IF(GEP_add1!$R54=$G24,SUM(GEP_add1!U54:U70)*1/100,"error")</f>
        <v>0.39789999999999998</v>
      </c>
      <c r="K24" s="113">
        <f>IF(GEP_add1!$R54=$G24,SUM(GEP_add1!V54:V70),"error")</f>
        <v>0</v>
      </c>
      <c r="L24" s="947">
        <f>IF(GEP_add1!$R54=$G24,SUM(GEP_add1!W54:W70)-NEWAGE!M24,"error")</f>
        <v>0.64500000000000002</v>
      </c>
      <c r="M24" s="947">
        <f>IF(GEP_add1!$R54=$G24,SUM(GEP_add1!W54:W70)*50/100,"error")</f>
        <v>0.64500000000000002</v>
      </c>
      <c r="N24" s="947">
        <f>IF(GEP_add1!$R54=$G24,SUM(GEP_add1!X54:X70)*20/100,"error")</f>
        <v>2.6079999999999997</v>
      </c>
      <c r="O24" s="947">
        <f>IF(GEP_add1!$R54=$G24,SUM(GEP_add1!X54:X70)-NEWAGE!N24,"error")</f>
        <v>10.431999999999999</v>
      </c>
      <c r="P24" s="113">
        <f>IF(GEP_add1!$R54=$G24,SUM(GEP_add1!Y54:Y70),"error")</f>
        <v>0</v>
      </c>
      <c r="Q24" s="947">
        <f>IF(GEP_add1!$R54=$G24,SUM(GEP_add1!AB54:AB70)*70/100,"error")</f>
        <v>202.23699999999997</v>
      </c>
      <c r="R24" s="947">
        <f>IF(GEP_add1!$R54=$G24,SUM(GEP_add1!AB54:AB70)-NEWAGE!Q24-NEWAGE!S24,"error")</f>
        <v>72.227500000000006</v>
      </c>
      <c r="S24" s="947">
        <f>IF(GEP_add1!$R54=$G24,SUM(GEP_add1!AB54:AB70)*5/100,"error")</f>
        <v>14.445499999999997</v>
      </c>
      <c r="T24" s="947">
        <f>IF(GEP_add1!$R54=$G24,SUM(GEP_add1!AC54:AC70)*70/100,"error")</f>
        <v>379.596</v>
      </c>
      <c r="U24" s="947">
        <f>IF(GEP_add1!$R54=$G24,SUM(GEP_add1!AC54:AC70)-NEWAGE!V24-NEWAGE!T24,"error")</f>
        <v>135.56999999999994</v>
      </c>
      <c r="V24" s="947">
        <f>IF(GEP_add1!$R54=$G24,SUM(GEP_add1!AC54:AC70)*5/100,"error")</f>
        <v>27.113999999999997</v>
      </c>
      <c r="W24" s="949">
        <f>IF(GEP_add1!$R54=$G24,SUM(GEP_add1!AD54:AD70)+SUM(GEP_add1!AG54:AG70),"error")</f>
        <v>0.01</v>
      </c>
      <c r="X24" s="552"/>
      <c r="Y24" s="427"/>
      <c r="Z24" s="113">
        <f>IF(GEP_Aggreg!K24="-",,GEP_Aggreg!K24)</f>
        <v>0</v>
      </c>
      <c r="AA24" s="113">
        <f>IF(GEP_Aggreg!L24="-",,GEP_Aggreg!L24)</f>
        <v>0</v>
      </c>
      <c r="AB24" s="113">
        <f>IF(GEP_Aggreg!P24="-",,GEP_Aggreg!P24)</f>
        <v>0</v>
      </c>
      <c r="AC24" s="113">
        <f>IF(GEP_Aggreg!Q24="-",,GEP_Aggreg!Q24)</f>
        <v>0</v>
      </c>
      <c r="AD24" s="113"/>
      <c r="AE24" s="113"/>
      <c r="AF24" s="149">
        <f t="shared" si="2"/>
        <v>885.31999999999994</v>
      </c>
      <c r="AG24" s="149">
        <f t="shared" si="3"/>
        <v>885.31999999999994</v>
      </c>
      <c r="AH24" s="106">
        <f>IF(G24='Table 1.1 complete'!C51,AF24-SUM('Table 1.1 complete'!E51:E67),"error")</f>
        <v>-8.0000000000154614E-2</v>
      </c>
      <c r="AI24" s="113">
        <f>IF(G24='Table 1.2 complete'!C51,AF24-SUM('Table 1.2 complete'!K51:K67),"error")</f>
        <v>-1.0000000000104592E-2</v>
      </c>
      <c r="AJ24" s="106">
        <f>'Table 1.2 complete'!K26-'Table 1.1 complete'!E26</f>
        <v>0</v>
      </c>
    </row>
    <row r="25" spans="1:36" s="372" customFormat="1" x14ac:dyDescent="0.25">
      <c r="A25" s="939" t="s">
        <v>399</v>
      </c>
      <c r="B25" s="222">
        <f>AF25-GEP_Aggreg!S25</f>
        <v>0</v>
      </c>
      <c r="C25" s="548">
        <f t="shared" si="0"/>
        <v>0.68220421611807824</v>
      </c>
      <c r="D25" s="548">
        <f t="shared" si="4"/>
        <v>0.2651396967353663</v>
      </c>
      <c r="E25" s="548">
        <f t="shared" si="1"/>
        <v>5.2656087146555494E-2</v>
      </c>
      <c r="F25" s="533">
        <v>22</v>
      </c>
      <c r="G25" s="534" t="s">
        <v>421</v>
      </c>
      <c r="H25" s="225">
        <f>IF(GEP_add1!$R71=$G25,SUM(GEP_add1!T71:T74),"error")</f>
        <v>0</v>
      </c>
      <c r="I25" s="953">
        <f>IF(GEP_add1!$R71=$G25,SUM(GEP_add1!U71:U74)-NEWAGE!J25,"error")</f>
        <v>108.70200000000001</v>
      </c>
      <c r="J25" s="953">
        <f>IF(GEP_add1!$R71=$G25,SUM(GEP_add1!U71:U74)*1/100,"error")</f>
        <v>1.0980000000000001</v>
      </c>
      <c r="K25" s="225">
        <f>IF(GEP_add1!$R71=$G25,SUM(GEP_add1!V71:V74),"error")</f>
        <v>7.02</v>
      </c>
      <c r="L25" s="953">
        <f>IF(GEP_add1!$R71=$G25,SUM(GEP_add1!W71:W74)-NEWAGE!M25,"error")</f>
        <v>0</v>
      </c>
      <c r="M25" s="953">
        <f>IF(GEP_add1!$R71=$G25,SUM(GEP_add1!W71:W74)*50/100,"error")</f>
        <v>0</v>
      </c>
      <c r="N25" s="953">
        <f>IF(GEP_add1!$R71=$G25,SUM(GEP_add1!X71:X74)*20/100,"error")</f>
        <v>0</v>
      </c>
      <c r="O25" s="953">
        <f>IF(GEP_add1!$R71=$G25,SUM(GEP_add1!X71:X74)-NEWAGE!N25,"error")</f>
        <v>0</v>
      </c>
      <c r="P25" s="225">
        <f>IF(GEP_add1!$R71=$G25,SUM(GEP_add1!Y71:Y74),"error")</f>
        <v>63.83</v>
      </c>
      <c r="Q25" s="953">
        <f>IF(GEP_add1!$R71=$G25,SUM(GEP_add1!AB71:AB74)*20/100,"error")</f>
        <v>11.814</v>
      </c>
      <c r="R25" s="953">
        <f>IF(GEP_add1!$R71=$G25,SUM(GEP_add1!AB71:AB74)-NEWAGE!Q25-NEWAGE!S25,"error")</f>
        <v>41.349000000000004</v>
      </c>
      <c r="S25" s="953">
        <f>IF(GEP_add1!$R71=$G25,SUM(GEP_add1!AB71:AB74)*10/100,"error")</f>
        <v>5.907</v>
      </c>
      <c r="T25" s="953">
        <f>IF(GEP_add1!$R71=$G25,SUM(GEP_add1!AC71:AC74)*20/100,"error")</f>
        <v>11.542</v>
      </c>
      <c r="U25" s="953">
        <f>IF(GEP_add1!$R71=$G25,SUM(GEP_add1!AC71:AC74)-NEWAGE!V25-NEWAGE!T25,"error")</f>
        <v>37.511499999999998</v>
      </c>
      <c r="V25" s="953">
        <f>IF(GEP_add1!$R71=$G25,SUM(GEP_add1!AC71:AC74)*15/100,"error")</f>
        <v>8.6564999999999994</v>
      </c>
      <c r="W25" s="954">
        <f>IF(GEP_add1!$R71=$G25,SUM(GEP_add1!AD71:AD74)+SUM(GEP_add1!AG71:AG74),"error")</f>
        <v>0</v>
      </c>
      <c r="X25" s="553"/>
      <c r="Y25" s="435"/>
      <c r="Z25" s="225">
        <f>IF(GEP_Aggreg!K25="-",,GEP_Aggreg!K25)</f>
        <v>0</v>
      </c>
      <c r="AA25" s="225">
        <f>IF(GEP_Aggreg!L25="-",,GEP_Aggreg!L25)</f>
        <v>0</v>
      </c>
      <c r="AB25" s="225">
        <f>IF(GEP_Aggreg!P25="-",,GEP_Aggreg!P25)</f>
        <v>0</v>
      </c>
      <c r="AC25" s="225">
        <f>IF(GEP_Aggreg!Q25="-",,GEP_Aggreg!Q25)</f>
        <v>0</v>
      </c>
      <c r="AD25" s="225"/>
      <c r="AE25" s="225"/>
      <c r="AF25" s="223">
        <f t="shared" si="2"/>
        <v>297.43</v>
      </c>
      <c r="AG25" s="223">
        <f t="shared" si="3"/>
        <v>297.43</v>
      </c>
      <c r="AH25" s="224">
        <f>IF(G25='Table 1.1 complete'!C68,AF25-SUM('Table 1.1 complete'!E68:E71),"error")</f>
        <v>3.0000000000029559E-2</v>
      </c>
      <c r="AI25" s="225">
        <f>IF(G25='Table 1.2 complete'!C68,AF25-SUM('Table 1.2 complete'!K68:K71),"error")</f>
        <v>2.0000000000038654E-2</v>
      </c>
      <c r="AJ25" s="224">
        <f>'Table 1.2 complete'!K27-'Table 1.1 complete'!E27</f>
        <v>-4.9999999999997158E-2</v>
      </c>
    </row>
    <row r="26" spans="1:36" ht="15.75" thickBot="1" x14ac:dyDescent="0.3">
      <c r="A26" s="375" t="s">
        <v>407</v>
      </c>
      <c r="B26" s="539">
        <f>AF26-GEP_Aggreg!S26</f>
        <v>0</v>
      </c>
      <c r="C26" s="548">
        <f t="shared" si="0"/>
        <v>0.73057174406478109</v>
      </c>
      <c r="D26" s="548">
        <f t="shared" si="4"/>
        <v>0.2139984333193338</v>
      </c>
      <c r="E26" s="548">
        <f t="shared" si="1"/>
        <v>5.5429822615884819E-2</v>
      </c>
      <c r="F26" s="365">
        <v>26</v>
      </c>
      <c r="G26" s="300" t="s">
        <v>423</v>
      </c>
      <c r="H26" s="654">
        <f>IF(GEP_add1!$R75=$G26,SUM(GEP_add1!T75:T148),"error")</f>
        <v>145.93</v>
      </c>
      <c r="I26" s="955">
        <f>IF(GEP_add1!$R75=$G26,SUM(GEP_add1!U75:U148)-NEWAGE!J26,"error")</f>
        <v>493.97150000000005</v>
      </c>
      <c r="J26" s="955">
        <f>IF(GEP_add1!$R75=$G26,SUM(GEP_add1!U75:U148)*5/100,"error")</f>
        <v>25.998500000000003</v>
      </c>
      <c r="K26" s="654">
        <f>IF(GEP_add1!$R75=$G26,SUM(GEP_add1!V75:V148),"error")</f>
        <v>14.260000000000002</v>
      </c>
      <c r="L26" s="955">
        <f>IF(GEP_add1!$R75=$G26,SUM(GEP_add1!W75:W148)-NEWAGE!M26,"error")</f>
        <v>0.70000000000000018</v>
      </c>
      <c r="M26" s="955">
        <f>IF(GEP_add1!$R75=$G26,SUM(GEP_add1!W75:W148)*50/100,"error")</f>
        <v>0.7</v>
      </c>
      <c r="N26" s="955">
        <f>IF(GEP_add1!$R75=$G26,SUM(GEP_add1!X75:X148)*70/100,"error")</f>
        <v>282.00899999999996</v>
      </c>
      <c r="O26" s="955">
        <f>IF(GEP_add1!$R75=$G26,SUM(GEP_add1!X75:X148)-NEWAGE!N26,"error")</f>
        <v>120.86099999999993</v>
      </c>
      <c r="P26" s="654">
        <f>IF(GEP_add1!$R75=$G26,SUM(GEP_add1!Y75:Y148),"error")</f>
        <v>108.42</v>
      </c>
      <c r="Q26" s="955">
        <f>IF(GEP_add1!$R75=$G26,SUM(GEP_add1!AB75:AB148)*5/100,"error")</f>
        <v>11.463000000000001</v>
      </c>
      <c r="R26" s="955">
        <f>IF(GEP_add1!$R75=$G26,SUM(GEP_add1!AB75:AB148)-NEWAGE!Q26-NEWAGE!S26,"error")</f>
        <v>160.48200000000003</v>
      </c>
      <c r="S26" s="955">
        <f>IF(GEP_add1!$R75=$G26,SUM(GEP_add1!AB75:AB148)*25/100,"error")</f>
        <v>57.315000000000012</v>
      </c>
      <c r="T26" s="955">
        <f>IF(GEP_add1!$R75=$G26,SUM(GEP_add1!AC75:AC148)*70/100,"error")</f>
        <v>478.09300000000002</v>
      </c>
      <c r="U26" s="955">
        <f>IF(GEP_add1!$R75=$G26,SUM(GEP_add1!AC75:AC148)-NEWAGE!V26-NEWAGE!T26,"error")</f>
        <v>170.7475</v>
      </c>
      <c r="V26" s="955">
        <f>IF(GEP_add1!$R75=$G26,SUM(GEP_add1!AC75:AC148)*5/100,"error")</f>
        <v>34.149499999999996</v>
      </c>
      <c r="W26" s="956">
        <f>IF(GEP_add1!$R75=$G26,SUM(GEP_add1!AD75:AD148)+SUM(GEP_add1!AG75:AG148),"error")</f>
        <v>14.03</v>
      </c>
      <c r="X26" s="553"/>
      <c r="Y26" s="435"/>
      <c r="Z26" s="225">
        <f>IF(GEP_Aggreg!K26="-",,GEP_Aggreg!K26)</f>
        <v>0.01</v>
      </c>
      <c r="AA26" s="225">
        <f>IF(GEP_Aggreg!L26="-",,GEP_Aggreg!L26)</f>
        <v>7.91</v>
      </c>
      <c r="AB26" s="225">
        <f>IF(GEP_Aggreg!P26="-",,GEP_Aggreg!P26)</f>
        <v>0.19</v>
      </c>
      <c r="AC26" s="225">
        <f>IF(GEP_Aggreg!Q26="-",,GEP_Aggreg!Q26)</f>
        <v>3.02</v>
      </c>
      <c r="AD26" s="225"/>
      <c r="AE26" s="225"/>
      <c r="AF26" s="223">
        <f t="shared" si="2"/>
        <v>2130.2600000000007</v>
      </c>
      <c r="AG26" s="223">
        <f t="shared" si="3"/>
        <v>2119.1300000000006</v>
      </c>
      <c r="AH26" s="224">
        <f>IF(G26='Table 1.1 complete'!C72,AF26-SUM('Table 1.1 complete'!E72:E145),"error")</f>
        <v>0.26000000000112777</v>
      </c>
      <c r="AI26" s="225">
        <f>IF(G26='Table 1.2 complete'!C72,AF26-SUM('Table 1.2 complete'!K72:K145),"error")</f>
        <v>6.0000000000400178E-2</v>
      </c>
      <c r="AJ26" s="224">
        <f>'Table 1.2 complete'!K31-'Table 1.1 complete'!E31</f>
        <v>0</v>
      </c>
    </row>
    <row r="27" spans="1:36" x14ac:dyDescent="0.25">
      <c r="F27" s="543">
        <v>99</v>
      </c>
      <c r="G27" s="227" t="s">
        <v>277</v>
      </c>
      <c r="H27" s="114">
        <f>IF(GEP_Aggreg!E27="-",,GEP_Aggreg!E27)</f>
        <v>11.32</v>
      </c>
      <c r="I27" s="114">
        <f>IF(GEP_Aggreg!F27="-",,GEP_Aggreg!F27*0.9)</f>
        <v>88.766999999999996</v>
      </c>
      <c r="J27" s="114">
        <f>IF(GEP_Aggreg!F27="-",,GEP_Aggreg!F27*0.1)</f>
        <v>9.8629999999999995</v>
      </c>
      <c r="K27" s="114">
        <f>IF(GEP_Aggreg!G27="-",,GEP_Aggreg!G27)</f>
        <v>1.02</v>
      </c>
      <c r="L27" s="114">
        <f>IF(GEP_Aggreg!H27="-",,GEP_Aggreg!H27*(1-0.99))</f>
        <v>1.2500000000000011E-2</v>
      </c>
      <c r="M27" s="114">
        <f>IF(GEP_Aggreg!H27="-",,GEP_Aggreg!H27*0.99)</f>
        <v>1.2375</v>
      </c>
      <c r="N27" s="114">
        <f>IF(GEP_Aggreg!$I27="-",,GEP_Aggreg!$I27*0.75)</f>
        <v>200.28000000000003</v>
      </c>
      <c r="O27" s="114">
        <f>IF(GEP_Aggreg!$I27="-",,GEP_Aggreg!$I27*0.25)</f>
        <v>66.760000000000005</v>
      </c>
      <c r="P27" s="114">
        <f>IF(GEP_Aggreg!J27="-",,GEP_Aggreg!J27)</f>
        <v>0</v>
      </c>
      <c r="Q27" s="114">
        <f>IF(GEP_Aggreg!$M27="-",,GEP_Aggreg!$M27/3)</f>
        <v>22.66333333333333</v>
      </c>
      <c r="R27" s="114">
        <f>IF(GEP_Aggreg!$M27="-",,GEP_Aggreg!$M27/3)</f>
        <v>22.66333333333333</v>
      </c>
      <c r="S27" s="114">
        <f>IF(GEP_Aggreg!$M27="-",,GEP_Aggreg!$M27/3)</f>
        <v>22.66333333333333</v>
      </c>
      <c r="T27" s="114">
        <f>IF(GEP_Aggreg!$N27="-",,GEP_Aggreg!$N27/3)</f>
        <v>56.69</v>
      </c>
      <c r="U27" s="114">
        <f>IF(GEP_Aggreg!$N27="-",,GEP_Aggreg!$N27/3)</f>
        <v>56.69</v>
      </c>
      <c r="V27" s="114">
        <f>IF(GEP_Aggreg!$N27="-",,GEP_Aggreg!$N27/3)</f>
        <v>56.69</v>
      </c>
      <c r="W27" s="114">
        <f>IF(GEP_Aggreg!O27="-",IF(GEP_Aggreg!R27="-",,GEP_Aggreg!R27),IF(GEP_Aggreg!R27="-",GEP_Aggreg!O27,GEP_Aggreg!O27+GEP_Aggreg!R27))</f>
        <v>0.76</v>
      </c>
      <c r="X27" s="556"/>
      <c r="Y27" s="556"/>
      <c r="Z27" s="114">
        <f>IF(GEP_Aggreg!K27="-",,GEP_Aggreg!K27)</f>
        <v>0</v>
      </c>
      <c r="AA27" s="114">
        <f>IF(GEP_Aggreg!L27="-",,GEP_Aggreg!L27)</f>
        <v>0</v>
      </c>
      <c r="AB27" s="114">
        <f>IF(GEP_Aggreg!P27="-",,GEP_Aggreg!P27)</f>
        <v>0</v>
      </c>
      <c r="AC27" s="114">
        <f>IF(GEP_Aggreg!Q27="-",,GEP_Aggreg!Q27)</f>
        <v>0</v>
      </c>
      <c r="AD27" s="114"/>
      <c r="AE27" s="114"/>
      <c r="AF27" s="150">
        <f t="shared" si="2"/>
        <v>618.08000000000015</v>
      </c>
      <c r="AG27" s="150">
        <f t="shared" si="3"/>
        <v>618.08000000000015</v>
      </c>
      <c r="AH27" s="107">
        <f>IF(G27='Table 1.1 complete'!C146,AF27-'Table 1.1 complete'!E146,"error")</f>
        <v>-1.9999999999868123E-2</v>
      </c>
      <c r="AI27" s="114">
        <f>IF(G27='Table 1.2 complete'!C146,AF27-SUM('Table 1.2 complete'!K146),"error")</f>
        <v>1.0000000000104592E-2</v>
      </c>
      <c r="AJ27" s="107">
        <f>'Table 1.2 complete'!K32-'Table 1.1 complete'!E32</f>
        <v>-3.9999999999999147E-2</v>
      </c>
    </row>
    <row r="28" spans="1:36" x14ac:dyDescent="0.25">
      <c r="C28" s="519"/>
      <c r="D28" s="514"/>
      <c r="F28" s="226">
        <v>99</v>
      </c>
      <c r="G28" s="228" t="s">
        <v>278</v>
      </c>
      <c r="H28" s="114">
        <f>IF(GEP_Aggreg!E28="-",,GEP_Aggreg!E28)</f>
        <v>60.39</v>
      </c>
      <c r="I28" s="114">
        <f>IF(GEP_Aggreg!F28="-",,GEP_Aggreg!F28*0.9)</f>
        <v>233.99100000000001</v>
      </c>
      <c r="J28" s="114">
        <f>IF(GEP_Aggreg!F28="-",,GEP_Aggreg!F28*0.1)</f>
        <v>25.999000000000002</v>
      </c>
      <c r="K28" s="114">
        <f>IF(GEP_Aggreg!G28="-",,GEP_Aggreg!G28)</f>
        <v>17.239999999999998</v>
      </c>
      <c r="L28" s="114">
        <f>IF(GEP_Aggreg!H28="-",,GEP_Aggreg!H28*(1-0.99))</f>
        <v>0.12200000000000009</v>
      </c>
      <c r="M28" s="114">
        <f>IF(GEP_Aggreg!H28="-",,GEP_Aggreg!H28*0.99)</f>
        <v>12.077999999999999</v>
      </c>
      <c r="N28" s="114">
        <f>IF(GEP_Aggreg!$I28="-",,GEP_Aggreg!$I28*0.75)</f>
        <v>536.97749999999996</v>
      </c>
      <c r="O28" s="114">
        <f>IF(GEP_Aggreg!$I28="-",,GEP_Aggreg!$I28*0.25)</f>
        <v>178.99250000000001</v>
      </c>
      <c r="P28" s="114">
        <f>IF(GEP_Aggreg!J28="-",,GEP_Aggreg!J28)</f>
        <v>116.37</v>
      </c>
      <c r="Q28" s="114">
        <f>IF(GEP_Aggreg!$M28="-",,GEP_Aggreg!$M28/3)</f>
        <v>53.29666666666666</v>
      </c>
      <c r="R28" s="114">
        <f>IF(GEP_Aggreg!$M28="-",,GEP_Aggreg!$M28/3)</f>
        <v>53.29666666666666</v>
      </c>
      <c r="S28" s="114">
        <f>IF(GEP_Aggreg!$M28="-",,GEP_Aggreg!$M28/3)</f>
        <v>53.29666666666666</v>
      </c>
      <c r="T28" s="114">
        <f>IF(GEP_Aggreg!$N28="-",,GEP_Aggreg!$N28/3)</f>
        <v>141.54666666666665</v>
      </c>
      <c r="U28" s="114">
        <f>IF(GEP_Aggreg!$N28="-",,GEP_Aggreg!$N28/3)</f>
        <v>141.54666666666665</v>
      </c>
      <c r="V28" s="114">
        <f>IF(GEP_Aggreg!$N28="-",,GEP_Aggreg!$N28/3)</f>
        <v>141.54666666666665</v>
      </c>
      <c r="W28" s="114">
        <f>IF(GEP_Aggreg!O28="-",IF(GEP_Aggreg!R28="-",,GEP_Aggreg!R28),IF(GEP_Aggreg!R28="-",GEP_Aggreg!O28,GEP_Aggreg!O28+GEP_Aggreg!R28))</f>
        <v>6.8199999999999994</v>
      </c>
      <c r="X28" s="556"/>
      <c r="Y28" s="556"/>
      <c r="Z28" s="114">
        <f>IF(GEP_Aggreg!K28="-",,GEP_Aggreg!K28)</f>
        <v>0</v>
      </c>
      <c r="AA28" s="114">
        <f>IF(GEP_Aggreg!L28="-",,GEP_Aggreg!L28)</f>
        <v>3.85</v>
      </c>
      <c r="AB28" s="114">
        <f>IF(GEP_Aggreg!P28="-",,GEP_Aggreg!P28)</f>
        <v>0</v>
      </c>
      <c r="AC28" s="114">
        <f>IF(GEP_Aggreg!Q28="-",,GEP_Aggreg!Q28)</f>
        <v>3.02</v>
      </c>
      <c r="AD28" s="114"/>
      <c r="AE28" s="114"/>
      <c r="AF28" s="150">
        <f t="shared" si="2"/>
        <v>1780.3799999999994</v>
      </c>
      <c r="AG28" s="150">
        <f t="shared" si="3"/>
        <v>1773.5099999999995</v>
      </c>
      <c r="AH28" s="107">
        <f>IF(G28='Table 1.1 complete'!C147,AF28-'Table 1.1 complete'!E147,"error")</f>
        <v>-2.0000000000663931E-2</v>
      </c>
      <c r="AI28" s="114">
        <f>IF(G28='Table 1.2 complete'!C147,AF28-SUM('Table 1.2 complete'!K147),"error")</f>
        <v>1.9999999999527063E-2</v>
      </c>
      <c r="AJ28" s="107">
        <f>'Table 1.2 complete'!K33-'Table 1.1 complete'!E33</f>
        <v>4.9999999999982947E-2</v>
      </c>
    </row>
    <row r="29" spans="1:36" x14ac:dyDescent="0.25">
      <c r="F29" s="226">
        <v>99</v>
      </c>
      <c r="G29" s="228" t="s">
        <v>279</v>
      </c>
      <c r="H29" s="114">
        <f>IF(GEP_Aggreg!E29="-",,GEP_Aggreg!E29)</f>
        <v>62.13</v>
      </c>
      <c r="I29" s="114">
        <f>IF(GEP_Aggreg!F29="-",,GEP_Aggreg!F29*0.9)</f>
        <v>436.73399999999998</v>
      </c>
      <c r="J29" s="114">
        <f>IF(GEP_Aggreg!F29="-",,GEP_Aggreg!F29*0.1)</f>
        <v>48.526000000000003</v>
      </c>
      <c r="K29" s="114">
        <f>IF(GEP_Aggreg!G29="-",,GEP_Aggreg!G29)</f>
        <v>0</v>
      </c>
      <c r="L29" s="114">
        <f>IF(GEP_Aggreg!H29="-",,GEP_Aggreg!H29*(1-0.99))</f>
        <v>8.9100000000000082E-2</v>
      </c>
      <c r="M29" s="114">
        <f>IF(GEP_Aggreg!H29="-",,GEP_Aggreg!H29*0.99)</f>
        <v>8.8209</v>
      </c>
      <c r="N29" s="114">
        <f>IF(GEP_Aggreg!$I29="-",,GEP_Aggreg!$I29*0.75)</f>
        <v>1997.1374999999998</v>
      </c>
      <c r="O29" s="114">
        <f>IF(GEP_Aggreg!$I29="-",,GEP_Aggreg!$I29*0.25)</f>
        <v>665.71249999999998</v>
      </c>
      <c r="P29" s="114">
        <f>IF(GEP_Aggreg!J29="-",,GEP_Aggreg!J29)</f>
        <v>0</v>
      </c>
      <c r="Q29" s="114">
        <f>IF(GEP_Aggreg!$M29="-",,GEP_Aggreg!$M29/3)</f>
        <v>11.25</v>
      </c>
      <c r="R29" s="114">
        <f>IF(GEP_Aggreg!$M29="-",,GEP_Aggreg!$M29/3)</f>
        <v>11.25</v>
      </c>
      <c r="S29" s="114">
        <f>IF(GEP_Aggreg!$M29="-",,GEP_Aggreg!$M29/3)</f>
        <v>11.25</v>
      </c>
      <c r="T29" s="114">
        <f>IF(GEP_Aggreg!$N29="-",,GEP_Aggreg!$N29/3)</f>
        <v>0</v>
      </c>
      <c r="U29" s="114">
        <f>IF(GEP_Aggreg!$N29="-",,GEP_Aggreg!$N29/3)</f>
        <v>0</v>
      </c>
      <c r="V29" s="114">
        <f>IF(GEP_Aggreg!$N29="-",,GEP_Aggreg!$N29/3)</f>
        <v>0</v>
      </c>
      <c r="W29" s="114">
        <f>IF(GEP_Aggreg!O29="-",IF(GEP_Aggreg!R29="-",,GEP_Aggreg!R29),IF(GEP_Aggreg!R29="-",GEP_Aggreg!O29,GEP_Aggreg!O29+GEP_Aggreg!R29))</f>
        <v>2.31</v>
      </c>
      <c r="X29" s="556"/>
      <c r="Y29" s="556"/>
      <c r="Z29" s="114">
        <f>IF(GEP_Aggreg!K29="-",,GEP_Aggreg!K29)</f>
        <v>0</v>
      </c>
      <c r="AA29" s="114">
        <f>IF(GEP_Aggreg!L29="-",,GEP_Aggreg!L29)</f>
        <v>22.12</v>
      </c>
      <c r="AB29" s="114">
        <f>IF(GEP_Aggreg!P29="-",,GEP_Aggreg!P29)</f>
        <v>0</v>
      </c>
      <c r="AC29" s="114">
        <f>IF(GEP_Aggreg!Q29="-",,GEP_Aggreg!Q29)</f>
        <v>40.86</v>
      </c>
      <c r="AD29" s="114"/>
      <c r="AE29" s="114"/>
      <c r="AF29" s="150">
        <f t="shared" si="2"/>
        <v>3318.19</v>
      </c>
      <c r="AG29" s="150">
        <f t="shared" si="3"/>
        <v>3255.21</v>
      </c>
      <c r="AH29" s="107">
        <f>IF(G29='Table 1.1 complete'!C148,AF29-'Table 1.1 complete'!E148,"error")</f>
        <v>-9.9999999997635314E-3</v>
      </c>
      <c r="AI29" s="114">
        <f>IF(G29='Table 1.2 complete'!C148,AF29-SUM('Table 1.2 complete'!K148),"error")</f>
        <v>0</v>
      </c>
      <c r="AJ29" s="107">
        <f>'Table 1.2 complete'!K34-'Table 1.1 complete'!E34</f>
        <v>-3.0000000000001137E-2</v>
      </c>
    </row>
    <row r="30" spans="1:36" x14ac:dyDescent="0.25">
      <c r="F30" s="226">
        <v>99</v>
      </c>
      <c r="G30" s="228" t="s">
        <v>280</v>
      </c>
      <c r="H30" s="114">
        <f>IF(GEP_Aggreg!E30="-",,GEP_Aggreg!E30)</f>
        <v>264.97000000000003</v>
      </c>
      <c r="I30" s="114">
        <f>IF(GEP_Aggreg!F30="-",,GEP_Aggreg!F30*0.9)</f>
        <v>224.721</v>
      </c>
      <c r="J30" s="114">
        <f>IF(GEP_Aggreg!F30="-",,GEP_Aggreg!F30*0.1)</f>
        <v>24.969000000000001</v>
      </c>
      <c r="K30" s="114">
        <f>IF(GEP_Aggreg!G30="-",,GEP_Aggreg!G30)</f>
        <v>0.49</v>
      </c>
      <c r="L30" s="114">
        <f>IF(GEP_Aggreg!H30="-",,GEP_Aggreg!H30*(1-0.99))</f>
        <v>5.4000000000000055E-3</v>
      </c>
      <c r="M30" s="114">
        <f>IF(GEP_Aggreg!H30="-",,GEP_Aggreg!H30*0.99)</f>
        <v>0.53460000000000008</v>
      </c>
      <c r="N30" s="114">
        <f>IF(GEP_Aggreg!$I30="-",,GEP_Aggreg!$I30*0.75)</f>
        <v>163.49250000000001</v>
      </c>
      <c r="O30" s="114">
        <f>IF(GEP_Aggreg!$I30="-",,GEP_Aggreg!$I30*0.25)</f>
        <v>54.497500000000002</v>
      </c>
      <c r="P30" s="114">
        <f>IF(GEP_Aggreg!J30="-",,GEP_Aggreg!J30)</f>
        <v>75.599999999999994</v>
      </c>
      <c r="Q30" s="114">
        <f>IF(GEP_Aggreg!$M30="-",,GEP_Aggreg!$M30/3)</f>
        <v>11.46</v>
      </c>
      <c r="R30" s="114">
        <f>IF(GEP_Aggreg!$M30="-",,GEP_Aggreg!$M30/3)</f>
        <v>11.46</v>
      </c>
      <c r="S30" s="114">
        <f>IF(GEP_Aggreg!$M30="-",,GEP_Aggreg!$M30/3)</f>
        <v>11.46</v>
      </c>
      <c r="T30" s="114">
        <f>IF(GEP_Aggreg!$N30="-",,GEP_Aggreg!$N30/3)</f>
        <v>211.09</v>
      </c>
      <c r="U30" s="114">
        <f>IF(GEP_Aggreg!$N30="-",,GEP_Aggreg!$N30/3)</f>
        <v>211.09</v>
      </c>
      <c r="V30" s="114">
        <f>IF(GEP_Aggreg!$N30="-",,GEP_Aggreg!$N30/3)</f>
        <v>211.09</v>
      </c>
      <c r="W30" s="114">
        <f>IF(GEP_Aggreg!O30="-",IF(GEP_Aggreg!R30="-",,GEP_Aggreg!R30),IF(GEP_Aggreg!R30="-",GEP_Aggreg!O30,GEP_Aggreg!O30+GEP_Aggreg!R30))</f>
        <v>0.16</v>
      </c>
      <c r="X30" s="556"/>
      <c r="Y30" s="556"/>
      <c r="Z30" s="114">
        <f>IF(GEP_Aggreg!K30="-",,GEP_Aggreg!K30)</f>
        <v>0.79</v>
      </c>
      <c r="AA30" s="114">
        <f>IF(GEP_Aggreg!L30="-",,GEP_Aggreg!L30)</f>
        <v>10.9</v>
      </c>
      <c r="AB30" s="114">
        <f>IF(GEP_Aggreg!P30="-",,GEP_Aggreg!P30)</f>
        <v>2.06</v>
      </c>
      <c r="AC30" s="114">
        <f>IF(GEP_Aggreg!Q30="-",,GEP_Aggreg!Q30)</f>
        <v>0</v>
      </c>
      <c r="AD30" s="114"/>
      <c r="AE30" s="114"/>
      <c r="AF30" s="150">
        <f t="shared" si="2"/>
        <v>1490.8400000000001</v>
      </c>
      <c r="AG30" s="150">
        <f t="shared" si="3"/>
        <v>1477.0900000000001</v>
      </c>
      <c r="AH30" s="107">
        <f>IF(G30='Table 1.1 complete'!C149,AF30-'Table 1.1 complete'!E149,"error")</f>
        <v>4.0000000000190994E-2</v>
      </c>
      <c r="AI30" s="114">
        <f>IF(G30='Table 1.2 complete'!C149,AF30-SUM('Table 1.2 complete'!K149),"error")</f>
        <v>2.0000000000209184E-2</v>
      </c>
      <c r="AJ30" s="107">
        <f>'Table 1.2 complete'!K35-'Table 1.1 complete'!E35</f>
        <v>-4.00000000000027E-2</v>
      </c>
    </row>
    <row r="31" spans="1:36" x14ac:dyDescent="0.25">
      <c r="A31" s="542" t="s">
        <v>409</v>
      </c>
      <c r="F31" s="226">
        <v>99</v>
      </c>
      <c r="G31" s="228" t="s">
        <v>281</v>
      </c>
      <c r="H31" s="114">
        <f>IF(GEP_Aggreg!E31="-",,GEP_Aggreg!E31)</f>
        <v>19.57</v>
      </c>
      <c r="I31" s="114">
        <f>IF(GEP_Aggreg!F31="-",,GEP_Aggreg!F31*0.9)</f>
        <v>602.35199999999998</v>
      </c>
      <c r="J31" s="114">
        <f>IF(GEP_Aggreg!F31="-",,GEP_Aggreg!F31*0.1)</f>
        <v>66.927999999999997</v>
      </c>
      <c r="K31" s="114">
        <f>IF(GEP_Aggreg!G31="-",,GEP_Aggreg!G31)</f>
        <v>2.86</v>
      </c>
      <c r="L31" s="114">
        <f>IF(GEP_Aggreg!H31="-",,GEP_Aggreg!H31*(1-0.99))</f>
        <v>2.4100000000000024E-2</v>
      </c>
      <c r="M31" s="114">
        <f>IF(GEP_Aggreg!H31="-",,GEP_Aggreg!H31*0.99)</f>
        <v>2.3858999999999999</v>
      </c>
      <c r="N31" s="114">
        <f>IF(GEP_Aggreg!$I31="-",,GEP_Aggreg!$I31*0.75)</f>
        <v>16.754999999999999</v>
      </c>
      <c r="O31" s="114">
        <f>IF(GEP_Aggreg!$I31="-",,GEP_Aggreg!$I31*0.25)</f>
        <v>5.585</v>
      </c>
      <c r="P31" s="114">
        <f>IF(GEP_Aggreg!J31="-",,GEP_Aggreg!J31)</f>
        <v>5.96</v>
      </c>
      <c r="Q31" s="114">
        <f>IF(GEP_Aggreg!$M31="-",,GEP_Aggreg!$M31/3)</f>
        <v>41.783333333333331</v>
      </c>
      <c r="R31" s="114">
        <f>IF(GEP_Aggreg!$M31="-",,GEP_Aggreg!$M31/3)</f>
        <v>41.783333333333331</v>
      </c>
      <c r="S31" s="114">
        <f>IF(GEP_Aggreg!$M31="-",,GEP_Aggreg!$M31/3)</f>
        <v>41.783333333333331</v>
      </c>
      <c r="T31" s="114">
        <f>IF(GEP_Aggreg!$N31="-",,GEP_Aggreg!$N31/3)</f>
        <v>42.726666666666667</v>
      </c>
      <c r="U31" s="114">
        <f>IF(GEP_Aggreg!$N31="-",,GEP_Aggreg!$N31/3)</f>
        <v>42.726666666666667</v>
      </c>
      <c r="V31" s="114">
        <f>IF(GEP_Aggreg!$N31="-",,GEP_Aggreg!$N31/3)</f>
        <v>42.726666666666667</v>
      </c>
      <c r="W31" s="114">
        <f>IF(GEP_Aggreg!O31="-",IF(GEP_Aggreg!R31="-",,GEP_Aggreg!R31),IF(GEP_Aggreg!R31="-",GEP_Aggreg!O31,GEP_Aggreg!O31+GEP_Aggreg!R31))</f>
        <v>25.950000000000003</v>
      </c>
      <c r="X31" s="556"/>
      <c r="Y31" s="556"/>
      <c r="Z31" s="114">
        <f>IF(GEP_Aggreg!K31="-",,GEP_Aggreg!K31)</f>
        <v>0</v>
      </c>
      <c r="AA31" s="114">
        <f>IF(GEP_Aggreg!L31="-",,GEP_Aggreg!L31)</f>
        <v>5</v>
      </c>
      <c r="AB31" s="114">
        <f>IF(GEP_Aggreg!P31="-",,GEP_Aggreg!P31)</f>
        <v>0</v>
      </c>
      <c r="AC31" s="114">
        <f>IF(GEP_Aggreg!Q31="-",,GEP_Aggreg!Q31)</f>
        <v>0</v>
      </c>
      <c r="AD31" s="114"/>
      <c r="AE31" s="114"/>
      <c r="AF31" s="150">
        <f t="shared" si="2"/>
        <v>1006.9000000000001</v>
      </c>
      <c r="AG31" s="150">
        <f t="shared" si="3"/>
        <v>1001.9000000000001</v>
      </c>
      <c r="AH31" s="107">
        <f>IF(G31='Table 1.1 complete'!C150,AF31-'Table 1.1 complete'!E150,"error")</f>
        <v>1.1368683772161603E-13</v>
      </c>
      <c r="AI31" s="114">
        <f>IF(G31='Table 1.2 complete'!C150,AF31-SUM('Table 1.2 complete'!K150),"error")</f>
        <v>2.0000000000095497E-2</v>
      </c>
      <c r="AJ31" s="107">
        <f>'Table 1.2 complete'!K36-'Table 1.1 complete'!E36</f>
        <v>-3.0000000000001137E-2</v>
      </c>
    </row>
    <row r="32" spans="1:36" x14ac:dyDescent="0.25">
      <c r="A32" s="541" t="s">
        <v>404</v>
      </c>
      <c r="E32" s="535"/>
      <c r="F32" s="226">
        <v>99</v>
      </c>
      <c r="G32" s="227" t="s">
        <v>282</v>
      </c>
      <c r="H32" s="114">
        <f>IF(GEP_Aggreg!E32="-",,GEP_Aggreg!E32)</f>
        <v>0</v>
      </c>
      <c r="I32" s="114">
        <f>IF(GEP_Aggreg!F32="-",,GEP_Aggreg!F32*0.9)</f>
        <v>20.421000000000003</v>
      </c>
      <c r="J32" s="114">
        <f>IF(GEP_Aggreg!F32="-",,GEP_Aggreg!F32*0.1)</f>
        <v>2.2690000000000001</v>
      </c>
      <c r="K32" s="114">
        <f>IF(GEP_Aggreg!G32="-",,GEP_Aggreg!G32)</f>
        <v>0</v>
      </c>
      <c r="L32" s="114">
        <f>IF(GEP_Aggreg!H32="-",,GEP_Aggreg!H32*(1-0.99))</f>
        <v>1.6000000000000014E-3</v>
      </c>
      <c r="M32" s="114">
        <f>IF(GEP_Aggreg!H32="-",,GEP_Aggreg!H32*0.99)</f>
        <v>0.15840000000000001</v>
      </c>
      <c r="N32" s="114">
        <f>IF(GEP_Aggreg!$I32="-",,GEP_Aggreg!$I32*0.75)</f>
        <v>27.9375</v>
      </c>
      <c r="O32" s="114">
        <f>IF(GEP_Aggreg!$I32="-",,GEP_Aggreg!$I32*0.25)</f>
        <v>9.3125</v>
      </c>
      <c r="P32" s="114">
        <f>IF(GEP_Aggreg!J32="-",,GEP_Aggreg!J32)</f>
        <v>0.16</v>
      </c>
      <c r="Q32" s="114">
        <f>IF(GEP_Aggreg!$M32="-",,GEP_Aggreg!$M32/3)</f>
        <v>83.356666666666669</v>
      </c>
      <c r="R32" s="114">
        <f>IF(GEP_Aggreg!$M32="-",,GEP_Aggreg!$M32/3)</f>
        <v>83.356666666666669</v>
      </c>
      <c r="S32" s="114">
        <f>IF(GEP_Aggreg!$M32="-",,GEP_Aggreg!$M32/3)</f>
        <v>83.356666666666669</v>
      </c>
      <c r="T32" s="114">
        <f>IF(GEP_Aggreg!$N32="-",,GEP_Aggreg!$N32/3)</f>
        <v>134.76</v>
      </c>
      <c r="U32" s="114">
        <f>IF(GEP_Aggreg!$N32="-",,GEP_Aggreg!$N32/3)</f>
        <v>134.76</v>
      </c>
      <c r="V32" s="114">
        <f>IF(GEP_Aggreg!$N32="-",,GEP_Aggreg!$N32/3)</f>
        <v>134.76</v>
      </c>
      <c r="W32" s="114">
        <f>IF(GEP_Aggreg!O32="-",IF(GEP_Aggreg!R32="-",,GEP_Aggreg!R32),IF(GEP_Aggreg!R32="-",GEP_Aggreg!O32,GEP_Aggreg!O32+GEP_Aggreg!R32))</f>
        <v>0.01</v>
      </c>
      <c r="X32" s="556"/>
      <c r="Y32" s="556"/>
      <c r="Z32" s="114">
        <f>IF(GEP_Aggreg!K32="-",,GEP_Aggreg!K32)</f>
        <v>0</v>
      </c>
      <c r="AA32" s="114">
        <f>IF(GEP_Aggreg!L32="-",,GEP_Aggreg!L32)</f>
        <v>0</v>
      </c>
      <c r="AB32" s="114">
        <f>IF(GEP_Aggreg!P32="-",,GEP_Aggreg!P32)</f>
        <v>0</v>
      </c>
      <c r="AC32" s="114">
        <f>IF(GEP_Aggreg!Q32="-",,GEP_Aggreg!Q32)</f>
        <v>0</v>
      </c>
      <c r="AD32" s="114"/>
      <c r="AE32" s="114"/>
      <c r="AF32" s="150">
        <f t="shared" si="2"/>
        <v>714.62</v>
      </c>
      <c r="AG32" s="150">
        <f t="shared" si="3"/>
        <v>714.62</v>
      </c>
      <c r="AH32" s="107">
        <f>IF(G32='Table 1.1 complete'!C151,AF32-'Table 1.1 complete'!E151,"error")</f>
        <v>1.999999999998181E-2</v>
      </c>
      <c r="AI32" s="114">
        <f>IF(G32='Table 1.2 complete'!C151,AF32-SUM('Table 1.2 complete'!K151),"error")</f>
        <v>1.999999999998181E-2</v>
      </c>
      <c r="AJ32" s="107">
        <f>'Table 1.2 complete'!K37-'Table 1.1 complete'!E37</f>
        <v>4.0000000000077307E-2</v>
      </c>
    </row>
    <row r="33" spans="1:36" x14ac:dyDescent="0.25">
      <c r="A33" s="541" t="s">
        <v>405</v>
      </c>
      <c r="F33" s="226">
        <v>99</v>
      </c>
      <c r="G33" s="228" t="s">
        <v>283</v>
      </c>
      <c r="H33" s="114">
        <f>IF(GEP_Aggreg!E33="-",,GEP_Aggreg!E33)</f>
        <v>28.05</v>
      </c>
      <c r="I33" s="114">
        <f>IF(GEP_Aggreg!F33="-",,GEP_Aggreg!F33*0.9)</f>
        <v>40.230000000000004</v>
      </c>
      <c r="J33" s="114">
        <f>IF(GEP_Aggreg!F33="-",,GEP_Aggreg!F33*0.1)</f>
        <v>4.4700000000000006</v>
      </c>
      <c r="K33" s="114">
        <f>IF(GEP_Aggreg!G33="-",,GEP_Aggreg!G33)</f>
        <v>0</v>
      </c>
      <c r="L33" s="114">
        <f>IF(GEP_Aggreg!H33="-",,GEP_Aggreg!H33*(1-0.99))</f>
        <v>9.0000000000000073E-4</v>
      </c>
      <c r="M33" s="114">
        <f>IF(GEP_Aggreg!H33="-",,GEP_Aggreg!H33*0.99)</f>
        <v>8.9099999999999999E-2</v>
      </c>
      <c r="N33" s="114">
        <f>IF(GEP_Aggreg!$I33="-",,GEP_Aggreg!$I33*0.75)</f>
        <v>11.685</v>
      </c>
      <c r="O33" s="114">
        <f>IF(GEP_Aggreg!$I33="-",,GEP_Aggreg!$I33*0.25)</f>
        <v>3.895</v>
      </c>
      <c r="P33" s="114">
        <f>IF(GEP_Aggreg!J33="-",,GEP_Aggreg!J33)</f>
        <v>78.239999999999995</v>
      </c>
      <c r="Q33" s="114">
        <f>IF(GEP_Aggreg!$M33="-",,GEP_Aggreg!$M33/3)</f>
        <v>4.166666666666667</v>
      </c>
      <c r="R33" s="114">
        <f>IF(GEP_Aggreg!$M33="-",,GEP_Aggreg!$M33/3)</f>
        <v>4.166666666666667</v>
      </c>
      <c r="S33" s="114">
        <f>IF(GEP_Aggreg!$M33="-",,GEP_Aggreg!$M33/3)</f>
        <v>4.166666666666667</v>
      </c>
      <c r="T33" s="114">
        <f>IF(GEP_Aggreg!$N33="-",,GEP_Aggreg!$N33/3)</f>
        <v>5.9333333333333336</v>
      </c>
      <c r="U33" s="114">
        <f>IF(GEP_Aggreg!$N33="-",,GEP_Aggreg!$N33/3)</f>
        <v>5.9333333333333336</v>
      </c>
      <c r="V33" s="114">
        <f>IF(GEP_Aggreg!$N33="-",,GEP_Aggreg!$N33/3)</f>
        <v>5.9333333333333336</v>
      </c>
      <c r="W33" s="114">
        <f>IF(GEP_Aggreg!O33="-",IF(GEP_Aggreg!R33="-",,GEP_Aggreg!R33),IF(GEP_Aggreg!R33="-",GEP_Aggreg!O33,GEP_Aggreg!O33+GEP_Aggreg!R33))</f>
        <v>0.16</v>
      </c>
      <c r="X33" s="556"/>
      <c r="Y33" s="556"/>
      <c r="Z33" s="114">
        <f>IF(GEP_Aggreg!K33="-",,GEP_Aggreg!K33)</f>
        <v>0</v>
      </c>
      <c r="AA33" s="114">
        <f>IF(GEP_Aggreg!L33="-",,GEP_Aggreg!L33)</f>
        <v>0.41</v>
      </c>
      <c r="AB33" s="114">
        <f>IF(GEP_Aggreg!P33="-",,GEP_Aggreg!P33)</f>
        <v>0.01</v>
      </c>
      <c r="AC33" s="114">
        <f>IF(GEP_Aggreg!Q33="-",,GEP_Aggreg!Q33)</f>
        <v>0</v>
      </c>
      <c r="AD33" s="114"/>
      <c r="AE33" s="114"/>
      <c r="AF33" s="150">
        <f t="shared" si="2"/>
        <v>197.53999999999996</v>
      </c>
      <c r="AG33" s="150">
        <f t="shared" si="3"/>
        <v>197.11999999999998</v>
      </c>
      <c r="AH33" s="107">
        <f>IF(G33='Table 1.1 complete'!C152,AF33-'Table 1.1 complete'!E152,"error")</f>
        <v>3.999999999996362E-2</v>
      </c>
      <c r="AI33" s="114">
        <f>IF(G33='Table 1.2 complete'!C152,AF33-SUM('Table 1.2 complete'!K152),"error")</f>
        <v>1.9999999999953388E-2</v>
      </c>
      <c r="AJ33" s="107">
        <f>'Table 1.2 complete'!K38-'Table 1.1 complete'!E38</f>
        <v>-1.9999999999999574E-2</v>
      </c>
    </row>
    <row r="34" spans="1:36" x14ac:dyDescent="0.25">
      <c r="A34" s="541" t="s">
        <v>375</v>
      </c>
      <c r="F34" s="226">
        <v>99</v>
      </c>
      <c r="G34" s="228" t="s">
        <v>284</v>
      </c>
      <c r="H34" s="114">
        <f>IF(GEP_Aggreg!E34="-",,GEP_Aggreg!E34)</f>
        <v>446.42</v>
      </c>
      <c r="I34" s="114">
        <f>IF(GEP_Aggreg!F34="-",,GEP_Aggreg!F34*0.9)</f>
        <v>1647.2070000000001</v>
      </c>
      <c r="J34" s="114">
        <f>IF(GEP_Aggreg!F34="-",,GEP_Aggreg!F34*0.1)</f>
        <v>183.02300000000002</v>
      </c>
      <c r="K34" s="114">
        <f>IF(GEP_Aggreg!G34="-",,GEP_Aggreg!G34)</f>
        <v>21.61</v>
      </c>
      <c r="L34" s="114">
        <f>IF(GEP_Aggreg!H34="-",,GEP_Aggreg!H34*(1-0.99))</f>
        <v>0.25540000000000024</v>
      </c>
      <c r="M34" s="114">
        <f>IF(GEP_Aggreg!H34="-",,GEP_Aggreg!H34*0.99)</f>
        <v>25.284599999999998</v>
      </c>
      <c r="N34" s="114">
        <f>IF(GEP_Aggreg!$I34="-",,GEP_Aggreg!$I34*0.75)</f>
        <v>2954.2575000000002</v>
      </c>
      <c r="O34" s="114">
        <f>IF(GEP_Aggreg!$I34="-",,GEP_Aggreg!$I34*0.25)</f>
        <v>984.75250000000005</v>
      </c>
      <c r="P34" s="114">
        <f>IF(GEP_Aggreg!J34="-",,GEP_Aggreg!J34)</f>
        <v>276.32</v>
      </c>
      <c r="Q34" s="114">
        <f>IF(GEP_Aggreg!$M34="-",,GEP_Aggreg!$M34/3)</f>
        <v>227.97</v>
      </c>
      <c r="R34" s="114">
        <f>IF(GEP_Aggreg!$M34="-",,GEP_Aggreg!$M34/3)</f>
        <v>227.97</v>
      </c>
      <c r="S34" s="114">
        <f>IF(GEP_Aggreg!$M34="-",,GEP_Aggreg!$M34/3)</f>
        <v>227.97</v>
      </c>
      <c r="T34" s="114">
        <f>IF(GEP_Aggreg!$N34="-",,GEP_Aggreg!$N34/3)</f>
        <v>606.36</v>
      </c>
      <c r="U34" s="114">
        <f>IF(GEP_Aggreg!$N34="-",,GEP_Aggreg!$N34/3)</f>
        <v>606.36</v>
      </c>
      <c r="V34" s="114">
        <f>IF(GEP_Aggreg!$N34="-",,GEP_Aggreg!$N34/3)</f>
        <v>606.36</v>
      </c>
      <c r="W34" s="114">
        <f>IF(GEP_Aggreg!O34="-",IF(GEP_Aggreg!R34="-",,GEP_Aggreg!R34),IF(GEP_Aggreg!R34="-",GEP_Aggreg!O34,GEP_Aggreg!O34+GEP_Aggreg!R34))</f>
        <v>36.160000000000004</v>
      </c>
      <c r="X34" s="556"/>
      <c r="Y34" s="556"/>
      <c r="Z34" s="114">
        <f>IF(GEP_Aggreg!K34="-",,GEP_Aggreg!K34)</f>
        <v>0.79</v>
      </c>
      <c r="AA34" s="114">
        <f>IF(GEP_Aggreg!L34="-",,GEP_Aggreg!L34)</f>
        <v>42.28</v>
      </c>
      <c r="AB34" s="114">
        <f>IF(GEP_Aggreg!P34="-",,GEP_Aggreg!P34)</f>
        <v>2.0699999999999998</v>
      </c>
      <c r="AC34" s="114">
        <f>IF(GEP_Aggreg!Q34="-",,GEP_Aggreg!Q34)</f>
        <v>3.02</v>
      </c>
      <c r="AD34" s="114"/>
      <c r="AE34" s="114"/>
      <c r="AF34" s="150">
        <f t="shared" si="2"/>
        <v>9126.4400000000041</v>
      </c>
      <c r="AG34" s="150">
        <f t="shared" si="3"/>
        <v>9078.2800000000025</v>
      </c>
      <c r="AH34" s="107">
        <f>IF(G34='Table 1.1 complete'!C153,AF34-'Table 1.1 complete'!E153,"error")</f>
        <v>4.0000000004511094E-2</v>
      </c>
      <c r="AI34" s="114">
        <f>IF(G34='Table 1.2 complete'!C153,AF34-SUM('Table 1.2 complete'!K153),"error")</f>
        <v>1.0000000003856258E-2</v>
      </c>
      <c r="AJ34" s="107">
        <f>'Table 1.2 complete'!K39-'Table 1.1 complete'!E39</f>
        <v>9.9999999999909051E-3</v>
      </c>
    </row>
    <row r="35" spans="1:36" x14ac:dyDescent="0.25">
      <c r="A35" s="541" t="s">
        <v>335</v>
      </c>
      <c r="F35" s="226">
        <v>99</v>
      </c>
      <c r="G35" s="228" t="s">
        <v>285</v>
      </c>
      <c r="H35" s="114">
        <f>IF(GEP_Aggreg!E35="-",,GEP_Aggreg!E35)</f>
        <v>446.42</v>
      </c>
      <c r="I35" s="114">
        <f>IF(GEP_Aggreg!F35="-",,GEP_Aggreg!F35*0.9)</f>
        <v>1647.2070000000001</v>
      </c>
      <c r="J35" s="114">
        <f>IF(GEP_Aggreg!F35="-",,GEP_Aggreg!F35*0.1)</f>
        <v>183.02300000000002</v>
      </c>
      <c r="K35" s="114">
        <f>IF(GEP_Aggreg!G35="-",,GEP_Aggreg!G35)</f>
        <v>21.61</v>
      </c>
      <c r="L35" s="114">
        <f>IF(GEP_Aggreg!H35="-",,GEP_Aggreg!H35*(1-0.99))</f>
        <v>0.25540000000000024</v>
      </c>
      <c r="M35" s="114">
        <f>IF(GEP_Aggreg!H35="-",,GEP_Aggreg!H35*0.99)</f>
        <v>25.284599999999998</v>
      </c>
      <c r="N35" s="114">
        <f>IF(GEP_Aggreg!$I35="-",,GEP_Aggreg!$I35*0.75)</f>
        <v>2954.2575000000002</v>
      </c>
      <c r="O35" s="114">
        <f>IF(GEP_Aggreg!$I35="-",,GEP_Aggreg!$I35*0.25)</f>
        <v>984.75250000000005</v>
      </c>
      <c r="P35" s="114">
        <f>IF(GEP_Aggreg!J35="-",,GEP_Aggreg!J35)</f>
        <v>276.32</v>
      </c>
      <c r="Q35" s="114">
        <f>IF(GEP_Aggreg!$M35="-",,GEP_Aggreg!$M35/3)</f>
        <v>227.97</v>
      </c>
      <c r="R35" s="114">
        <f>IF(GEP_Aggreg!$M35="-",,GEP_Aggreg!$M35/3)</f>
        <v>227.97</v>
      </c>
      <c r="S35" s="114">
        <f>IF(GEP_Aggreg!$M35="-",,GEP_Aggreg!$M35/3)</f>
        <v>227.97</v>
      </c>
      <c r="T35" s="114">
        <f>IF(GEP_Aggreg!$N35="-",,GEP_Aggreg!$N35/3)</f>
        <v>606.36</v>
      </c>
      <c r="U35" s="114">
        <f>IF(GEP_Aggreg!$N35="-",,GEP_Aggreg!$N35/3)</f>
        <v>606.36</v>
      </c>
      <c r="V35" s="114">
        <f>IF(GEP_Aggreg!$N35="-",,GEP_Aggreg!$N35/3)</f>
        <v>606.36</v>
      </c>
      <c r="W35" s="114">
        <f>IF(GEP_Aggreg!O35="-",IF(GEP_Aggreg!R35="-",,GEP_Aggreg!R35),IF(GEP_Aggreg!R35="-",GEP_Aggreg!O35,GEP_Aggreg!O35+GEP_Aggreg!R35))</f>
        <v>36.160000000000004</v>
      </c>
      <c r="X35" s="556"/>
      <c r="Y35" s="556"/>
      <c r="Z35" s="114">
        <f>IF(GEP_Aggreg!K35="-",,GEP_Aggreg!K35)</f>
        <v>0.79</v>
      </c>
      <c r="AA35" s="114">
        <f>IF(GEP_Aggreg!L35="-",,GEP_Aggreg!L35)</f>
        <v>42.28</v>
      </c>
      <c r="AB35" s="114">
        <f>IF(GEP_Aggreg!P35="-",,GEP_Aggreg!P35)</f>
        <v>2.0699999999999998</v>
      </c>
      <c r="AC35" s="114">
        <f>IF(GEP_Aggreg!Q35="-",,GEP_Aggreg!Q35)</f>
        <v>3.02</v>
      </c>
      <c r="AD35" s="114"/>
      <c r="AE35" s="114"/>
      <c r="AF35" s="150">
        <f t="shared" si="2"/>
        <v>9126.4400000000041</v>
      </c>
      <c r="AG35" s="150">
        <f t="shared" si="3"/>
        <v>9078.2800000000025</v>
      </c>
      <c r="AH35" s="107">
        <f>IF(G35='Table 1.1 complete'!C154,AF35-'Table 1.1 complete'!E154,"error")</f>
        <v>4.0000000004511094E-2</v>
      </c>
      <c r="AI35" s="114">
        <f>IF(G35='Table 1.2 complete'!C154,AF35-SUM('Table 1.2 complete'!K154),"error")</f>
        <v>1.0000000003856258E-2</v>
      </c>
      <c r="AJ35" s="107">
        <f>'Table 1.2 complete'!K40-'Table 1.1 complete'!E40</f>
        <v>1.999999999998181E-2</v>
      </c>
    </row>
    <row r="36" spans="1:36" x14ac:dyDescent="0.25">
      <c r="A36" s="541" t="s">
        <v>410</v>
      </c>
      <c r="E36" s="514"/>
      <c r="F36" s="226">
        <v>99</v>
      </c>
      <c r="G36" s="228" t="s">
        <v>286</v>
      </c>
      <c r="H36" s="114">
        <f>IF(GEP_Aggreg!E36="-",,GEP_Aggreg!E36)</f>
        <v>925.32</v>
      </c>
      <c r="I36" s="114">
        <f>IF(GEP_Aggreg!F36="-",,GEP_Aggreg!F36*0.9)</f>
        <v>479.79900000000004</v>
      </c>
      <c r="J36" s="114">
        <f>IF(GEP_Aggreg!F36="-",,GEP_Aggreg!F36*0.1)</f>
        <v>53.311000000000007</v>
      </c>
      <c r="K36" s="114">
        <f>IF(GEP_Aggreg!G36="-",,GEP_Aggreg!G36)</f>
        <v>9.51</v>
      </c>
      <c r="L36" s="114">
        <f>IF(GEP_Aggreg!H36="-",,GEP_Aggreg!H36*(1-0.99))</f>
        <v>1.1193000000000011</v>
      </c>
      <c r="M36" s="114">
        <f>IF(GEP_Aggreg!H36="-",,GEP_Aggreg!H36*0.99)</f>
        <v>110.81070000000001</v>
      </c>
      <c r="N36" s="114">
        <f>IF(GEP_Aggreg!$I36="-",,GEP_Aggreg!$I36*0.75)</f>
        <v>450.32249999999999</v>
      </c>
      <c r="O36" s="114">
        <f>IF(GEP_Aggreg!$I36="-",,GEP_Aggreg!$I36*0.25)</f>
        <v>150.10749999999999</v>
      </c>
      <c r="P36" s="114">
        <f>IF(GEP_Aggreg!J36="-",,GEP_Aggreg!J36)</f>
        <v>366.37</v>
      </c>
      <c r="Q36" s="114">
        <f>IF(GEP_Aggreg!$M36="-",,GEP_Aggreg!$M36/3)</f>
        <v>36.630000000000003</v>
      </c>
      <c r="R36" s="114">
        <f>IF(GEP_Aggreg!$M36="-",,GEP_Aggreg!$M36/3)</f>
        <v>36.630000000000003</v>
      </c>
      <c r="S36" s="114">
        <f>IF(GEP_Aggreg!$M36="-",,GEP_Aggreg!$M36/3)</f>
        <v>36.630000000000003</v>
      </c>
      <c r="T36" s="114">
        <f>IF(GEP_Aggreg!$N36="-",,GEP_Aggreg!$N36/3)</f>
        <v>267.31666666666666</v>
      </c>
      <c r="U36" s="114">
        <f>IF(GEP_Aggreg!$N36="-",,GEP_Aggreg!$N36/3)</f>
        <v>267.31666666666666</v>
      </c>
      <c r="V36" s="114">
        <f>IF(GEP_Aggreg!$N36="-",,GEP_Aggreg!$N36/3)</f>
        <v>267.31666666666666</v>
      </c>
      <c r="W36" s="114">
        <f>IF(GEP_Aggreg!O36="-",IF(GEP_Aggreg!R36="-",,GEP_Aggreg!R36),IF(GEP_Aggreg!R36="-",GEP_Aggreg!O36,GEP_Aggreg!O36+GEP_Aggreg!R36))</f>
        <v>74.88</v>
      </c>
      <c r="X36" s="556"/>
      <c r="Y36" s="556"/>
      <c r="Z36" s="114">
        <f>IF(GEP_Aggreg!K36="-",,GEP_Aggreg!K36)</f>
        <v>9.93</v>
      </c>
      <c r="AA36" s="114">
        <f>IF(GEP_Aggreg!L36="-",,GEP_Aggreg!L36)</f>
        <v>35.97</v>
      </c>
      <c r="AB36" s="114">
        <f>IF(GEP_Aggreg!P36="-",,GEP_Aggreg!P36)</f>
        <v>3.96</v>
      </c>
      <c r="AC36" s="114">
        <f>IF(GEP_Aggreg!Q36="-",,GEP_Aggreg!Q36)</f>
        <v>29.25</v>
      </c>
      <c r="AD36" s="114"/>
      <c r="AE36" s="114"/>
      <c r="AF36" s="150">
        <f t="shared" si="2"/>
        <v>3612.5</v>
      </c>
      <c r="AG36" s="150">
        <f t="shared" si="3"/>
        <v>3533.3900000000003</v>
      </c>
      <c r="AH36" s="107">
        <f>IF(G36='Table 1.1 complete'!C155,AF36-'Table 1.1 complete'!E155,"error")</f>
        <v>0</v>
      </c>
      <c r="AI36" s="114">
        <f>IF(G36='Table 1.2 complete'!C155,AF36-SUM('Table 1.2 complete'!K155),"error")</f>
        <v>0</v>
      </c>
      <c r="AJ36" s="107">
        <f>'Table 1.2 complete'!K41-'Table 1.1 complete'!E41</f>
        <v>-4.0000000000020464E-2</v>
      </c>
    </row>
    <row r="37" spans="1:36" x14ac:dyDescent="0.25">
      <c r="A37" s="387" t="s">
        <v>411</v>
      </c>
      <c r="D37" s="536"/>
      <c r="E37" s="514"/>
      <c r="F37" s="226">
        <v>99</v>
      </c>
      <c r="G37" s="227" t="s">
        <v>287</v>
      </c>
      <c r="H37" s="114">
        <f>IF(GEP_Aggreg!E37="-",,GEP_Aggreg!E37)</f>
        <v>940.55</v>
      </c>
      <c r="I37" s="114">
        <f>IF(GEP_Aggreg!F37="-",,GEP_Aggreg!F37*0.9)</f>
        <v>604.20600000000002</v>
      </c>
      <c r="J37" s="114">
        <f>IF(GEP_Aggreg!F37="-",,GEP_Aggreg!F37*0.1)</f>
        <v>67.134</v>
      </c>
      <c r="K37" s="114">
        <f>IF(GEP_Aggreg!G37="-",,GEP_Aggreg!G37)</f>
        <v>24.2</v>
      </c>
      <c r="L37" s="114">
        <f>IF(GEP_Aggreg!H37="-",,GEP_Aggreg!H37*(1-0.99))</f>
        <v>0.39790000000000036</v>
      </c>
      <c r="M37" s="114">
        <f>IF(GEP_Aggreg!H37="-",,GEP_Aggreg!H37*0.99)</f>
        <v>39.392099999999999</v>
      </c>
      <c r="N37" s="114">
        <f>IF(GEP_Aggreg!$I37="-",,GEP_Aggreg!$I37*0.75)</f>
        <v>1576.0874999999999</v>
      </c>
      <c r="O37" s="114">
        <f>IF(GEP_Aggreg!$I37="-",,GEP_Aggreg!$I37*0.25)</f>
        <v>525.36249999999995</v>
      </c>
      <c r="P37" s="114">
        <f>IF(GEP_Aggreg!J37="-",,GEP_Aggreg!J37)</f>
        <v>159.99</v>
      </c>
      <c r="Q37" s="114">
        <f>IF(GEP_Aggreg!$M37="-",,GEP_Aggreg!$M37/3)</f>
        <v>46.74666666666667</v>
      </c>
      <c r="R37" s="114">
        <f>IF(GEP_Aggreg!$M37="-",,GEP_Aggreg!$M37/3)</f>
        <v>46.74666666666667</v>
      </c>
      <c r="S37" s="114">
        <f>IF(GEP_Aggreg!$M37="-",,GEP_Aggreg!$M37/3)</f>
        <v>46.74666666666667</v>
      </c>
      <c r="T37" s="114">
        <f>IF(GEP_Aggreg!$N37="-",,GEP_Aggreg!$N37/3)</f>
        <v>360.50333333333333</v>
      </c>
      <c r="U37" s="114">
        <f>IF(GEP_Aggreg!$N37="-",,GEP_Aggreg!$N37/3)</f>
        <v>360.50333333333333</v>
      </c>
      <c r="V37" s="114">
        <f>IF(GEP_Aggreg!$N37="-",,GEP_Aggreg!$N37/3)</f>
        <v>360.50333333333333</v>
      </c>
      <c r="W37" s="114">
        <f>IF(GEP_Aggreg!O37="-",IF(GEP_Aggreg!R37="-",,GEP_Aggreg!R37),IF(GEP_Aggreg!R37="-",GEP_Aggreg!O37,GEP_Aggreg!O37+GEP_Aggreg!R37))</f>
        <v>60.5</v>
      </c>
      <c r="X37" s="556"/>
      <c r="Y37" s="556"/>
      <c r="Z37" s="114">
        <f>IF(GEP_Aggreg!K37="-",,GEP_Aggreg!K37)</f>
        <v>0</v>
      </c>
      <c r="AA37" s="114">
        <f>IF(GEP_Aggreg!L37="-",,GEP_Aggreg!L37)</f>
        <v>4.33</v>
      </c>
      <c r="AB37" s="114">
        <f>IF(GEP_Aggreg!P37="-",,GEP_Aggreg!P37)</f>
        <v>5.01</v>
      </c>
      <c r="AC37" s="114">
        <f>IF(GEP_Aggreg!Q37="-",,GEP_Aggreg!Q37)</f>
        <v>17.260000000000002</v>
      </c>
      <c r="AD37" s="114"/>
      <c r="AE37" s="114"/>
      <c r="AF37" s="150">
        <f t="shared" si="2"/>
        <v>5246.17</v>
      </c>
      <c r="AG37" s="150">
        <f t="shared" si="3"/>
        <v>5219.57</v>
      </c>
      <c r="AH37" s="107">
        <f>IF(G37='Table 1.1 complete'!C156,AF37-'Table 1.1 complete'!E156,"error")</f>
        <v>-2.9999999999745341E-2</v>
      </c>
      <c r="AI37" s="114">
        <f>IF(G37='Table 1.2 complete'!C156,AF37-SUM('Table 1.2 complete'!K156),"error")</f>
        <v>2.0000000000436557E-2</v>
      </c>
      <c r="AJ37" s="107">
        <f>'Table 1.2 complete'!K42-'Table 1.1 complete'!E42</f>
        <v>5.0000000000004263E-2</v>
      </c>
    </row>
    <row r="38" spans="1:36" x14ac:dyDescent="0.25">
      <c r="A38" t="s">
        <v>380</v>
      </c>
      <c r="E38" s="514"/>
      <c r="F38" s="226">
        <v>99</v>
      </c>
      <c r="G38" s="228" t="s">
        <v>288</v>
      </c>
      <c r="H38" s="114">
        <f>IF(GEP_Aggreg!E38="-",,GEP_Aggreg!E38)</f>
        <v>406.77</v>
      </c>
      <c r="I38" s="114">
        <f>IF(GEP_Aggreg!F38="-",,GEP_Aggreg!F38*0.9)</f>
        <v>114.768</v>
      </c>
      <c r="J38" s="114">
        <f>IF(GEP_Aggreg!F38="-",,GEP_Aggreg!F38*0.1)</f>
        <v>12.752000000000001</v>
      </c>
      <c r="K38" s="114">
        <f>IF(GEP_Aggreg!G38="-",,GEP_Aggreg!G38)</f>
        <v>6.5</v>
      </c>
      <c r="L38" s="114">
        <f>IF(GEP_Aggreg!H38="-",,GEP_Aggreg!H38*(1-0.99))</f>
        <v>6.7600000000000063E-2</v>
      </c>
      <c r="M38" s="114">
        <f>IF(GEP_Aggreg!H38="-",,GEP_Aggreg!H38*0.99)</f>
        <v>6.6924000000000001</v>
      </c>
      <c r="N38" s="114">
        <f>IF(GEP_Aggreg!$I38="-",,GEP_Aggreg!$I38*0.75)</f>
        <v>425.40750000000003</v>
      </c>
      <c r="O38" s="114">
        <f>IF(GEP_Aggreg!$I38="-",,GEP_Aggreg!$I38*0.25)</f>
        <v>141.80250000000001</v>
      </c>
      <c r="P38" s="114">
        <f>IF(GEP_Aggreg!J38="-",,GEP_Aggreg!J38)</f>
        <v>57.5</v>
      </c>
      <c r="Q38" s="114">
        <f>IF(GEP_Aggreg!$M38="-",,GEP_Aggreg!$M38/3)</f>
        <v>61.213333333333331</v>
      </c>
      <c r="R38" s="114">
        <f>IF(GEP_Aggreg!$M38="-",,GEP_Aggreg!$M38/3)</f>
        <v>61.213333333333331</v>
      </c>
      <c r="S38" s="114">
        <f>IF(GEP_Aggreg!$M38="-",,GEP_Aggreg!$M38/3)</f>
        <v>61.213333333333331</v>
      </c>
      <c r="T38" s="114">
        <f>IF(GEP_Aggreg!$N38="-",,GEP_Aggreg!$N38/3)</f>
        <v>141.13</v>
      </c>
      <c r="U38" s="114">
        <f>IF(GEP_Aggreg!$N38="-",,GEP_Aggreg!$N38/3)</f>
        <v>141.13</v>
      </c>
      <c r="V38" s="114">
        <f>IF(GEP_Aggreg!$N38="-",,GEP_Aggreg!$N38/3)</f>
        <v>141.13</v>
      </c>
      <c r="W38" s="114">
        <f>IF(GEP_Aggreg!O38="-",IF(GEP_Aggreg!R38="-",,GEP_Aggreg!R38),IF(GEP_Aggreg!R38="-",GEP_Aggreg!O38,GEP_Aggreg!O38+GEP_Aggreg!R38))</f>
        <v>18.939999999999998</v>
      </c>
      <c r="X38" s="556"/>
      <c r="Y38" s="556"/>
      <c r="Z38" s="114">
        <f>IF(GEP_Aggreg!K38="-",,GEP_Aggreg!K38)</f>
        <v>0</v>
      </c>
      <c r="AA38" s="114">
        <f>IF(GEP_Aggreg!L38="-",,GEP_Aggreg!L38)</f>
        <v>54.16</v>
      </c>
      <c r="AB38" s="114">
        <f>IF(GEP_Aggreg!P38="-",,GEP_Aggreg!P38)</f>
        <v>0.44</v>
      </c>
      <c r="AC38" s="114">
        <f>IF(GEP_Aggreg!Q38="-",,GEP_Aggreg!Q38)</f>
        <v>7.03</v>
      </c>
      <c r="AD38" s="114"/>
      <c r="AE38" s="114"/>
      <c r="AF38" s="150">
        <f t="shared" si="2"/>
        <v>1859.8600000000006</v>
      </c>
      <c r="AG38" s="150">
        <f t="shared" si="3"/>
        <v>1798.2300000000005</v>
      </c>
      <c r="AH38" s="107">
        <f>IF(G38='Table 1.1 complete'!C157,AF38-'Table 1.1 complete'!E157,"error")</f>
        <v>6.0000000000627551E-2</v>
      </c>
      <c r="AI38" s="114">
        <f>IF(G38='Table 1.2 complete'!C157,AF38-SUM('Table 1.2 complete'!K157),"error")</f>
        <v>2.0000000000663931E-2</v>
      </c>
      <c r="AJ38" s="107">
        <f>'Table 1.2 complete'!K43-'Table 1.1 complete'!E43</f>
        <v>-3.0000000000001137E-2</v>
      </c>
    </row>
    <row r="39" spans="1:36" x14ac:dyDescent="0.25">
      <c r="E39" s="514"/>
      <c r="F39" s="226">
        <v>99</v>
      </c>
      <c r="G39" s="228" t="s">
        <v>289</v>
      </c>
      <c r="H39" s="114">
        <f>IF(GEP_Aggreg!E39="-",,GEP_Aggreg!E39)</f>
        <v>2272.64</v>
      </c>
      <c r="I39" s="114">
        <f>IF(GEP_Aggreg!F39="-",,GEP_Aggreg!F39*0.9)</f>
        <v>1198.7640000000001</v>
      </c>
      <c r="J39" s="114">
        <f>IF(GEP_Aggreg!F39="-",,GEP_Aggreg!F39*0.1)</f>
        <v>133.196</v>
      </c>
      <c r="K39" s="114">
        <f>IF(GEP_Aggreg!G39="-",,GEP_Aggreg!G39)</f>
        <v>40.21</v>
      </c>
      <c r="L39" s="114">
        <f>IF(GEP_Aggreg!H39="-",,GEP_Aggreg!H39*(1-0.99))</f>
        <v>1.5848000000000013</v>
      </c>
      <c r="M39" s="114">
        <f>IF(GEP_Aggreg!H39="-",,GEP_Aggreg!H39*0.99)</f>
        <v>156.89519999999999</v>
      </c>
      <c r="N39" s="114">
        <f>IF(GEP_Aggreg!$I39="-",,GEP_Aggreg!$I39*0.75)</f>
        <v>2451.8175000000001</v>
      </c>
      <c r="O39" s="114">
        <f>IF(GEP_Aggreg!$I39="-",,GEP_Aggreg!$I39*0.25)</f>
        <v>817.27250000000004</v>
      </c>
      <c r="P39" s="114">
        <f>IF(GEP_Aggreg!J39="-",,GEP_Aggreg!J39)</f>
        <v>583.85</v>
      </c>
      <c r="Q39" s="114">
        <f>IF(GEP_Aggreg!$M39="-",,GEP_Aggreg!$M39/3)</f>
        <v>144.59</v>
      </c>
      <c r="R39" s="114">
        <f>IF(GEP_Aggreg!$M39="-",,GEP_Aggreg!$M39/3)</f>
        <v>144.59</v>
      </c>
      <c r="S39" s="114">
        <f>IF(GEP_Aggreg!$M39="-",,GEP_Aggreg!$M39/3)</f>
        <v>144.59</v>
      </c>
      <c r="T39" s="114">
        <f>IF(GEP_Aggreg!$N39="-",,GEP_Aggreg!$N39/3)</f>
        <v>768.94999999999993</v>
      </c>
      <c r="U39" s="114">
        <f>IF(GEP_Aggreg!$N39="-",,GEP_Aggreg!$N39/3)</f>
        <v>768.94999999999993</v>
      </c>
      <c r="V39" s="114">
        <f>IF(GEP_Aggreg!$N39="-",,GEP_Aggreg!$N39/3)</f>
        <v>768.94999999999993</v>
      </c>
      <c r="W39" s="114">
        <f>IF(GEP_Aggreg!O39="-",IF(GEP_Aggreg!R39="-",,GEP_Aggreg!R39),IF(GEP_Aggreg!R39="-",GEP_Aggreg!O39,GEP_Aggreg!O39+GEP_Aggreg!R39))</f>
        <v>154.31</v>
      </c>
      <c r="X39" s="556"/>
      <c r="Y39" s="556"/>
      <c r="Z39" s="114">
        <f>IF(GEP_Aggreg!K39="-",,GEP_Aggreg!K39)</f>
        <v>9.93</v>
      </c>
      <c r="AA39" s="114">
        <f>IF(GEP_Aggreg!L39="-",,GEP_Aggreg!L39)</f>
        <v>94.46</v>
      </c>
      <c r="AB39" s="114">
        <f>IF(GEP_Aggreg!P39="-",,GEP_Aggreg!P39)</f>
        <v>9.41</v>
      </c>
      <c r="AC39" s="114">
        <f>IF(GEP_Aggreg!Q39="-",,GEP_Aggreg!Q39)</f>
        <v>53.55</v>
      </c>
      <c r="AD39" s="114"/>
      <c r="AE39" s="114"/>
      <c r="AF39" s="150">
        <f t="shared" si="2"/>
        <v>10718.51</v>
      </c>
      <c r="AG39" s="150">
        <f t="shared" si="3"/>
        <v>10551.160000000002</v>
      </c>
      <c r="AH39" s="107">
        <f>IF(G39='Table 1.1 complete'!C158,AF39-'Table 1.1 complete'!E158,"error")</f>
        <v>1.0000000000218279E-2</v>
      </c>
      <c r="AI39" s="114">
        <f>IF(G39='Table 1.2 complete'!C158,AF39-SUM('Table 1.2 complete'!K158),"error")</f>
        <v>2.0000000000436557E-2</v>
      </c>
      <c r="AJ39" s="107">
        <f>'Table 1.2 complete'!K44-'Table 1.1 complete'!E44</f>
        <v>-3.999999999996362E-2</v>
      </c>
    </row>
    <row r="40" spans="1:36" x14ac:dyDescent="0.25">
      <c r="E40" s="514"/>
      <c r="F40" s="226">
        <v>99</v>
      </c>
      <c r="G40" s="228" t="s">
        <v>290</v>
      </c>
      <c r="H40" s="114">
        <f>IF(GEP_Aggreg!E40="-",,GEP_Aggreg!E40)</f>
        <v>2272.64</v>
      </c>
      <c r="I40" s="114">
        <f>IF(GEP_Aggreg!F40="-",,GEP_Aggreg!F40*0.9)</f>
        <v>1198.7640000000001</v>
      </c>
      <c r="J40" s="114">
        <f>IF(GEP_Aggreg!F40="-",,GEP_Aggreg!F40*0.1)</f>
        <v>133.196</v>
      </c>
      <c r="K40" s="114">
        <f>IF(GEP_Aggreg!G40="-",,GEP_Aggreg!G40)</f>
        <v>40.21</v>
      </c>
      <c r="L40" s="114">
        <f>IF(GEP_Aggreg!H40="-",,GEP_Aggreg!H40*(1-0.99))</f>
        <v>1.5848000000000013</v>
      </c>
      <c r="M40" s="114">
        <f>IF(GEP_Aggreg!H40="-",,GEP_Aggreg!H40*0.99)</f>
        <v>156.89519999999999</v>
      </c>
      <c r="N40" s="114">
        <f>IF(GEP_Aggreg!$I40="-",,GEP_Aggreg!$I40*0.75)</f>
        <v>2451.8175000000001</v>
      </c>
      <c r="O40" s="114">
        <f>IF(GEP_Aggreg!$I40="-",,GEP_Aggreg!$I40*0.25)</f>
        <v>817.27250000000004</v>
      </c>
      <c r="P40" s="114">
        <f>IF(GEP_Aggreg!J40="-",,GEP_Aggreg!J40)</f>
        <v>583.85</v>
      </c>
      <c r="Q40" s="114">
        <f>IF(GEP_Aggreg!$M40="-",,GEP_Aggreg!$M40/3)</f>
        <v>144.59</v>
      </c>
      <c r="R40" s="114">
        <f>IF(GEP_Aggreg!$M40="-",,GEP_Aggreg!$M40/3)</f>
        <v>144.59</v>
      </c>
      <c r="S40" s="114">
        <f>IF(GEP_Aggreg!$M40="-",,GEP_Aggreg!$M40/3)</f>
        <v>144.59</v>
      </c>
      <c r="T40" s="114">
        <f>IF(GEP_Aggreg!$N40="-",,GEP_Aggreg!$N40/3)</f>
        <v>768.94999999999993</v>
      </c>
      <c r="U40" s="114">
        <f>IF(GEP_Aggreg!$N40="-",,GEP_Aggreg!$N40/3)</f>
        <v>768.94999999999993</v>
      </c>
      <c r="V40" s="114">
        <f>IF(GEP_Aggreg!$N40="-",,GEP_Aggreg!$N40/3)</f>
        <v>768.94999999999993</v>
      </c>
      <c r="W40" s="114">
        <f>IF(GEP_Aggreg!O40="-",IF(GEP_Aggreg!R40="-",,GEP_Aggreg!R40),IF(GEP_Aggreg!R40="-",GEP_Aggreg!O40,GEP_Aggreg!O40+GEP_Aggreg!R40))</f>
        <v>154.31</v>
      </c>
      <c r="X40" s="556"/>
      <c r="Y40" s="556"/>
      <c r="Z40" s="114">
        <f>IF(GEP_Aggreg!K40="-",,GEP_Aggreg!K40)</f>
        <v>9.93</v>
      </c>
      <c r="AA40" s="114">
        <f>IF(GEP_Aggreg!L40="-",,GEP_Aggreg!L40)</f>
        <v>94.46</v>
      </c>
      <c r="AB40" s="114">
        <f>IF(GEP_Aggreg!P40="-",,GEP_Aggreg!P40)</f>
        <v>9.41</v>
      </c>
      <c r="AC40" s="114">
        <f>IF(GEP_Aggreg!Q40="-",,GEP_Aggreg!Q40)</f>
        <v>53.55</v>
      </c>
      <c r="AD40" s="114"/>
      <c r="AE40" s="114"/>
      <c r="AF40" s="150">
        <f t="shared" si="2"/>
        <v>10718.51</v>
      </c>
      <c r="AG40" s="150">
        <f t="shared" si="3"/>
        <v>10551.160000000002</v>
      </c>
      <c r="AH40" s="107">
        <f>IF(G40='Table 1.1 complete'!C159,AF40-'Table 1.1 complete'!E159,"error")</f>
        <v>1.0000000000218279E-2</v>
      </c>
      <c r="AI40" s="114">
        <f>IF(G40='Table 1.2 complete'!C159,AF40-SUM('Table 1.2 complete'!K159),"error")</f>
        <v>2.0000000000436557E-2</v>
      </c>
      <c r="AJ40" s="107">
        <f>'Table 1.2 complete'!K45-'Table 1.1 complete'!E45</f>
        <v>3.999999999996362E-2</v>
      </c>
    </row>
    <row r="41" spans="1:36" x14ac:dyDescent="0.25">
      <c r="E41" s="514"/>
      <c r="F41" s="229">
        <v>99</v>
      </c>
      <c r="G41" s="230" t="s">
        <v>291</v>
      </c>
      <c r="H41" s="115">
        <f>IF(GEP_Aggreg!E41="-",,GEP_Aggreg!E41)</f>
        <v>2719.06</v>
      </c>
      <c r="I41" s="115">
        <f>IF(GEP_Aggreg!F41="-",,GEP_Aggreg!F41*0.9)</f>
        <v>2845.971</v>
      </c>
      <c r="J41" s="115">
        <f>IF(GEP_Aggreg!F41="-",,GEP_Aggreg!F41*0.1)</f>
        <v>316.21900000000005</v>
      </c>
      <c r="K41" s="115">
        <f>IF(GEP_Aggreg!G41="-",,GEP_Aggreg!G41)</f>
        <v>61.82</v>
      </c>
      <c r="L41" s="115">
        <f>IF(GEP_Aggreg!H41="-",,GEP_Aggreg!H41*(1-0.99))</f>
        <v>1.8402000000000018</v>
      </c>
      <c r="M41" s="115">
        <f>IF(GEP_Aggreg!H41="-",,GEP_Aggreg!H41*0.99)</f>
        <v>182.1798</v>
      </c>
      <c r="N41" s="115">
        <f>IF(GEP_Aggreg!$I41="-",,GEP_Aggreg!$I41*0.75)</f>
        <v>5406.0750000000007</v>
      </c>
      <c r="O41" s="115">
        <f>IF(GEP_Aggreg!$I41="-",,GEP_Aggreg!$I41*0.25)</f>
        <v>1802.0250000000001</v>
      </c>
      <c r="P41" s="115">
        <f>IF(GEP_Aggreg!J41="-",,GEP_Aggreg!J41)</f>
        <v>860.17</v>
      </c>
      <c r="Q41" s="115">
        <f>IF(GEP_Aggreg!$M41="-",,GEP_Aggreg!$M41/3)</f>
        <v>372.56</v>
      </c>
      <c r="R41" s="115">
        <f>IF(GEP_Aggreg!$M41="-",,GEP_Aggreg!$M41/3)</f>
        <v>372.56</v>
      </c>
      <c r="S41" s="115">
        <f>IF(GEP_Aggreg!$M41="-",,GEP_Aggreg!$M41/3)</f>
        <v>372.56</v>
      </c>
      <c r="T41" s="115">
        <f>IF(GEP_Aggreg!$N41="-",,GEP_Aggreg!$N41/3)</f>
        <v>1375.3100000000002</v>
      </c>
      <c r="U41" s="115">
        <f>IF(GEP_Aggreg!$N41="-",,GEP_Aggreg!$N41/3)</f>
        <v>1375.3100000000002</v>
      </c>
      <c r="V41" s="115">
        <f>IF(GEP_Aggreg!$N41="-",,GEP_Aggreg!$N41/3)</f>
        <v>1375.3100000000002</v>
      </c>
      <c r="W41" s="115">
        <f>IF(GEP_Aggreg!O41="-",IF(GEP_Aggreg!R41="-",,GEP_Aggreg!R41),IF(GEP_Aggreg!R41="-",GEP_Aggreg!O41,GEP_Aggreg!O41+GEP_Aggreg!R41))</f>
        <v>190.47</v>
      </c>
      <c r="X41" s="557"/>
      <c r="Y41" s="557"/>
      <c r="Z41" s="115">
        <f>IF(GEP_Aggreg!K41="-",,GEP_Aggreg!K41)</f>
        <v>10.72</v>
      </c>
      <c r="AA41" s="115">
        <f>IF(GEP_Aggreg!L41="-",,GEP_Aggreg!L41)</f>
        <v>136.72999999999999</v>
      </c>
      <c r="AB41" s="115">
        <f>IF(GEP_Aggreg!P41="-",,GEP_Aggreg!P41)</f>
        <v>11.47</v>
      </c>
      <c r="AC41" s="115">
        <f>IF(GEP_Aggreg!Q41="-",,GEP_Aggreg!Q41)</f>
        <v>56.56</v>
      </c>
      <c r="AD41" s="115"/>
      <c r="AE41" s="115"/>
      <c r="AF41" s="151">
        <f>SUM(H41:AC41)</f>
        <v>19844.920000000006</v>
      </c>
      <c r="AG41" s="151">
        <f t="shared" si="3"/>
        <v>19629.440000000002</v>
      </c>
      <c r="AH41" s="108">
        <f>IF(G41='Table 1.1 complete'!C160,AF41-'Table 1.1 complete'!E160,"error")</f>
        <v>2.0000000004074536E-2</v>
      </c>
      <c r="AI41" s="115">
        <f>IF(G41='Table 1.2 complete'!C160,AF41-SUM('Table 1.2 complete'!K160),"error")</f>
        <v>7.2759576141834259E-12</v>
      </c>
      <c r="AJ41" s="108">
        <f>'Table 1.2 complete'!K46-'Table 1.1 complete'!E46</f>
        <v>3.0000000000086402E-2</v>
      </c>
    </row>
    <row r="42" spans="1:36" ht="15" customHeight="1" x14ac:dyDescent="0.25">
      <c r="E42" s="514"/>
      <c r="X42" s="825"/>
      <c r="Y42" s="825"/>
    </row>
    <row r="43" spans="1:36" x14ac:dyDescent="0.25">
      <c r="E43" s="514"/>
      <c r="X43" s="825"/>
      <c r="Y43" s="825"/>
    </row>
    <row r="44" spans="1:36" x14ac:dyDescent="0.25">
      <c r="E44" s="514"/>
      <c r="X44" s="825"/>
      <c r="Y44" s="825"/>
    </row>
    <row r="45" spans="1:36" x14ac:dyDescent="0.25">
      <c r="E45" s="514"/>
      <c r="X45" s="825"/>
      <c r="Y45" s="825"/>
    </row>
    <row r="46" spans="1:36" x14ac:dyDescent="0.25">
      <c r="E46" s="514"/>
      <c r="X46" s="825"/>
      <c r="Y46" s="825"/>
    </row>
    <row r="47" spans="1:36" x14ac:dyDescent="0.25">
      <c r="E47" s="514"/>
      <c r="X47" s="825"/>
      <c r="Y47" s="825"/>
    </row>
    <row r="48" spans="1:36" x14ac:dyDescent="0.25">
      <c r="E48" s="514"/>
      <c r="X48" s="825"/>
      <c r="Y48" s="825"/>
    </row>
    <row r="49" spans="5:25" x14ac:dyDescent="0.25">
      <c r="E49" s="514"/>
      <c r="X49" s="825"/>
      <c r="Y49" s="825"/>
    </row>
    <row r="50" spans="5:25" x14ac:dyDescent="0.25">
      <c r="E50" s="514"/>
      <c r="X50" s="825"/>
      <c r="Y50" s="825"/>
    </row>
    <row r="51" spans="5:25" x14ac:dyDescent="0.25">
      <c r="X51" s="825"/>
      <c r="Y51" s="825"/>
    </row>
    <row r="52" spans="5:25" x14ac:dyDescent="0.25">
      <c r="X52" s="825"/>
      <c r="Y52" s="825"/>
    </row>
  </sheetData>
  <mergeCells count="23">
    <mergeCell ref="X8:Y8"/>
    <mergeCell ref="X42:X52"/>
    <mergeCell ref="Y42:Y52"/>
    <mergeCell ref="AH6:AJ6"/>
    <mergeCell ref="N7:P7"/>
    <mergeCell ref="Q7:V7"/>
    <mergeCell ref="AG7:AG9"/>
    <mergeCell ref="C8:E8"/>
    <mergeCell ref="I8:J8"/>
    <mergeCell ref="L8:M8"/>
    <mergeCell ref="N8:O8"/>
    <mergeCell ref="Q8:S8"/>
    <mergeCell ref="T8:V8"/>
    <mergeCell ref="C1:E2"/>
    <mergeCell ref="H2:AE2"/>
    <mergeCell ref="H3:M3"/>
    <mergeCell ref="N3:AE3"/>
    <mergeCell ref="H4:AE4"/>
    <mergeCell ref="H5:H7"/>
    <mergeCell ref="I5:M7"/>
    <mergeCell ref="N5:AE5"/>
    <mergeCell ref="N6:V6"/>
    <mergeCell ref="W6:AE7"/>
  </mergeCells>
  <conditionalFormatting sqref="AH10:AJ16 AH18:AJ41">
    <cfRule type="cellIs" dxfId="184" priority="62" operator="lessThan">
      <formula>-1</formula>
    </cfRule>
    <cfRule type="cellIs" dxfId="183" priority="63" operator="greaterThan">
      <formula>1</formula>
    </cfRule>
    <cfRule type="cellIs" dxfId="182" priority="69" operator="lessThan">
      <formula>-0.04</formula>
    </cfRule>
    <cfRule type="cellIs" dxfId="181" priority="70" operator="greaterThan">
      <formula>0.04</formula>
    </cfRule>
  </conditionalFormatting>
  <conditionalFormatting sqref="X18:Y41 Z18:AE26 H24:W26 H10:AE16">
    <cfRule type="cellIs" dxfId="180" priority="68" operator="equal">
      <formula>"error"</formula>
    </cfRule>
  </conditionalFormatting>
  <conditionalFormatting sqref="H10:AJ13 X18:AJ23 H24:AJ41 I14:AJ16">
    <cfRule type="cellIs" dxfId="179" priority="67" operator="equal">
      <formula>0</formula>
    </cfRule>
  </conditionalFormatting>
  <conditionalFormatting sqref="B10:B16 B18:B26">
    <cfRule type="cellIs" dxfId="178" priority="64" operator="equal">
      <formula>0</formula>
    </cfRule>
    <cfRule type="cellIs" dxfId="177" priority="65" operator="lessThan">
      <formula>0</formula>
    </cfRule>
    <cfRule type="cellIs" dxfId="176" priority="66" operator="greaterThan">
      <formula>0</formula>
    </cfRule>
  </conditionalFormatting>
  <conditionalFormatting sqref="H18:Q18 S18:W21 N19:Q21 H19:H21">
    <cfRule type="cellIs" dxfId="175" priority="61" operator="equal">
      <formula>"error"</formula>
    </cfRule>
  </conditionalFormatting>
  <conditionalFormatting sqref="H18:Q18 S18:W21 N19:Q21 H19:H21">
    <cfRule type="cellIs" dxfId="174" priority="60" operator="equal">
      <formula>0</formula>
    </cfRule>
  </conditionalFormatting>
  <conditionalFormatting sqref="R18:R21">
    <cfRule type="cellIs" dxfId="173" priority="59" operator="equal">
      <formula>"error"</formula>
    </cfRule>
  </conditionalFormatting>
  <conditionalFormatting sqref="R18:R21">
    <cfRule type="cellIs" dxfId="172" priority="58" operator="equal">
      <formula>0</formula>
    </cfRule>
  </conditionalFormatting>
  <conditionalFormatting sqref="H23 S23:W23 N23:Q23">
    <cfRule type="cellIs" dxfId="171" priority="57" operator="equal">
      <formula>"error"</formula>
    </cfRule>
  </conditionalFormatting>
  <conditionalFormatting sqref="H23 S23:W23 N23:Q23">
    <cfRule type="cellIs" dxfId="170" priority="56" operator="equal">
      <formula>0</formula>
    </cfRule>
  </conditionalFormatting>
  <conditionalFormatting sqref="R23">
    <cfRule type="cellIs" dxfId="169" priority="55" operator="equal">
      <formula>"error"</formula>
    </cfRule>
  </conditionalFormatting>
  <conditionalFormatting sqref="R23">
    <cfRule type="cellIs" dxfId="168" priority="54" operator="equal">
      <formula>0</formula>
    </cfRule>
  </conditionalFormatting>
  <conditionalFormatting sqref="S22:W22 N22:Q22">
    <cfRule type="cellIs" dxfId="167" priority="53" operator="equal">
      <formula>"error"</formula>
    </cfRule>
  </conditionalFormatting>
  <conditionalFormatting sqref="S22:W22 N22:Q22">
    <cfRule type="cellIs" dxfId="166" priority="52" operator="equal">
      <formula>0</formula>
    </cfRule>
  </conditionalFormatting>
  <conditionalFormatting sqref="R22">
    <cfRule type="cellIs" dxfId="165" priority="51" operator="equal">
      <formula>"error"</formula>
    </cfRule>
  </conditionalFormatting>
  <conditionalFormatting sqref="R22">
    <cfRule type="cellIs" dxfId="164" priority="50" operator="equal">
      <formula>0</formula>
    </cfRule>
  </conditionalFormatting>
  <conditionalFormatting sqref="M20:M22">
    <cfRule type="cellIs" dxfId="163" priority="35" operator="equal">
      <formula>"error"</formula>
    </cfRule>
  </conditionalFormatting>
  <conditionalFormatting sqref="M20:M22">
    <cfRule type="cellIs" dxfId="162" priority="34" operator="equal">
      <formula>0</formula>
    </cfRule>
  </conditionalFormatting>
  <conditionalFormatting sqref="L20:L22">
    <cfRule type="cellIs" dxfId="161" priority="33" operator="equal">
      <formula>"error"</formula>
    </cfRule>
  </conditionalFormatting>
  <conditionalFormatting sqref="L20:L22">
    <cfRule type="cellIs" dxfId="160" priority="32" operator="equal">
      <formula>0</formula>
    </cfRule>
  </conditionalFormatting>
  <conditionalFormatting sqref="I19:M19">
    <cfRule type="cellIs" dxfId="159" priority="49" operator="equal">
      <formula>"error"</formula>
    </cfRule>
  </conditionalFormatting>
  <conditionalFormatting sqref="I19:M19">
    <cfRule type="cellIs" dxfId="158" priority="48" operator="equal">
      <formula>0</formula>
    </cfRule>
  </conditionalFormatting>
  <conditionalFormatting sqref="I23:J23">
    <cfRule type="cellIs" dxfId="157" priority="47" operator="equal">
      <formula>"error"</formula>
    </cfRule>
  </conditionalFormatting>
  <conditionalFormatting sqref="I23:J23">
    <cfRule type="cellIs" dxfId="156" priority="46" operator="equal">
      <formula>0</formula>
    </cfRule>
  </conditionalFormatting>
  <conditionalFormatting sqref="K23">
    <cfRule type="cellIs" dxfId="155" priority="45" operator="equal">
      <formula>"error"</formula>
    </cfRule>
  </conditionalFormatting>
  <conditionalFormatting sqref="K23">
    <cfRule type="cellIs" dxfId="154" priority="44" operator="equal">
      <formula>0</formula>
    </cfRule>
  </conditionalFormatting>
  <conditionalFormatting sqref="M23">
    <cfRule type="cellIs" dxfId="153" priority="43" operator="equal">
      <formula>"error"</formula>
    </cfRule>
  </conditionalFormatting>
  <conditionalFormatting sqref="M23">
    <cfRule type="cellIs" dxfId="152" priority="42" operator="equal">
      <formula>0</formula>
    </cfRule>
  </conditionalFormatting>
  <conditionalFormatting sqref="L23">
    <cfRule type="cellIs" dxfId="151" priority="41" operator="equal">
      <formula>"error"</formula>
    </cfRule>
  </conditionalFormatting>
  <conditionalFormatting sqref="L23">
    <cfRule type="cellIs" dxfId="150" priority="40" operator="equal">
      <formula>0</formula>
    </cfRule>
  </conditionalFormatting>
  <conditionalFormatting sqref="I20:J22 H22">
    <cfRule type="cellIs" dxfId="149" priority="39" operator="equal">
      <formula>"error"</formula>
    </cfRule>
  </conditionalFormatting>
  <conditionalFormatting sqref="I20:J22 H22">
    <cfRule type="cellIs" dxfId="148" priority="38" operator="equal">
      <formula>0</formula>
    </cfRule>
  </conditionalFormatting>
  <conditionalFormatting sqref="K20:K22">
    <cfRule type="cellIs" dxfId="147" priority="37" operator="equal">
      <formula>"error"</formula>
    </cfRule>
  </conditionalFormatting>
  <conditionalFormatting sqref="K20:K22">
    <cfRule type="cellIs" dxfId="146" priority="36" operator="equal">
      <formula>0</formula>
    </cfRule>
  </conditionalFormatting>
  <conditionalFormatting sqref="AH17:AJ17">
    <cfRule type="cellIs" dxfId="145" priority="23" operator="lessThan">
      <formula>-1</formula>
    </cfRule>
    <cfRule type="cellIs" dxfId="144" priority="24" operator="greaterThan">
      <formula>1</formula>
    </cfRule>
    <cfRule type="cellIs" dxfId="143" priority="30" operator="lessThan">
      <formula>-0.04</formula>
    </cfRule>
    <cfRule type="cellIs" dxfId="142" priority="31" operator="greaterThan">
      <formula>0.04</formula>
    </cfRule>
  </conditionalFormatting>
  <conditionalFormatting sqref="X17:AE17">
    <cfRule type="cellIs" dxfId="141" priority="29" operator="equal">
      <formula>"error"</formula>
    </cfRule>
  </conditionalFormatting>
  <conditionalFormatting sqref="X17:AJ17">
    <cfRule type="cellIs" dxfId="140" priority="28" operator="equal">
      <formula>0</formula>
    </cfRule>
  </conditionalFormatting>
  <conditionalFormatting sqref="B17">
    <cfRule type="cellIs" dxfId="139" priority="25" operator="equal">
      <formula>0</formula>
    </cfRule>
    <cfRule type="cellIs" dxfId="138" priority="26" operator="lessThan">
      <formula>0</formula>
    </cfRule>
    <cfRule type="cellIs" dxfId="137" priority="27" operator="greaterThan">
      <formula>0</formula>
    </cfRule>
  </conditionalFormatting>
  <conditionalFormatting sqref="N17 Q17:V17">
    <cfRule type="cellIs" dxfId="136" priority="22" operator="equal">
      <formula>"error"</formula>
    </cfRule>
  </conditionalFormatting>
  <conditionalFormatting sqref="N17 Q17:V17">
    <cfRule type="cellIs" dxfId="135" priority="21" operator="equal">
      <formula>0</formula>
    </cfRule>
  </conditionalFormatting>
  <conditionalFormatting sqref="I17:J17">
    <cfRule type="cellIs" dxfId="134" priority="20" operator="equal">
      <formula>"error"</formula>
    </cfRule>
  </conditionalFormatting>
  <conditionalFormatting sqref="I17:J17">
    <cfRule type="cellIs" dxfId="133" priority="19" operator="equal">
      <formula>0</formula>
    </cfRule>
  </conditionalFormatting>
  <conditionalFormatting sqref="K17">
    <cfRule type="cellIs" dxfId="132" priority="18" operator="equal">
      <formula>"error"</formula>
    </cfRule>
  </conditionalFormatting>
  <conditionalFormatting sqref="K17">
    <cfRule type="cellIs" dxfId="131" priority="17" operator="equal">
      <formula>0</formula>
    </cfRule>
  </conditionalFormatting>
  <conditionalFormatting sqref="M17">
    <cfRule type="cellIs" dxfId="130" priority="16" operator="equal">
      <formula>"error"</formula>
    </cfRule>
  </conditionalFormatting>
  <conditionalFormatting sqref="M17">
    <cfRule type="cellIs" dxfId="129" priority="15" operator="equal">
      <formula>0</formula>
    </cfRule>
  </conditionalFormatting>
  <conditionalFormatting sqref="L17">
    <cfRule type="cellIs" dxfId="128" priority="14" operator="equal">
      <formula>"error"</formula>
    </cfRule>
  </conditionalFormatting>
  <conditionalFormatting sqref="L17">
    <cfRule type="cellIs" dxfId="127" priority="13" operator="equal">
      <formula>0</formula>
    </cfRule>
  </conditionalFormatting>
  <conditionalFormatting sqref="O17">
    <cfRule type="cellIs" dxfId="126" priority="12" operator="equal">
      <formula>"error"</formula>
    </cfRule>
  </conditionalFormatting>
  <conditionalFormatting sqref="O17">
    <cfRule type="cellIs" dxfId="125" priority="11" operator="equal">
      <formula>0</formula>
    </cfRule>
  </conditionalFormatting>
  <conditionalFormatting sqref="P17">
    <cfRule type="cellIs" dxfId="124" priority="10" operator="equal">
      <formula>"error"</formula>
    </cfRule>
  </conditionalFormatting>
  <conditionalFormatting sqref="P17">
    <cfRule type="cellIs" dxfId="123" priority="9" operator="equal">
      <formula>0</formula>
    </cfRule>
  </conditionalFormatting>
  <conditionalFormatting sqref="W17">
    <cfRule type="cellIs" dxfId="122" priority="8" operator="equal">
      <formula>"error"</formula>
    </cfRule>
  </conditionalFormatting>
  <conditionalFormatting sqref="W17">
    <cfRule type="cellIs" dxfId="121" priority="7" operator="equal">
      <formula>0</formula>
    </cfRule>
  </conditionalFormatting>
  <conditionalFormatting sqref="H17">
    <cfRule type="cellIs" dxfId="120" priority="6" operator="equal">
      <formula>"error"</formula>
    </cfRule>
  </conditionalFormatting>
  <conditionalFormatting sqref="H17">
    <cfRule type="cellIs" dxfId="119" priority="5" operator="equal">
      <formula>0</formula>
    </cfRule>
  </conditionalFormatting>
  <conditionalFormatting sqref="C10:C26">
    <cfRule type="cellIs" dxfId="118" priority="3" operator="between">
      <formula>0.66</formula>
      <formula>0.74</formula>
    </cfRule>
  </conditionalFormatting>
  <conditionalFormatting sqref="D10:D26">
    <cfRule type="cellIs" dxfId="117" priority="2" operator="between">
      <formula>0.21</formula>
      <formula>0.29</formula>
    </cfRule>
  </conditionalFormatting>
  <conditionalFormatting sqref="E10:E26">
    <cfRule type="cellIs" dxfId="116" priority="1" operator="between">
      <formula>0.04</formula>
      <formula>0.06</formula>
    </cfRule>
  </conditionalFormatting>
  <hyperlinks>
    <hyperlink ref="A34" r:id="rId1"/>
    <hyperlink ref="A32" r:id="rId2"/>
    <hyperlink ref="A33" r:id="rId3"/>
    <hyperlink ref="A35" r:id="rId4"/>
    <hyperlink ref="A36" r:id="rId5"/>
    <hyperlink ref="A37" r:id="rId6"/>
  </hyperlinks>
  <pageMargins left="0.7" right="0.7" top="0.78740157499999996" bottom="0.78740157499999996" header="0.3" footer="0.3"/>
  <pageSetup paperSize="9" scale="29" orientation="portrait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J52"/>
  <sheetViews>
    <sheetView zoomScale="80" zoomScaleNormal="80" workbookViewId="0">
      <selection activeCell="M44" sqref="M44"/>
    </sheetView>
  </sheetViews>
  <sheetFormatPr baseColWidth="10" defaultRowHeight="15" x14ac:dyDescent="0.25"/>
  <cols>
    <col min="1" max="1" width="33.28515625" customWidth="1"/>
    <col min="2" max="2" width="5.28515625" customWidth="1"/>
    <col min="3" max="5" width="11.5703125" customWidth="1"/>
    <col min="6" max="6" width="14.42578125" customWidth="1"/>
    <col min="7" max="7" width="9.42578125" style="55" customWidth="1"/>
    <col min="8" max="8" width="10.28515625" bestFit="1" customWidth="1"/>
    <col min="9" max="9" width="8.85546875" bestFit="1" customWidth="1"/>
    <col min="10" max="10" width="9.42578125" bestFit="1" customWidth="1"/>
    <col min="11" max="11" width="8.7109375" customWidth="1"/>
    <col min="12" max="12" width="10.5703125" customWidth="1"/>
    <col min="13" max="13" width="10" customWidth="1"/>
    <col min="14" max="15" width="8.7109375" bestFit="1" customWidth="1"/>
    <col min="16" max="16" width="9.7109375" customWidth="1"/>
    <col min="17" max="17" width="7.140625" bestFit="1" customWidth="1"/>
    <col min="18" max="18" width="8.42578125" bestFit="1" customWidth="1"/>
    <col min="19" max="19" width="7.5703125" customWidth="1"/>
    <col min="20" max="20" width="8.7109375" bestFit="1" customWidth="1"/>
    <col min="21" max="22" width="8.42578125" bestFit="1" customWidth="1"/>
    <col min="23" max="23" width="9.7109375" customWidth="1"/>
    <col min="24" max="26" width="5.85546875" customWidth="1"/>
    <col min="27" max="27" width="7.140625" bestFit="1" customWidth="1"/>
    <col min="28" max="31" width="5.85546875" customWidth="1"/>
    <col min="32" max="32" width="13.5703125" style="152" bestFit="1" customWidth="1"/>
    <col min="33" max="33" width="13.42578125" style="152" customWidth="1"/>
    <col min="34" max="35" width="17.7109375" bestFit="1" customWidth="1"/>
    <col min="36" max="36" width="20.5703125" customWidth="1"/>
  </cols>
  <sheetData>
    <row r="1" spans="1:36" s="86" customFormat="1" ht="18.75" customHeight="1" x14ac:dyDescent="0.25">
      <c r="A1" s="537"/>
      <c r="B1" s="537"/>
      <c r="C1" s="820" t="s">
        <v>347</v>
      </c>
      <c r="D1" s="820"/>
      <c r="E1" s="821"/>
      <c r="G1" s="153"/>
      <c r="H1" s="540" t="s">
        <v>408</v>
      </c>
      <c r="L1" s="351"/>
      <c r="M1" s="567"/>
      <c r="N1" s="568"/>
      <c r="O1" s="568"/>
      <c r="P1" s="568"/>
      <c r="Q1" s="568"/>
      <c r="R1" s="569" t="s">
        <v>429</v>
      </c>
      <c r="S1" s="566">
        <f>1-Y1</f>
        <v>0.99</v>
      </c>
      <c r="T1" s="570"/>
      <c r="U1" s="570"/>
      <c r="V1" s="570"/>
      <c r="W1" s="570"/>
      <c r="X1" s="571" t="s">
        <v>428</v>
      </c>
      <c r="Y1" s="566">
        <v>0.01</v>
      </c>
      <c r="AF1" s="146"/>
      <c r="AG1" s="146"/>
    </row>
    <row r="2" spans="1:36" x14ac:dyDescent="0.25">
      <c r="A2" s="537"/>
      <c r="B2" s="537"/>
      <c r="C2" s="820"/>
      <c r="D2" s="820"/>
      <c r="E2" s="821"/>
      <c r="F2" s="154"/>
      <c r="G2" s="153"/>
      <c r="H2" s="790" t="s">
        <v>269</v>
      </c>
      <c r="I2" s="790"/>
      <c r="J2" s="790"/>
      <c r="K2" s="790"/>
      <c r="L2" s="790"/>
      <c r="M2" s="790"/>
      <c r="N2" s="790"/>
      <c r="O2" s="790"/>
      <c r="P2" s="790"/>
      <c r="Q2" s="790"/>
      <c r="R2" s="790"/>
      <c r="S2" s="790"/>
      <c r="T2" s="790"/>
      <c r="U2" s="790"/>
      <c r="V2" s="790"/>
      <c r="W2" s="790"/>
      <c r="X2" s="790"/>
      <c r="Y2" s="790"/>
      <c r="Z2" s="790"/>
      <c r="AA2" s="790"/>
      <c r="AB2" s="790"/>
      <c r="AC2" s="790"/>
      <c r="AD2" s="790"/>
      <c r="AE2" s="790"/>
      <c r="AF2" s="146"/>
      <c r="AG2" s="146"/>
      <c r="AH2" s="270" t="s">
        <v>309</v>
      </c>
      <c r="AI2" s="86"/>
      <c r="AJ2" s="86"/>
    </row>
    <row r="3" spans="1:36" x14ac:dyDescent="0.25">
      <c r="A3" s="373" t="s">
        <v>354</v>
      </c>
      <c r="C3" s="381" t="s">
        <v>349</v>
      </c>
      <c r="D3" s="377"/>
      <c r="E3" s="379"/>
      <c r="F3" s="154"/>
      <c r="G3" s="153"/>
      <c r="H3" s="792" t="s">
        <v>267</v>
      </c>
      <c r="I3" s="792"/>
      <c r="J3" s="792"/>
      <c r="K3" s="792"/>
      <c r="L3" s="792"/>
      <c r="M3" s="792"/>
      <c r="N3" s="792" t="s">
        <v>268</v>
      </c>
      <c r="O3" s="792"/>
      <c r="P3" s="792"/>
      <c r="Q3" s="792"/>
      <c r="R3" s="792"/>
      <c r="S3" s="792"/>
      <c r="T3" s="792"/>
      <c r="U3" s="792"/>
      <c r="V3" s="792"/>
      <c r="W3" s="792"/>
      <c r="X3" s="792"/>
      <c r="Y3" s="792"/>
      <c r="Z3" s="792"/>
      <c r="AA3" s="792"/>
      <c r="AB3" s="792"/>
      <c r="AC3" s="792"/>
      <c r="AD3" s="792"/>
      <c r="AE3" s="792"/>
      <c r="AF3" s="146"/>
      <c r="AG3" s="146"/>
      <c r="AH3" s="86"/>
      <c r="AI3" s="86"/>
      <c r="AJ3" s="86"/>
    </row>
    <row r="4" spans="1:36" ht="21.75" customHeight="1" x14ac:dyDescent="0.25">
      <c r="A4" s="386" t="s">
        <v>355</v>
      </c>
      <c r="C4" s="377" t="s">
        <v>352</v>
      </c>
      <c r="D4" s="377"/>
      <c r="E4" s="379"/>
      <c r="F4" s="154"/>
      <c r="G4" s="153"/>
      <c r="H4" s="816" t="s">
        <v>272</v>
      </c>
      <c r="I4" s="793"/>
      <c r="J4" s="793"/>
      <c r="K4" s="793"/>
      <c r="L4" s="793"/>
      <c r="M4" s="793"/>
      <c r="N4" s="793"/>
      <c r="O4" s="793"/>
      <c r="P4" s="793"/>
      <c r="Q4" s="793"/>
      <c r="R4" s="793"/>
      <c r="S4" s="793"/>
      <c r="T4" s="793"/>
      <c r="U4" s="793"/>
      <c r="V4" s="793"/>
      <c r="W4" s="793"/>
      <c r="X4" s="793"/>
      <c r="Y4" s="793"/>
      <c r="Z4" s="793"/>
      <c r="AA4" s="793"/>
      <c r="AB4" s="793"/>
      <c r="AC4" s="793"/>
      <c r="AD4" s="793"/>
      <c r="AE4" s="794"/>
      <c r="AF4" s="146"/>
      <c r="AG4" s="146"/>
      <c r="AH4" s="86"/>
      <c r="AI4" s="86"/>
      <c r="AJ4" s="86"/>
    </row>
    <row r="5" spans="1:36" ht="18" customHeight="1" x14ac:dyDescent="0.25">
      <c r="C5" s="377" t="s">
        <v>402</v>
      </c>
      <c r="D5" s="377"/>
      <c r="E5" s="379"/>
      <c r="F5" s="154" t="s">
        <v>52</v>
      </c>
      <c r="G5" s="153"/>
      <c r="H5" s="817" t="s">
        <v>257</v>
      </c>
      <c r="I5" s="795" t="s">
        <v>256</v>
      </c>
      <c r="J5" s="796"/>
      <c r="K5" s="796"/>
      <c r="L5" s="796"/>
      <c r="M5" s="797"/>
      <c r="N5" s="804" t="s">
        <v>258</v>
      </c>
      <c r="O5" s="805"/>
      <c r="P5" s="805"/>
      <c r="Q5" s="805"/>
      <c r="R5" s="805"/>
      <c r="S5" s="805"/>
      <c r="T5" s="805"/>
      <c r="U5" s="805"/>
      <c r="V5" s="805"/>
      <c r="W5" s="805"/>
      <c r="X5" s="805"/>
      <c r="Y5" s="805"/>
      <c r="Z5" s="805"/>
      <c r="AA5" s="805"/>
      <c r="AB5" s="805"/>
      <c r="AC5" s="805"/>
      <c r="AD5" s="805"/>
      <c r="AE5" s="806"/>
      <c r="AF5" s="146"/>
      <c r="AG5" s="146"/>
      <c r="AH5" s="86"/>
      <c r="AI5" s="86"/>
      <c r="AJ5" s="86"/>
    </row>
    <row r="6" spans="1:36" ht="18" customHeight="1" x14ac:dyDescent="0.25">
      <c r="A6" s="537"/>
      <c r="C6" s="378" t="s">
        <v>348</v>
      </c>
      <c r="D6" s="377"/>
      <c r="E6" s="379"/>
      <c r="F6" s="154"/>
      <c r="G6" s="153"/>
      <c r="H6" s="818"/>
      <c r="I6" s="798"/>
      <c r="J6" s="799"/>
      <c r="K6" s="799"/>
      <c r="L6" s="799"/>
      <c r="M6" s="800"/>
      <c r="N6" s="807" t="s">
        <v>342</v>
      </c>
      <c r="O6" s="808"/>
      <c r="P6" s="808"/>
      <c r="Q6" s="808"/>
      <c r="R6" s="808"/>
      <c r="S6" s="808"/>
      <c r="T6" s="808"/>
      <c r="U6" s="808"/>
      <c r="V6" s="809"/>
      <c r="W6" s="807" t="s">
        <v>343</v>
      </c>
      <c r="X6" s="808"/>
      <c r="Y6" s="808"/>
      <c r="Z6" s="808"/>
      <c r="AA6" s="808"/>
      <c r="AB6" s="808"/>
      <c r="AC6" s="808"/>
      <c r="AD6" s="808"/>
      <c r="AE6" s="809"/>
      <c r="AF6" s="146"/>
      <c r="AG6" s="146"/>
      <c r="AH6" s="729" t="s">
        <v>276</v>
      </c>
      <c r="AI6" s="730"/>
      <c r="AJ6" s="731"/>
    </row>
    <row r="7" spans="1:36" ht="17.25" customHeight="1" x14ac:dyDescent="0.25">
      <c r="A7" s="377"/>
      <c r="B7" s="377"/>
      <c r="C7" s="377"/>
      <c r="D7" s="377"/>
      <c r="E7" s="379"/>
      <c r="F7" s="154"/>
      <c r="G7" s="153"/>
      <c r="H7" s="819"/>
      <c r="I7" s="801"/>
      <c r="J7" s="802"/>
      <c r="K7" s="802"/>
      <c r="L7" s="802"/>
      <c r="M7" s="803"/>
      <c r="N7" s="813" t="s">
        <v>253</v>
      </c>
      <c r="O7" s="814"/>
      <c r="P7" s="814"/>
      <c r="Q7" s="810"/>
      <c r="R7" s="811"/>
      <c r="S7" s="811"/>
      <c r="T7" s="811"/>
      <c r="U7" s="811"/>
      <c r="V7" s="812"/>
      <c r="W7" s="810"/>
      <c r="X7" s="811"/>
      <c r="Y7" s="811"/>
      <c r="Z7" s="811"/>
      <c r="AA7" s="811"/>
      <c r="AB7" s="811"/>
      <c r="AC7" s="811"/>
      <c r="AD7" s="811"/>
      <c r="AE7" s="812"/>
      <c r="AF7" s="147"/>
      <c r="AG7" s="783" t="s">
        <v>350</v>
      </c>
      <c r="AH7" s="232" t="s">
        <v>303</v>
      </c>
      <c r="AI7" s="233" t="s">
        <v>304</v>
      </c>
      <c r="AJ7" s="144"/>
    </row>
    <row r="8" spans="1:36" ht="17.25" customHeight="1" thickBot="1" x14ac:dyDescent="0.3">
      <c r="A8" s="372"/>
      <c r="B8" s="372"/>
      <c r="C8" s="822" t="s">
        <v>415</v>
      </c>
      <c r="D8" s="823"/>
      <c r="E8" s="824"/>
      <c r="F8" s="325" t="s">
        <v>275</v>
      </c>
      <c r="G8" s="277" t="s">
        <v>262</v>
      </c>
      <c r="H8" s="278" t="s">
        <v>186</v>
      </c>
      <c r="I8" s="776" t="s">
        <v>187</v>
      </c>
      <c r="J8" s="777"/>
      <c r="K8" s="278" t="s">
        <v>188</v>
      </c>
      <c r="L8" s="776" t="s">
        <v>385</v>
      </c>
      <c r="M8" s="777"/>
      <c r="N8" s="776" t="s">
        <v>386</v>
      </c>
      <c r="O8" s="777"/>
      <c r="P8" s="278" t="s">
        <v>202</v>
      </c>
      <c r="Q8" s="776" t="s">
        <v>387</v>
      </c>
      <c r="R8" s="815"/>
      <c r="S8" s="777"/>
      <c r="T8" s="776" t="s">
        <v>388</v>
      </c>
      <c r="U8" s="815"/>
      <c r="V8" s="777"/>
      <c r="W8" s="279" t="str">
        <f>CONCATENATE(AD8," + ",AE8)</f>
        <v>Wood + Biogas liq. Biof.</v>
      </c>
      <c r="X8" s="774" t="s">
        <v>315</v>
      </c>
      <c r="Y8" s="775"/>
      <c r="Z8" s="265" t="s">
        <v>203</v>
      </c>
      <c r="AA8" s="265" t="s">
        <v>204</v>
      </c>
      <c r="AB8" s="265" t="s">
        <v>208</v>
      </c>
      <c r="AC8" s="265" t="s">
        <v>209</v>
      </c>
      <c r="AD8" s="265" t="s">
        <v>207</v>
      </c>
      <c r="AE8" s="265" t="s">
        <v>210</v>
      </c>
      <c r="AF8" s="148" t="s">
        <v>250</v>
      </c>
      <c r="AG8" s="784"/>
      <c r="AH8" s="112" t="s">
        <v>270</v>
      </c>
      <c r="AI8" s="112" t="s">
        <v>270</v>
      </c>
      <c r="AJ8" s="145" t="s">
        <v>271</v>
      </c>
    </row>
    <row r="9" spans="1:36" ht="17.25" customHeight="1" x14ac:dyDescent="0.25">
      <c r="A9" s="375" t="s">
        <v>353</v>
      </c>
      <c r="B9" s="375" t="s">
        <v>351</v>
      </c>
      <c r="C9" s="544" t="s">
        <v>414</v>
      </c>
      <c r="D9" s="544" t="s">
        <v>413</v>
      </c>
      <c r="E9" s="544" t="s">
        <v>412</v>
      </c>
      <c r="F9" s="326"/>
      <c r="G9" s="280"/>
      <c r="H9" s="281" t="s">
        <v>292</v>
      </c>
      <c r="I9" s="281" t="s">
        <v>310</v>
      </c>
      <c r="J9" s="281" t="s">
        <v>311</v>
      </c>
      <c r="K9" s="281" t="s">
        <v>294</v>
      </c>
      <c r="L9" s="281" t="s">
        <v>312</v>
      </c>
      <c r="M9" s="281" t="s">
        <v>313</v>
      </c>
      <c r="N9" s="281" t="s">
        <v>318</v>
      </c>
      <c r="O9" s="281" t="s">
        <v>314</v>
      </c>
      <c r="P9" s="281" t="s">
        <v>296</v>
      </c>
      <c r="Q9" s="281" t="s">
        <v>324</v>
      </c>
      <c r="R9" s="281" t="s">
        <v>319</v>
      </c>
      <c r="S9" s="281" t="s">
        <v>320</v>
      </c>
      <c r="T9" s="281" t="s">
        <v>321</v>
      </c>
      <c r="U9" s="281" t="s">
        <v>322</v>
      </c>
      <c r="V9" s="281" t="s">
        <v>323</v>
      </c>
      <c r="W9" s="957" t="s">
        <v>299</v>
      </c>
      <c r="X9" s="966" t="s">
        <v>316</v>
      </c>
      <c r="Y9" s="563" t="s">
        <v>317</v>
      </c>
      <c r="Z9" s="559" t="s">
        <v>308</v>
      </c>
      <c r="AA9" s="272" t="s">
        <v>307</v>
      </c>
      <c r="AB9" s="272" t="s">
        <v>301</v>
      </c>
      <c r="AC9" s="272" t="s">
        <v>301</v>
      </c>
      <c r="AD9" s="265" t="s">
        <v>299</v>
      </c>
      <c r="AE9" s="265" t="s">
        <v>299</v>
      </c>
      <c r="AF9" s="148" t="s">
        <v>325</v>
      </c>
      <c r="AG9" s="785"/>
      <c r="AH9" s="112" t="s">
        <v>270</v>
      </c>
      <c r="AI9" s="112" t="s">
        <v>270</v>
      </c>
      <c r="AJ9" s="145" t="s">
        <v>271</v>
      </c>
    </row>
    <row r="10" spans="1:36" ht="15" customHeight="1" x14ac:dyDescent="0.25">
      <c r="A10" t="s">
        <v>395</v>
      </c>
      <c r="B10" s="385">
        <f>AF10-GEP_Aggreg!S10</f>
        <v>0</v>
      </c>
      <c r="C10" s="547">
        <f t="shared" ref="C10:C26" si="0">(H10+P10+N10+W10+I10+Q10+T10+K10)/AG10</f>
        <v>0.69725929789070706</v>
      </c>
      <c r="D10" s="547">
        <f>(L10+M10+O10+R10+U10)/AG10</f>
        <v>0.25116658789154817</v>
      </c>
      <c r="E10" s="547">
        <f t="shared" ref="E10:E26" si="1">(V10+S10+J10)/AG10</f>
        <v>5.1574114217744743E-2</v>
      </c>
      <c r="F10" s="327">
        <v>1</v>
      </c>
      <c r="G10" s="283" t="s">
        <v>238</v>
      </c>
      <c r="H10" s="267">
        <f>NEWAGE!H10</f>
        <v>140.53</v>
      </c>
      <c r="I10" s="384">
        <f>NEWAGE!I10</f>
        <v>20.86</v>
      </c>
      <c r="J10" s="384">
        <f>NEWAGE!J10</f>
        <v>7.6</v>
      </c>
      <c r="K10" s="267">
        <f>NEWAGE!K10</f>
        <v>0</v>
      </c>
      <c r="L10" s="384">
        <f>NEWAGE!L10</f>
        <v>3.0899999999999963</v>
      </c>
      <c r="M10" s="384">
        <f>NEWAGE!M10</f>
        <v>39.700000000000003</v>
      </c>
      <c r="N10" s="943">
        <f>NEWAGE!N10*$S$1</f>
        <v>24.45102</v>
      </c>
      <c r="O10" s="943">
        <f>NEWAGE!O10*$S$1</f>
        <v>106.49628</v>
      </c>
      <c r="P10" s="427">
        <f>NEWAGE!P10*$S$1</f>
        <v>165.83489999999998</v>
      </c>
      <c r="Q10" s="384">
        <f>NEWAGE!Q10</f>
        <v>5.25</v>
      </c>
      <c r="R10" s="384">
        <f>NEWAGE!R10</f>
        <v>0</v>
      </c>
      <c r="S10" s="384">
        <f>NEWAGE!S10</f>
        <v>5.83</v>
      </c>
      <c r="T10" s="943">
        <f>NEWAGE!T10*$S$1</f>
        <v>49.24953</v>
      </c>
      <c r="U10" s="943">
        <f>NEWAGE!U10*$S$1</f>
        <v>4.8861449999999973</v>
      </c>
      <c r="V10" s="384">
        <f>NEWAGE!V10</f>
        <v>18.227499999999999</v>
      </c>
      <c r="W10" s="958">
        <f>NEWAGE!W10</f>
        <v>21.82</v>
      </c>
      <c r="X10" s="427">
        <f>(NEWAGE!N10+NEWAGE!P10+NEWAGE!T10)-(NEWAGE_CCS!N10+NEWAGE_CCS!P10+NEWAGE_CCS!T10)</f>
        <v>2.4195500000000152</v>
      </c>
      <c r="Y10" s="564">
        <f>(NEWAGE!O10+NEWAGE!U10)-(NEWAGE_CCS!O10+NEWAGE_CCS!U10)</f>
        <v>1.1250749999999954</v>
      </c>
      <c r="Z10" s="560">
        <f>IF(GEP_Aggreg!K10="-",,GEP_Aggreg!K10)</f>
        <v>0</v>
      </c>
      <c r="AA10" s="301">
        <f>IF(GEP_Aggreg!L10="-",,GEP_Aggreg!L10)</f>
        <v>10.78</v>
      </c>
      <c r="AB10" s="301">
        <f>IF(GEP_Aggreg!P10="-",,GEP_Aggreg!P10)</f>
        <v>0.68</v>
      </c>
      <c r="AC10" s="301">
        <f>IF(GEP_Aggreg!Q10="-",,GEP_Aggreg!Q10)</f>
        <v>8.26</v>
      </c>
      <c r="AD10" s="113"/>
      <c r="AE10" s="113"/>
      <c r="AF10" s="149">
        <f>SUM(H10:AC10)</f>
        <v>637.08999999999992</v>
      </c>
      <c r="AG10" s="149">
        <f>SUM(H10:W10)</f>
        <v>613.82537500000001</v>
      </c>
      <c r="AH10" s="106">
        <f>IF(G10='Table 1.1 complete'!C6,AF10-'Table 1.1 complete'!E6,"error")</f>
        <v>-1.0000000000104592E-2</v>
      </c>
      <c r="AI10" s="113">
        <f>IF(G10='Table 1.2 complete'!C6,AF10-'Table 1.2 complete'!K6,"error")</f>
        <v>-1.0000000000104592E-2</v>
      </c>
      <c r="AJ10" s="106">
        <f>'Table 1.2 complete'!K6-'Table 1.1 complete'!E6</f>
        <v>0</v>
      </c>
    </row>
    <row r="11" spans="1:36" x14ac:dyDescent="0.25">
      <c r="A11" t="s">
        <v>384</v>
      </c>
      <c r="B11" s="109">
        <f>AF11-GEP_Aggreg!S11</f>
        <v>0</v>
      </c>
      <c r="C11" s="546">
        <f t="shared" si="0"/>
        <v>0.88904219042282451</v>
      </c>
      <c r="D11" s="546">
        <f>(L11+M11+O11+R11+U11)/AG11</f>
        <v>6.089027553861058E-2</v>
      </c>
      <c r="E11" s="546">
        <f t="shared" si="1"/>
        <v>5.0067534038564843E-2</v>
      </c>
      <c r="F11" s="328">
        <v>2</v>
      </c>
      <c r="G11" s="284" t="s">
        <v>249</v>
      </c>
      <c r="H11" s="267">
        <f>NEWAGE!H11</f>
        <v>439.73</v>
      </c>
      <c r="I11" s="384">
        <f>NEWAGE!I11</f>
        <v>58.16</v>
      </c>
      <c r="J11" s="384">
        <f>NEWAGE!J11</f>
        <v>5.5</v>
      </c>
      <c r="K11" s="267">
        <f>NEWAGE!K11</f>
        <v>0</v>
      </c>
      <c r="L11" s="384">
        <f>NEWAGE!L11</f>
        <v>0.49000000000000021</v>
      </c>
      <c r="M11" s="384">
        <f>NEWAGE!M11</f>
        <v>4.0999999999999996</v>
      </c>
      <c r="N11" s="943">
        <f>NEWAGE!N11*$S$1</f>
        <v>0</v>
      </c>
      <c r="O11" s="943">
        <f>NEWAGE!O11*$S$1</f>
        <v>24.205500000000001</v>
      </c>
      <c r="P11" s="427">
        <f>NEWAGE!P11*$S$1</f>
        <v>0</v>
      </c>
      <c r="Q11" s="384">
        <f>NEWAGE!Q11</f>
        <v>0</v>
      </c>
      <c r="R11" s="384">
        <f>NEWAGE!R11</f>
        <v>0</v>
      </c>
      <c r="S11" s="384">
        <f>NEWAGE!S11</f>
        <v>6.16</v>
      </c>
      <c r="T11" s="943">
        <f>NEWAGE!T11*$S$1</f>
        <v>0</v>
      </c>
      <c r="U11" s="943">
        <f>NEWAGE!U11*$S$1</f>
        <v>5.4425250000000025</v>
      </c>
      <c r="V11" s="384">
        <f>NEWAGE!V11</f>
        <v>16.492499999999996</v>
      </c>
      <c r="W11" s="958">
        <f>NEWAGE!W11</f>
        <v>2.0100000000000002</v>
      </c>
      <c r="X11" s="427">
        <f>(NEWAGE!N11+NEWAGE!P11+NEWAGE!T11)-(NEWAGE_CCS!N11+NEWAGE_CCS!P11+NEWAGE_CCS!T11)</f>
        <v>0</v>
      </c>
      <c r="Y11" s="564">
        <f>(NEWAGE!O11+NEWAGE!U11)-(NEWAGE_CCS!O11+NEWAGE_CCS!U11)</f>
        <v>0.29947499999999749</v>
      </c>
      <c r="Z11" s="275">
        <f>IF(GEP_Aggreg!K11="-",,GEP_Aggreg!K11)</f>
        <v>0</v>
      </c>
      <c r="AA11" s="113">
        <f>IF(GEP_Aggreg!L11="-",,GEP_Aggreg!L11)</f>
        <v>3.75</v>
      </c>
      <c r="AB11" s="113">
        <f>IF(GEP_Aggreg!P11="-",,GEP_Aggreg!P11)</f>
        <v>0</v>
      </c>
      <c r="AC11" s="113">
        <f>IF(GEP_Aggreg!Q11="-",,GEP_Aggreg!Q11)</f>
        <v>3.51</v>
      </c>
      <c r="AD11" s="113"/>
      <c r="AE11" s="113"/>
      <c r="AF11" s="149">
        <f t="shared" ref="AF11:AF40" si="2">SUM(H11:AC11)</f>
        <v>569.85</v>
      </c>
      <c r="AG11" s="149">
        <f t="shared" ref="AG11:AG41" si="3">SUM(H11:W11)</f>
        <v>562.290525</v>
      </c>
      <c r="AH11" s="106">
        <f>IF(G11='Table 1.1 complete'!C7,AF11-'Table 1.1 complete'!E7,"error")</f>
        <v>5.0000000000068212E-2</v>
      </c>
      <c r="AI11" s="113">
        <f>IF(G11='Table 1.2 complete'!C7,AF11-'Table 1.2 complete'!K7,"error")</f>
        <v>9.9999999999909051E-3</v>
      </c>
      <c r="AJ11" s="106">
        <f>'Table 1.2 complete'!K7-'Table 1.1 complete'!E7</f>
        <v>4.0000000000077307E-2</v>
      </c>
    </row>
    <row r="12" spans="1:36" x14ac:dyDescent="0.25">
      <c r="A12" t="s">
        <v>390</v>
      </c>
      <c r="B12" s="109">
        <f>AF12-GEP_Aggreg!S12</f>
        <v>0</v>
      </c>
      <c r="C12" s="546">
        <f t="shared" si="0"/>
        <v>0.75170756231747105</v>
      </c>
      <c r="D12" s="546">
        <f t="shared" ref="D12:D26" si="4">(L12+M12+O12+R12+U12)/AG12</f>
        <v>0.19607067512058418</v>
      </c>
      <c r="E12" s="546">
        <f t="shared" si="1"/>
        <v>5.2221762561944732E-2</v>
      </c>
      <c r="F12" s="329">
        <v>3</v>
      </c>
      <c r="G12" s="285" t="s">
        <v>229</v>
      </c>
      <c r="H12" s="267">
        <f>NEWAGE!H12</f>
        <v>0</v>
      </c>
      <c r="I12" s="384">
        <f>NEWAGE!I12</f>
        <v>35.99</v>
      </c>
      <c r="J12" s="384">
        <f>NEWAGE!J12</f>
        <v>2.5</v>
      </c>
      <c r="K12" s="267">
        <f>NEWAGE!K12</f>
        <v>0</v>
      </c>
      <c r="L12" s="384">
        <f>NEWAGE!L12</f>
        <v>4.9999999999999822E-2</v>
      </c>
      <c r="M12" s="384">
        <f>NEWAGE!M12</f>
        <v>2</v>
      </c>
      <c r="N12" s="943">
        <f>NEWAGE!N12*$S$1</f>
        <v>0.31125600000000003</v>
      </c>
      <c r="O12" s="943">
        <f>NEWAGE!O12*$S$1</f>
        <v>5.8861439999999998</v>
      </c>
      <c r="P12" s="427">
        <f>NEWAGE!P12*$S$1</f>
        <v>0</v>
      </c>
      <c r="Q12" s="384">
        <f>NEWAGE!Q12</f>
        <v>0.68640000000000001</v>
      </c>
      <c r="R12" s="384">
        <f>NEWAGE!R12</f>
        <v>0</v>
      </c>
      <c r="S12" s="384">
        <f>NEWAGE!S12</f>
        <v>0.59360000000000002</v>
      </c>
      <c r="T12" s="943">
        <f>NEWAGE!T12*$S$1</f>
        <v>5.6239920000000003</v>
      </c>
      <c r="U12" s="943">
        <f>NEWAGE!U12*$S$1</f>
        <v>4.0495949999999992</v>
      </c>
      <c r="V12" s="384">
        <f>NEWAGE!V12</f>
        <v>9.8699999999999996E-2</v>
      </c>
      <c r="W12" s="958">
        <f>NEWAGE!W12</f>
        <v>3.3400000000000003</v>
      </c>
      <c r="X12" s="427">
        <f>(NEWAGE!N12+NEWAGE!P12+NEWAGE!T12)-(NEWAGE_CCS!N12+NEWAGE_CCS!P12+NEWAGE_CCS!T12)</f>
        <v>5.9952000000000005E-2</v>
      </c>
      <c r="Y12" s="564">
        <f>(NEWAGE!O12+NEWAGE!U12)-(NEWAGE_CCS!O12+NEWAGE_CCS!U12)</f>
        <v>0.10036100000000125</v>
      </c>
      <c r="Z12" s="275">
        <f>IF(GEP_Aggreg!K12="-",,GEP_Aggreg!K12)</f>
        <v>0</v>
      </c>
      <c r="AA12" s="113">
        <f>IF(GEP_Aggreg!L12="-",,GEP_Aggreg!L12)</f>
        <v>1.33</v>
      </c>
      <c r="AB12" s="113">
        <f>IF(GEP_Aggreg!P12="-",,GEP_Aggreg!P12)</f>
        <v>0.31</v>
      </c>
      <c r="AC12" s="113">
        <f>IF(GEP_Aggreg!Q12="-",,GEP_Aggreg!Q12)</f>
        <v>0.5</v>
      </c>
      <c r="AD12" s="113"/>
      <c r="AE12" s="113"/>
      <c r="AF12" s="149">
        <f t="shared" si="2"/>
        <v>63.430000000000007</v>
      </c>
      <c r="AG12" s="149">
        <f>SUM(H12:W12)</f>
        <v>61.129687000000004</v>
      </c>
      <c r="AH12" s="106">
        <f>IF(G12='Table 1.1 complete'!C8,AF12-'Table 1.1 complete'!E8,"error")</f>
        <v>3.0000000000008242E-2</v>
      </c>
      <c r="AI12" s="113">
        <f>IF(G12='Table 1.2 complete'!C8,AF12-'Table 1.2 complete'!K8,"error")</f>
        <v>7.1054273576010019E-15</v>
      </c>
      <c r="AJ12" s="106">
        <f>'Table 1.2 complete'!K8-'Table 1.1 complete'!E8</f>
        <v>3.0000000000001137E-2</v>
      </c>
    </row>
    <row r="13" spans="1:36" x14ac:dyDescent="0.25">
      <c r="A13" t="s">
        <v>389</v>
      </c>
      <c r="B13" s="109">
        <f>AF13-GEP_Aggreg!S13</f>
        <v>0</v>
      </c>
      <c r="C13" s="546">
        <f t="shared" si="0"/>
        <v>0.96247237270593944</v>
      </c>
      <c r="D13" s="546">
        <f t="shared" si="4"/>
        <v>8.4881662300638049E-3</v>
      </c>
      <c r="E13" s="546">
        <f t="shared" si="1"/>
        <v>2.9039461063996755E-2</v>
      </c>
      <c r="F13" s="330">
        <v>4</v>
      </c>
      <c r="G13" s="286" t="s">
        <v>246</v>
      </c>
      <c r="H13" s="267">
        <f>NEWAGE!H13</f>
        <v>27.93</v>
      </c>
      <c r="I13" s="384">
        <f>NEWAGE!I13</f>
        <v>35.24</v>
      </c>
      <c r="J13" s="384">
        <f>NEWAGE!J13</f>
        <v>1.5</v>
      </c>
      <c r="K13" s="267">
        <f>NEWAGE!K13</f>
        <v>0</v>
      </c>
      <c r="L13" s="384">
        <f>NEWAGE!L13</f>
        <v>0.04</v>
      </c>
      <c r="M13" s="384">
        <f>NEWAGE!M13</f>
        <v>0</v>
      </c>
      <c r="N13" s="943">
        <f>NEWAGE!N13*$S$1</f>
        <v>0</v>
      </c>
      <c r="O13" s="943">
        <f>NEWAGE!O13*$S$1</f>
        <v>0</v>
      </c>
      <c r="P13" s="427">
        <f>NEWAGE!P13*$S$1</f>
        <v>0</v>
      </c>
      <c r="Q13" s="384">
        <f>NEWAGE!Q13</f>
        <v>0</v>
      </c>
      <c r="R13" s="384">
        <f>NEWAGE!R13</f>
        <v>0</v>
      </c>
      <c r="S13" s="384">
        <f>NEWAGE!S13</f>
        <v>0.19</v>
      </c>
      <c r="T13" s="943">
        <f>NEWAGE!T13*$S$1</f>
        <v>0</v>
      </c>
      <c r="U13" s="943">
        <f>NEWAGE!U13*$S$1</f>
        <v>0.51975000000000005</v>
      </c>
      <c r="V13" s="384">
        <f>NEWAGE!V13</f>
        <v>0.22500000000000001</v>
      </c>
      <c r="W13" s="958">
        <f>NEWAGE!W13</f>
        <v>0.30000000000000004</v>
      </c>
      <c r="X13" s="427">
        <f>(NEWAGE!N13+NEWAGE!P13+NEWAGE!T13)-(NEWAGE_CCS!N13+NEWAGE_CCS!P13+NEWAGE_CCS!T13)</f>
        <v>0</v>
      </c>
      <c r="Y13" s="564">
        <f>(NEWAGE!O13+NEWAGE!U13)-(NEWAGE_CCS!O13+NEWAGE_CCS!U13)</f>
        <v>5.2499999999999769E-3</v>
      </c>
      <c r="Z13" s="275">
        <f>IF(GEP_Aggreg!K13="-",,GEP_Aggreg!K13)</f>
        <v>0</v>
      </c>
      <c r="AA13" s="113">
        <f>IF(GEP_Aggreg!L13="-",,GEP_Aggreg!L13)</f>
        <v>0</v>
      </c>
      <c r="AB13" s="113">
        <f>IF(GEP_Aggreg!P13="-",,GEP_Aggreg!P13)</f>
        <v>0.23</v>
      </c>
      <c r="AC13" s="113">
        <f>IF(GEP_Aggreg!Q13="-",,GEP_Aggreg!Q13)</f>
        <v>1.78</v>
      </c>
      <c r="AD13" s="113"/>
      <c r="AE13" s="113"/>
      <c r="AF13" s="149">
        <f t="shared" si="2"/>
        <v>67.960000000000008</v>
      </c>
      <c r="AG13" s="149">
        <f t="shared" si="3"/>
        <v>65.944749999999999</v>
      </c>
      <c r="AH13" s="106">
        <f>IF(G13='Table 1.1 complete'!C9,AF13-'Table 1.1 complete'!E9,"error")</f>
        <v>-3.9999999999992042E-2</v>
      </c>
      <c r="AI13" s="113">
        <f>IF(G13='Table 1.2 complete'!C9,AF13-'Table 1.2 complete'!K9,"error")</f>
        <v>1.0000000000005116E-2</v>
      </c>
      <c r="AJ13" s="106">
        <f>'Table 1.2 complete'!K9-'Table 1.1 complete'!E9</f>
        <v>-4.9999999999997158E-2</v>
      </c>
    </row>
    <row r="14" spans="1:36" x14ac:dyDescent="0.25">
      <c r="A14" t="s">
        <v>424</v>
      </c>
      <c r="B14" s="109">
        <f>AF14-GEP_Aggreg!S14</f>
        <v>0</v>
      </c>
      <c r="C14" s="547">
        <f t="shared" si="0"/>
        <v>0.7147221016703329</v>
      </c>
      <c r="D14" s="547">
        <f t="shared" si="4"/>
        <v>0.23809651558133157</v>
      </c>
      <c r="E14" s="547">
        <f t="shared" si="1"/>
        <v>4.7181382748335624E-2</v>
      </c>
      <c r="F14" s="332">
        <v>7</v>
      </c>
      <c r="G14" s="288" t="s">
        <v>236</v>
      </c>
      <c r="H14" s="113">
        <f>NEWAGE!H14</f>
        <v>215.68</v>
      </c>
      <c r="I14" s="947">
        <f>NEWAGE!I14</f>
        <v>90.047371300000009</v>
      </c>
      <c r="J14" s="947">
        <f>NEWAGE!J14</f>
        <v>6.7426287000000009</v>
      </c>
      <c r="K14" s="113">
        <f>NEWAGE!K14</f>
        <v>0</v>
      </c>
      <c r="L14" s="947">
        <f>NEWAGE!L14</f>
        <v>0.87000000000000099</v>
      </c>
      <c r="M14" s="947">
        <f>NEWAGE!M14</f>
        <v>20.53</v>
      </c>
      <c r="N14" s="943">
        <f>NEWAGE!N14*$S$1</f>
        <v>183.5361</v>
      </c>
      <c r="O14" s="943">
        <f>NEWAGE!O14*$S$1</f>
        <v>22.472999999999988</v>
      </c>
      <c r="P14" s="944">
        <f>NEWAGE!P14*$S$1</f>
        <v>11.2959</v>
      </c>
      <c r="Q14" s="947">
        <f>NEWAGE!Q14</f>
        <v>7.1349999999999998</v>
      </c>
      <c r="R14" s="947">
        <f>NEWAGE!R14</f>
        <v>0</v>
      </c>
      <c r="S14" s="947">
        <f>NEWAGE!S14</f>
        <v>6.0150000000000023</v>
      </c>
      <c r="T14" s="943">
        <f>NEWAGE!T14*$S$1</f>
        <v>91.718549999999993</v>
      </c>
      <c r="U14" s="943">
        <f>NEWAGE!U14*$S$1</f>
        <v>167.09022000000002</v>
      </c>
      <c r="V14" s="947">
        <f>NEWAGE!V14</f>
        <v>29.047000000000004</v>
      </c>
      <c r="W14" s="959">
        <f>NEWAGE!W14</f>
        <v>33.86</v>
      </c>
      <c r="X14" s="427">
        <f>(NEWAGE!N14+NEWAGE!P14+NEWAGE!T14)-(NEWAGE_CCS!N14+NEWAGE_CCS!P14+NEWAGE_CCS!T14)</f>
        <v>2.8944500000000062</v>
      </c>
      <c r="Y14" s="564">
        <f>(NEWAGE!O14+NEWAGE!U14)-(NEWAGE_CCS!O14+NEWAGE_CCS!U14)</f>
        <v>1.9147800000000075</v>
      </c>
      <c r="Z14" s="275">
        <f>IF(GEP_Aggreg!K14="-",,GEP_Aggreg!K14)</f>
        <v>9.9599999999999991</v>
      </c>
      <c r="AA14" s="113">
        <f>IF(GEP_Aggreg!L14="-",,GEP_Aggreg!L14)</f>
        <v>8.33</v>
      </c>
      <c r="AB14" s="113">
        <f>IF(GEP_Aggreg!P14="-",,GEP_Aggreg!P14)</f>
        <v>2.0499999999999998</v>
      </c>
      <c r="AC14" s="113">
        <f>IF(GEP_Aggreg!Q14="-",,GEP_Aggreg!Q14)</f>
        <v>9.6999999999999993</v>
      </c>
      <c r="AD14" s="113"/>
      <c r="AE14" s="113"/>
      <c r="AF14" s="149">
        <f t="shared" si="2"/>
        <v>920.89</v>
      </c>
      <c r="AG14" s="149">
        <f t="shared" si="3"/>
        <v>886.04076999999995</v>
      </c>
      <c r="AH14" s="106">
        <f>IF(G14='Table 1.1 complete'!C16,AF14-SUM('Table 1.1 complete'!E10:E21),"error")</f>
        <v>0.19000000000005457</v>
      </c>
      <c r="AI14" s="113">
        <f>IF(G14='Table 1.2 complete'!C16,AF14-SUM('Table 1.2 complete'!K10:K21),"error")</f>
        <v>8.0000000000040927E-2</v>
      </c>
      <c r="AJ14" s="106">
        <f>'Table 1.2 complete'!K12-'Table 1.1 complete'!E12</f>
        <v>-9.9999999999997868E-3</v>
      </c>
    </row>
    <row r="15" spans="1:36" x14ac:dyDescent="0.25">
      <c r="A15" t="s">
        <v>425</v>
      </c>
      <c r="B15" s="109">
        <f>AF15-GEP_Aggreg!S15</f>
        <v>0</v>
      </c>
      <c r="C15" s="547">
        <f t="shared" si="0"/>
        <v>0.70346638374290926</v>
      </c>
      <c r="D15" s="547">
        <f t="shared" si="4"/>
        <v>0.24750871781133868</v>
      </c>
      <c r="E15" s="547">
        <f t="shared" si="1"/>
        <v>4.9024898445752113E-2</v>
      </c>
      <c r="F15" s="333">
        <v>8</v>
      </c>
      <c r="G15" s="289" t="s">
        <v>235</v>
      </c>
      <c r="H15" s="113">
        <f>NEWAGE!H15</f>
        <v>60.800000000000004</v>
      </c>
      <c r="I15" s="947">
        <f>NEWAGE!I15</f>
        <v>80.703599999999994</v>
      </c>
      <c r="J15" s="947">
        <f>NEWAGE!J15</f>
        <v>10.086400000000001</v>
      </c>
      <c r="K15" s="113">
        <f>NEWAGE!K15</f>
        <v>5.7700000000000005</v>
      </c>
      <c r="L15" s="947">
        <f>NEWAGE!L15</f>
        <v>2.0100400000000036</v>
      </c>
      <c r="M15" s="947">
        <f>NEWAGE!M15</f>
        <v>37.339959999999998</v>
      </c>
      <c r="N15" s="943">
        <f>NEWAGE!N15*$S$1</f>
        <v>107.8506</v>
      </c>
      <c r="O15" s="943">
        <f>NEWAGE!O15*$S$1</f>
        <v>15.087600000000009</v>
      </c>
      <c r="P15" s="944">
        <f>NEWAGE!P15*$S$1</f>
        <v>47.529899999999998</v>
      </c>
      <c r="Q15" s="947">
        <f>NEWAGE!Q15</f>
        <v>52.53</v>
      </c>
      <c r="R15" s="947">
        <f>NEWAGE!R15</f>
        <v>13.72749999999999</v>
      </c>
      <c r="S15" s="947">
        <f>NEWAGE!S15</f>
        <v>11.692499999999997</v>
      </c>
      <c r="T15" s="943">
        <f>NEWAGE!T15*$S$1</f>
        <v>161.57691</v>
      </c>
      <c r="U15" s="943">
        <f>NEWAGE!U15*$S$1</f>
        <v>116.39726999999998</v>
      </c>
      <c r="V15" s="947">
        <f>NEWAGE!V15</f>
        <v>14.777999999999999</v>
      </c>
      <c r="W15" s="959">
        <f>NEWAGE!W15</f>
        <v>7.8000000000000007</v>
      </c>
      <c r="X15" s="427">
        <f>(NEWAGE!N15+NEWAGE!P15+NEWAGE!T15)-(NEWAGE_CCS!N15+NEWAGE_CCS!P15+NEWAGE_CCS!T15)</f>
        <v>3.2015900000000101</v>
      </c>
      <c r="Y15" s="564">
        <f>(NEWAGE!O15+NEWAGE!U15)-(NEWAGE_CCS!O15+NEWAGE_CCS!U15)</f>
        <v>1.3281299999999874</v>
      </c>
      <c r="Z15" s="275">
        <f>IF(GEP_Aggreg!K15="-",,GEP_Aggreg!K15)</f>
        <v>0</v>
      </c>
      <c r="AA15" s="113">
        <f>IF(GEP_Aggreg!L15="-",,GEP_Aggreg!L15)</f>
        <v>6.91</v>
      </c>
      <c r="AB15" s="113">
        <f>IF(GEP_Aggreg!P15="-",,GEP_Aggreg!P15)</f>
        <v>0.23</v>
      </c>
      <c r="AC15" s="113">
        <f>IF(GEP_Aggreg!Q15="-",,GEP_Aggreg!Q15)</f>
        <v>5.04</v>
      </c>
      <c r="AD15" s="113"/>
      <c r="AE15" s="113"/>
      <c r="AF15" s="149">
        <f t="shared" si="2"/>
        <v>762.38999999999987</v>
      </c>
      <c r="AG15" s="149">
        <f t="shared" si="3"/>
        <v>745.68027999999993</v>
      </c>
      <c r="AH15" s="106">
        <f>IF(G15='Table 1.1 complete'!C22,AF15-SUM('Table 1.1 complete'!E22:E29),"error")</f>
        <v>-1.0000000000218279E-2</v>
      </c>
      <c r="AI15" s="113">
        <f>IF(G15='Table 1.2 complete'!C22,AF15-SUM('Table 1.2 complete'!K22:K29),"error")</f>
        <v>-2.2737367544323206E-13</v>
      </c>
      <c r="AJ15" s="106">
        <f>'Table 1.2 complete'!K13-'Table 1.1 complete'!E13</f>
        <v>4.9999999999997158E-2</v>
      </c>
    </row>
    <row r="16" spans="1:36" x14ac:dyDescent="0.25">
      <c r="A16" t="s">
        <v>394</v>
      </c>
      <c r="B16" s="109">
        <f>AF16-GEP_Aggreg!S16</f>
        <v>0</v>
      </c>
      <c r="C16" s="547">
        <f t="shared" si="0"/>
        <v>0.71548627025650491</v>
      </c>
      <c r="D16" s="547">
        <f t="shared" si="4"/>
        <v>0.22971331498206454</v>
      </c>
      <c r="E16" s="547">
        <f t="shared" si="1"/>
        <v>5.480041476143048E-2</v>
      </c>
      <c r="F16" s="334">
        <v>9</v>
      </c>
      <c r="G16" s="290" t="s">
        <v>233</v>
      </c>
      <c r="H16" s="113">
        <f>NEWAGE!H16</f>
        <v>78.53</v>
      </c>
      <c r="I16" s="947">
        <f>NEWAGE!I16</f>
        <v>28.016677400000003</v>
      </c>
      <c r="J16" s="947">
        <f>NEWAGE!J16</f>
        <v>1.4733226000000001</v>
      </c>
      <c r="K16" s="113">
        <f>NEWAGE!K16</f>
        <v>0</v>
      </c>
      <c r="L16" s="947">
        <f>NEWAGE!L16</f>
        <v>0.10206966000000006</v>
      </c>
      <c r="M16" s="947">
        <f>NEWAGE!M16</f>
        <v>0.76793034000000004</v>
      </c>
      <c r="N16" s="943">
        <f>NEWAGE!N16*$S$1</f>
        <v>24.924982500000002</v>
      </c>
      <c r="O16" s="943">
        <f>NEWAGE!O16*$S$1</f>
        <v>75.906517500000007</v>
      </c>
      <c r="P16" s="944">
        <f>NEWAGE!P16*$S$1</f>
        <v>155.58840000000001</v>
      </c>
      <c r="Q16" s="947">
        <f>NEWAGE!Q16</f>
        <v>0.45119999999999999</v>
      </c>
      <c r="R16" s="947">
        <f>NEWAGE!R16</f>
        <v>2.2187999999999999</v>
      </c>
      <c r="S16" s="947">
        <f>NEWAGE!S16</f>
        <v>2.67</v>
      </c>
      <c r="T16" s="943">
        <f>NEWAGE!T16*$S$1</f>
        <v>2.4096600000000001</v>
      </c>
      <c r="U16" s="943">
        <f>NEWAGE!U16*$S$1</f>
        <v>15.900389999999996</v>
      </c>
      <c r="V16" s="947">
        <f>NEWAGE!V16</f>
        <v>18.494999999999997</v>
      </c>
      <c r="W16" s="959">
        <f>NEWAGE!W16</f>
        <v>5.65</v>
      </c>
      <c r="X16" s="427">
        <f>(NEWAGE!N16+NEWAGE!P16+NEWAGE!T16)-(NEWAGE_CCS!N16+NEWAGE_CCS!P16+NEWAGE_CCS!T16)</f>
        <v>1.8477074999999843</v>
      </c>
      <c r="Y16" s="564">
        <f>(NEWAGE!O16+NEWAGE!U16)-(NEWAGE_CCS!O16+NEWAGE_CCS!U16)</f>
        <v>0.92734249999999463</v>
      </c>
      <c r="Z16" s="275">
        <f>IF(GEP_Aggreg!K16="-",,GEP_Aggreg!K16)</f>
        <v>0</v>
      </c>
      <c r="AA16" s="113">
        <f>IF(GEP_Aggreg!L16="-",,GEP_Aggreg!L16)</f>
        <v>3.99</v>
      </c>
      <c r="AB16" s="113">
        <f>IF(GEP_Aggreg!P16="-",,GEP_Aggreg!P16)</f>
        <v>0.36000000000000004</v>
      </c>
      <c r="AC16" s="113">
        <f>IF(GEP_Aggreg!Q16="-",,GEP_Aggreg!Q16)</f>
        <v>0.35000000000000003</v>
      </c>
      <c r="AD16" s="113"/>
      <c r="AE16" s="113"/>
      <c r="AF16" s="149">
        <f t="shared" si="2"/>
        <v>420.58000000000004</v>
      </c>
      <c r="AG16" s="149">
        <f t="shared" si="3"/>
        <v>413.10494999999997</v>
      </c>
      <c r="AH16" s="106">
        <f>IF(G16='Table 1.1 complete'!C30,AF16-SUM('Table 1.1 complete'!E30:E35),"error")</f>
        <v>-1.999999999998181E-2</v>
      </c>
      <c r="AI16" s="113">
        <f>IF(G16='Table 1.2 complete'!C30,AF16-SUM('Table 1.2 complete'!K30:K35),"error")</f>
        <v>4.0000000000020464E-2</v>
      </c>
      <c r="AJ16" s="106">
        <f>'Table 1.2 complete'!K14-'Table 1.1 complete'!E14</f>
        <v>-4.0000000000000008E-2</v>
      </c>
    </row>
    <row r="17" spans="1:36" s="372" customFormat="1" x14ac:dyDescent="0.25">
      <c r="A17" s="940" t="s">
        <v>426</v>
      </c>
      <c r="B17" s="523">
        <f>AF17-GEP_Aggreg!S17</f>
        <v>0</v>
      </c>
      <c r="C17" s="550">
        <f t="shared" si="0"/>
        <v>0.69947769349157651</v>
      </c>
      <c r="D17" s="550">
        <f t="shared" si="4"/>
        <v>0.25159741943710101</v>
      </c>
      <c r="E17" s="550">
        <f t="shared" si="1"/>
        <v>4.8924887071322538E-2</v>
      </c>
      <c r="F17" s="941">
        <v>10</v>
      </c>
      <c r="G17" s="942" t="s">
        <v>420</v>
      </c>
      <c r="H17" s="950">
        <f>NEWAGE!H17</f>
        <v>510.68</v>
      </c>
      <c r="I17" s="951">
        <f>NEWAGE!I17</f>
        <v>653.65</v>
      </c>
      <c r="J17" s="951">
        <f>NEWAGE!J17</f>
        <v>13.1</v>
      </c>
      <c r="K17" s="530">
        <f>NEWAGE!K17</f>
        <v>17.48</v>
      </c>
      <c r="L17" s="951">
        <f>NEWAGE!L17</f>
        <v>0.47999999999999865</v>
      </c>
      <c r="M17" s="951">
        <f>NEWAGE!M17</f>
        <v>10.700000000000001</v>
      </c>
      <c r="N17" s="946">
        <f>NEWAGE!N17*$S$1</f>
        <v>517.8541327416799</v>
      </c>
      <c r="O17" s="946">
        <f>NEWAGE!O17*$S$1</f>
        <v>120.19096725832009</v>
      </c>
      <c r="P17" s="945">
        <f>NEWAGE!P17*$S$1</f>
        <v>125.97749999999999</v>
      </c>
      <c r="Q17" s="951">
        <f>NEWAGE!Q17</f>
        <v>37.008238284352664</v>
      </c>
      <c r="R17" s="951">
        <f>NEWAGE!R17</f>
        <v>171.90476171564734</v>
      </c>
      <c r="S17" s="951">
        <f>NEWAGE!S17</f>
        <v>36.866999999999997</v>
      </c>
      <c r="T17" s="946">
        <f>NEWAGE!T17*$S$1</f>
        <v>87.720972311801845</v>
      </c>
      <c r="U17" s="946">
        <f>NEWAGE!U17*$S$1</f>
        <v>409.12587268819823</v>
      </c>
      <c r="V17" s="951">
        <f>NEWAGE!V17</f>
        <v>88.56450000000001</v>
      </c>
      <c r="W17" s="960">
        <f>NEWAGE!W17</f>
        <v>30.210000000000004</v>
      </c>
      <c r="X17" s="427">
        <f>(NEWAGE!N17+NEWAGE!P17+NEWAGE!T17)-(NEWAGE_CCS!N17+NEWAGE_CCS!P17+NEWAGE_CCS!T17)</f>
        <v>7.389420253065623</v>
      </c>
      <c r="Y17" s="564">
        <f>(NEWAGE!O17+NEWAGE!U17)-(NEWAGE_CCS!O17+NEWAGE_CCS!U17)</f>
        <v>5.3466347469345692</v>
      </c>
      <c r="Z17" s="529">
        <f>IF(GEP_Aggreg!K17="-",,GEP_Aggreg!K17)</f>
        <v>0</v>
      </c>
      <c r="AA17" s="530">
        <f>IF(GEP_Aggreg!L17="-",,GEP_Aggreg!L17)</f>
        <v>54.589999999999996</v>
      </c>
      <c r="AB17" s="530">
        <f>IF(GEP_Aggreg!P17="-",,GEP_Aggreg!P17)</f>
        <v>0.45</v>
      </c>
      <c r="AC17" s="530">
        <f>IF(GEP_Aggreg!Q17="-",,GEP_Aggreg!Q17)</f>
        <v>7.32</v>
      </c>
      <c r="AD17" s="530"/>
      <c r="AE17" s="530"/>
      <c r="AF17" s="531">
        <f t="shared" si="2"/>
        <v>2906.61</v>
      </c>
      <c r="AG17" s="531">
        <f t="shared" si="3"/>
        <v>2831.5139450000001</v>
      </c>
      <c r="AH17" s="532">
        <f>IF(G17='Table 1.1 complete'!C36,AF17-SUM('Table 1.1 complete'!E36:E43),"error")</f>
        <v>9.9999999997635314E-3</v>
      </c>
      <c r="AI17" s="530">
        <f>IF(G17='Table 1.2 complete'!C36,AF17-SUM('Table 1.2 complete'!K36:K43),"error")</f>
        <v>1.0000000000218279E-2</v>
      </c>
      <c r="AJ17" s="532">
        <f>'Table 1.2 complete'!K15-'Table 1.1 complete'!E15</f>
        <v>3.0000000000001137E-2</v>
      </c>
    </row>
    <row r="18" spans="1:36" s="522" customFormat="1" x14ac:dyDescent="0.25">
      <c r="A18" s="522" t="s">
        <v>396</v>
      </c>
      <c r="B18" s="523">
        <f>AF18-GEP_Aggreg!S18</f>
        <v>0</v>
      </c>
      <c r="C18" s="550">
        <f t="shared" si="0"/>
        <v>0.69283766401823743</v>
      </c>
      <c r="D18" s="550">
        <f t="shared" si="4"/>
        <v>0.25486782366870192</v>
      </c>
      <c r="E18" s="550">
        <f t="shared" si="1"/>
        <v>5.2294512313060648E-2</v>
      </c>
      <c r="F18" s="524">
        <v>11</v>
      </c>
      <c r="G18" s="525" t="s">
        <v>247</v>
      </c>
      <c r="H18" s="526">
        <f>NEWAGE!H18</f>
        <v>836.63</v>
      </c>
      <c r="I18" s="527">
        <f>NEWAGE!I18</f>
        <v>249.65</v>
      </c>
      <c r="J18" s="527">
        <f>NEWAGE!J18</f>
        <v>25.9</v>
      </c>
      <c r="K18" s="526">
        <f>NEWAGE!K18</f>
        <v>16.8</v>
      </c>
      <c r="L18" s="527">
        <f>NEWAGE!L18</f>
        <v>1.8399999999999963</v>
      </c>
      <c r="M18" s="527">
        <f>NEWAGE!M18</f>
        <v>34.6</v>
      </c>
      <c r="N18" s="946">
        <f>NEWAGE!N18*$S$1</f>
        <v>1502.990775</v>
      </c>
      <c r="O18" s="946">
        <f>NEWAGE!O18*$S$1</f>
        <v>500.99692500000009</v>
      </c>
      <c r="P18" s="555">
        <f>NEWAGE!P18*$S$1</f>
        <v>89.327700000000007</v>
      </c>
      <c r="Q18" s="527">
        <f>NEWAGE!Q18</f>
        <v>18.748000000000001</v>
      </c>
      <c r="R18" s="527">
        <f>NEWAGE!R18</f>
        <v>43.763999999999996</v>
      </c>
      <c r="S18" s="527">
        <f>NEWAGE!S18</f>
        <v>15.628</v>
      </c>
      <c r="T18" s="946">
        <f>NEWAGE!T18*$S$1</f>
        <v>211.56201000000001</v>
      </c>
      <c r="U18" s="946">
        <f>NEWAGE!U18*$S$1</f>
        <v>513.27638999999999</v>
      </c>
      <c r="V18" s="527">
        <f>NEWAGE!V18</f>
        <v>183.04</v>
      </c>
      <c r="W18" s="961">
        <f>NEWAGE!W18</f>
        <v>49.54</v>
      </c>
      <c r="X18" s="427">
        <f>(NEWAGE!N18+NEWAGE!P18+NEWAGE!T18)-(NEWAGE_CCS!N18+NEWAGE_CCS!P18+NEWAGE_CCS!T18)</f>
        <v>18.221014999999852</v>
      </c>
      <c r="Y18" s="564">
        <f>(NEWAGE!O18+NEWAGE!U18)-(NEWAGE_CCS!O18+NEWAGE_CCS!U18)</f>
        <v>10.245184999999992</v>
      </c>
      <c r="Z18" s="529">
        <f>IF(GEP_Aggreg!K18="-",,GEP_Aggreg!K18)</f>
        <v>0</v>
      </c>
      <c r="AA18" s="530">
        <f>IF(GEP_Aggreg!L18="-",,GEP_Aggreg!L18)</f>
        <v>3.99</v>
      </c>
      <c r="AB18" s="530">
        <f>IF(GEP_Aggreg!P18="-",,GEP_Aggreg!P18)</f>
        <v>5.01</v>
      </c>
      <c r="AC18" s="530">
        <f>IF(GEP_Aggreg!Q18="-",,GEP_Aggreg!Q18)</f>
        <v>17.100000000000001</v>
      </c>
      <c r="AD18" s="530"/>
      <c r="AE18" s="530"/>
      <c r="AF18" s="531">
        <f t="shared" si="2"/>
        <v>4348.8600000000006</v>
      </c>
      <c r="AG18" s="531">
        <f t="shared" si="3"/>
        <v>4294.2938000000004</v>
      </c>
      <c r="AH18" s="532">
        <f>IF(G18='Table 1.1 complete'!C44,AF18-'Table 1.1 complete'!E44,"error")</f>
        <v>-3.9999999999054126E-2</v>
      </c>
      <c r="AI18" s="530">
        <f>IF(G18='Table 1.2 complete'!C44,AF18-'Table 1.2 complete'!K44,"error")</f>
        <v>9.0949470177292824E-13</v>
      </c>
      <c r="AJ18" s="532">
        <f>'Table 1.2 complete'!K16-'Table 1.1 complete'!E16</f>
        <v>-3.0000000000000249E-2</v>
      </c>
    </row>
    <row r="19" spans="1:36" x14ac:dyDescent="0.25">
      <c r="A19" s="537" t="s">
        <v>398</v>
      </c>
      <c r="B19" s="109">
        <f>AF19-GEP_Aggreg!S19</f>
        <v>0</v>
      </c>
      <c r="C19" s="546">
        <f t="shared" si="0"/>
        <v>0.88675320634003318</v>
      </c>
      <c r="D19" s="546">
        <f t="shared" si="4"/>
        <v>6.4192575230795024E-2</v>
      </c>
      <c r="E19" s="546">
        <f t="shared" si="1"/>
        <v>4.9054218429171799E-2</v>
      </c>
      <c r="F19" s="335">
        <v>12</v>
      </c>
      <c r="G19" s="293" t="s">
        <v>232</v>
      </c>
      <c r="H19" s="267">
        <f>NEWAGE!H19</f>
        <v>12.35</v>
      </c>
      <c r="I19" s="384">
        <f>NEWAGE!I19</f>
        <v>355.31899999999996</v>
      </c>
      <c r="J19" s="384">
        <f>NEWAGE!J19</f>
        <v>18.701000000000001</v>
      </c>
      <c r="K19" s="267">
        <f>NEWAGE!K19</f>
        <v>0</v>
      </c>
      <c r="L19" s="384">
        <f>NEWAGE!L19</f>
        <v>0.10000000000000009</v>
      </c>
      <c r="M19" s="384">
        <f>NEWAGE!M19</f>
        <v>1.9</v>
      </c>
      <c r="N19" s="943">
        <f>NEWAGE!N19*$S$1</f>
        <v>0</v>
      </c>
      <c r="O19" s="943">
        <f>NEWAGE!O19*$S$1</f>
        <v>9.9000000000000005E-2</v>
      </c>
      <c r="P19" s="427">
        <f>NEWAGE!P19*$S$1</f>
        <v>5.9004000000000003</v>
      </c>
      <c r="Q19" s="384">
        <f>NEWAGE!Q19</f>
        <v>0</v>
      </c>
      <c r="R19" s="384">
        <f>NEWAGE!R19</f>
        <v>12.393000000000001</v>
      </c>
      <c r="S19" s="384">
        <f>NEWAGE!S19</f>
        <v>1.3769999999999998</v>
      </c>
      <c r="T19" s="943">
        <f>NEWAGE!T19*$S$1</f>
        <v>0</v>
      </c>
      <c r="U19" s="943">
        <f>NEWAGE!U19*$S$1</f>
        <v>13.810499999999999</v>
      </c>
      <c r="V19" s="384">
        <f>NEWAGE!V19</f>
        <v>1.55</v>
      </c>
      <c r="W19" s="958">
        <f>NEWAGE!W19</f>
        <v>17.399999999999999</v>
      </c>
      <c r="X19" s="427">
        <f>(NEWAGE!N19+NEWAGE!P19+NEWAGE!T19)-(NEWAGE_CCS!N19+NEWAGE_CCS!P19+NEWAGE_CCS!T19)</f>
        <v>5.9599999999999653E-2</v>
      </c>
      <c r="Y19" s="564">
        <f>(NEWAGE!O19+NEWAGE!U19)-(NEWAGE_CCS!O19+NEWAGE_CCS!U19)</f>
        <v>0.1404999999999994</v>
      </c>
      <c r="Z19" s="275">
        <f>IF(GEP_Aggreg!K19="-",,GEP_Aggreg!K19)</f>
        <v>0</v>
      </c>
      <c r="AA19" s="113">
        <f>IF(GEP_Aggreg!L19="-",,GEP_Aggreg!L19)</f>
        <v>4.0599999999999996</v>
      </c>
      <c r="AB19" s="113">
        <f>IF(GEP_Aggreg!P19="-",,GEP_Aggreg!P19)</f>
        <v>0</v>
      </c>
      <c r="AC19" s="113">
        <f>IF(GEP_Aggreg!Q19="-",,GEP_Aggreg!Q19)</f>
        <v>0</v>
      </c>
      <c r="AD19" s="113"/>
      <c r="AE19" s="113"/>
      <c r="AF19" s="149">
        <f t="shared" si="2"/>
        <v>445.15999999999991</v>
      </c>
      <c r="AG19" s="149">
        <f t="shared" si="3"/>
        <v>440.89989999999995</v>
      </c>
      <c r="AH19" s="106">
        <f>IF(G19='Table 1.1 complete'!C45,AF19-'Table 1.1 complete'!E45,"error")</f>
        <v>5.9999999999888587E-2</v>
      </c>
      <c r="AI19" s="113">
        <f>IF(G19='Table 1.2 complete'!C45,AF19-'Table 1.2 complete'!K45,"error")</f>
        <v>1.9999999999924967E-2</v>
      </c>
      <c r="AJ19" s="106">
        <f>'Table 1.2 complete'!K17-'Table 1.1 complete'!E17</f>
        <v>9.9999999999997868E-3</v>
      </c>
    </row>
    <row r="20" spans="1:36" x14ac:dyDescent="0.25">
      <c r="A20" s="537" t="s">
        <v>400</v>
      </c>
      <c r="B20" s="109">
        <f>AF20-GEP_Aggreg!S20</f>
        <v>0</v>
      </c>
      <c r="C20" s="547">
        <f t="shared" si="0"/>
        <v>0.70137470929770218</v>
      </c>
      <c r="D20" s="547">
        <f t="shared" si="4"/>
        <v>0.23949588457399593</v>
      </c>
      <c r="E20" s="547">
        <f t="shared" si="1"/>
        <v>5.9129406128301851E-2</v>
      </c>
      <c r="F20" s="336">
        <v>13</v>
      </c>
      <c r="G20" s="294" t="s">
        <v>244</v>
      </c>
      <c r="H20" s="267">
        <f>NEWAGE!H20</f>
        <v>160.04</v>
      </c>
      <c r="I20" s="384">
        <f>NEWAGE!I20</f>
        <v>177.19019999999998</v>
      </c>
      <c r="J20" s="384">
        <f>NEWAGE!J20</f>
        <v>1.7897999999999998</v>
      </c>
      <c r="K20" s="267">
        <f>NEWAGE!K20</f>
        <v>0.49</v>
      </c>
      <c r="L20" s="384">
        <f>NEWAGE!L20</f>
        <v>4.9999999999999871E-4</v>
      </c>
      <c r="M20" s="384">
        <f>NEWAGE!M20</f>
        <v>9.5000000000000015E-3</v>
      </c>
      <c r="N20" s="943">
        <f>NEWAGE!N20*$S$1</f>
        <v>59.459400000000002</v>
      </c>
      <c r="O20" s="943">
        <f>NEWAGE!O20*$S$1</f>
        <v>39.639599999999994</v>
      </c>
      <c r="P20" s="427">
        <f>NEWAGE!P20*$S$1</f>
        <v>60.904800000000002</v>
      </c>
      <c r="Q20" s="384">
        <f>NEWAGE!Q20</f>
        <v>1.7230000000000001</v>
      </c>
      <c r="R20" s="384">
        <f>NEWAGE!R20</f>
        <v>6.8919999999999995</v>
      </c>
      <c r="S20" s="384">
        <f>NEWAGE!S20</f>
        <v>8.6150000000000002</v>
      </c>
      <c r="T20" s="943">
        <f>NEWAGE!T20*$S$1</f>
        <v>240.92144999999999</v>
      </c>
      <c r="U20" s="943">
        <f>NEWAGE!U20*$S$1</f>
        <v>192.73715999999999</v>
      </c>
      <c r="V20" s="384">
        <f>NEWAGE!V20</f>
        <v>48.670999999999992</v>
      </c>
      <c r="W20" s="958">
        <f>NEWAGE!W20</f>
        <v>0.01</v>
      </c>
      <c r="X20" s="427">
        <f>(NEWAGE!N20+NEWAGE!P20+NEWAGE!T20)-(NEWAGE_CCS!N20+NEWAGE_CCS!P20+NEWAGE_CCS!T20)</f>
        <v>3.6493499999999699</v>
      </c>
      <c r="Y20" s="564">
        <f>(NEWAGE!O20+NEWAGE!U20)-(NEWAGE_CCS!O20+NEWAGE_CCS!U20)</f>
        <v>2.3472399999999993</v>
      </c>
      <c r="Z20" s="275">
        <f>IF(GEP_Aggreg!K20="-",,GEP_Aggreg!K20)</f>
        <v>0.75</v>
      </c>
      <c r="AA20" s="113">
        <f>IF(GEP_Aggreg!L20="-",,GEP_Aggreg!L20)</f>
        <v>7.51</v>
      </c>
      <c r="AB20" s="113">
        <f>IF(GEP_Aggreg!P20="-",,GEP_Aggreg!P20)</f>
        <v>1.98</v>
      </c>
      <c r="AC20" s="113">
        <f>IF(GEP_Aggreg!Q20="-",,GEP_Aggreg!Q20)</f>
        <v>0</v>
      </c>
      <c r="AD20" s="113"/>
      <c r="AE20" s="113"/>
      <c r="AF20" s="149">
        <f t="shared" si="2"/>
        <v>1015.3299999999999</v>
      </c>
      <c r="AG20" s="149">
        <f t="shared" si="3"/>
        <v>999.09340999999995</v>
      </c>
      <c r="AH20" s="106">
        <f>IF(G20='Table 1.1 complete'!C46,AF20-'Table 1.1 complete'!E46,"error")</f>
        <v>2.9999999999972715E-2</v>
      </c>
      <c r="AI20" s="113">
        <f>IF(G20='Table 1.2 complete'!C46,AF20-'Table 1.2 complete'!K46,"error")</f>
        <v>-1.1368683772161603E-13</v>
      </c>
      <c r="AJ20" s="106">
        <f>'Table 1.2 complete'!K18-'Table 1.1 complete'!E18</f>
        <v>0</v>
      </c>
    </row>
    <row r="21" spans="1:36" x14ac:dyDescent="0.25">
      <c r="A21" s="537" t="s">
        <v>403</v>
      </c>
      <c r="B21" s="109">
        <f>AF21-GEP_Aggreg!S21</f>
        <v>0</v>
      </c>
      <c r="C21" s="547">
        <f t="shared" si="0"/>
        <v>0.69880476534190805</v>
      </c>
      <c r="D21" s="547">
        <f t="shared" si="4"/>
        <v>0.25311811560795416</v>
      </c>
      <c r="E21" s="547">
        <f t="shared" si="1"/>
        <v>4.8077119050137583E-2</v>
      </c>
      <c r="F21" s="337">
        <v>14</v>
      </c>
      <c r="G21" s="295" t="s">
        <v>241</v>
      </c>
      <c r="H21" s="267">
        <f>NEWAGE!H21</f>
        <v>16.78</v>
      </c>
      <c r="I21" s="384">
        <f>NEWAGE!I21</f>
        <v>122.5917</v>
      </c>
      <c r="J21" s="384">
        <f>NEWAGE!J21</f>
        <v>1.2383</v>
      </c>
      <c r="K21" s="267">
        <f>NEWAGE!K21</f>
        <v>0</v>
      </c>
      <c r="L21" s="384">
        <f>NEWAGE!L21</f>
        <v>0.58349999999999902</v>
      </c>
      <c r="M21" s="384">
        <f>NEWAGE!M21</f>
        <v>11.086500000000001</v>
      </c>
      <c r="N21" s="943">
        <f>NEWAGE!N21*$S$1</f>
        <v>383.55322500000005</v>
      </c>
      <c r="O21" s="943">
        <f>NEWAGE!O21*$S$1</f>
        <v>127.85107499999998</v>
      </c>
      <c r="P21" s="427">
        <f>NEWAGE!P21*$S$1</f>
        <v>18.6813</v>
      </c>
      <c r="Q21" s="384">
        <f>NEWAGE!Q21</f>
        <v>1.7760000000000002</v>
      </c>
      <c r="R21" s="384">
        <f>NEWAGE!R21</f>
        <v>7.1039999999999957</v>
      </c>
      <c r="S21" s="384">
        <f>NEWAGE!S21</f>
        <v>26.640000000000004</v>
      </c>
      <c r="T21" s="943">
        <f>NEWAGE!T21*$S$1</f>
        <v>3.2551200000000002</v>
      </c>
      <c r="U21" s="943">
        <f>NEWAGE!U21*$S$1</f>
        <v>52.081920000000004</v>
      </c>
      <c r="V21" s="384">
        <f>NEWAGE!V21</f>
        <v>9.8640000000000008</v>
      </c>
      <c r="W21" s="958">
        <f>NEWAGE!W21</f>
        <v>1.95</v>
      </c>
      <c r="X21" s="427">
        <f>(NEWAGE!N21+NEWAGE!P21+NEWAGE!T21)-(NEWAGE_CCS!N21+NEWAGE_CCS!P21+NEWAGE_CCS!T21)</f>
        <v>4.0958550000000287</v>
      </c>
      <c r="Y21" s="564">
        <f>(NEWAGE!O21+NEWAGE!U21)-(NEWAGE_CCS!O21+NEWAGE_CCS!U21)</f>
        <v>1.8175050000000113</v>
      </c>
      <c r="Z21" s="275">
        <f>IF(GEP_Aggreg!K21="-",,GEP_Aggreg!K21)</f>
        <v>0</v>
      </c>
      <c r="AA21" s="113">
        <f>IF(GEP_Aggreg!L21="-",,GEP_Aggreg!L21)</f>
        <v>1.48</v>
      </c>
      <c r="AB21" s="113">
        <f>IF(GEP_Aggreg!P21="-",,GEP_Aggreg!P21)</f>
        <v>0</v>
      </c>
      <c r="AC21" s="113">
        <f>IF(GEP_Aggreg!Q21="-",,GEP_Aggreg!Q21)</f>
        <v>0</v>
      </c>
      <c r="AD21" s="113"/>
      <c r="AE21" s="113"/>
      <c r="AF21" s="149">
        <f t="shared" si="2"/>
        <v>792.43000000000018</v>
      </c>
      <c r="AG21" s="149">
        <f t="shared" si="3"/>
        <v>785.03664000000015</v>
      </c>
      <c r="AH21" s="106">
        <f>IF(G21='Table 1.1 complete'!C47,AF21-'Table 1.1 complete'!E47,"error")</f>
        <v>3.0000000000200089E-2</v>
      </c>
      <c r="AI21" s="113">
        <f>IF(G21='Table 1.2 complete'!C47,AF21-'Table 1.2 complete'!K47,"error")</f>
        <v>1.0000000000218279E-2</v>
      </c>
      <c r="AJ21" s="106">
        <f>'Table 1.2 complete'!K19-'Table 1.1 complete'!E19</f>
        <v>3.9999999999992042E-2</v>
      </c>
    </row>
    <row r="22" spans="1:36" x14ac:dyDescent="0.25">
      <c r="A22" s="537" t="s">
        <v>401</v>
      </c>
      <c r="B22" s="109">
        <f>AF22-GEP_Aggreg!S22</f>
        <v>0</v>
      </c>
      <c r="C22" s="547">
        <f t="shared" si="0"/>
        <v>0.70300139223119407</v>
      </c>
      <c r="D22" s="547">
        <f t="shared" si="4"/>
        <v>0.24563431531320012</v>
      </c>
      <c r="E22" s="547">
        <f t="shared" si="1"/>
        <v>5.1364292455605927E-2</v>
      </c>
      <c r="F22" s="338">
        <v>15</v>
      </c>
      <c r="G22" s="296" t="s">
        <v>239</v>
      </c>
      <c r="H22" s="384">
        <f>NEWAGE!H22</f>
        <v>62.13</v>
      </c>
      <c r="I22" s="384">
        <f>NEWAGE!I22</f>
        <v>388.20799999999997</v>
      </c>
      <c r="J22" s="384">
        <f>NEWAGE!J22</f>
        <v>97.052000000000007</v>
      </c>
      <c r="K22" s="267">
        <f>NEWAGE!K22</f>
        <v>0</v>
      </c>
      <c r="L22" s="384">
        <f>NEWAGE!L22</f>
        <v>0.44549999999999912</v>
      </c>
      <c r="M22" s="384">
        <f>NEWAGE!M22</f>
        <v>8.464500000000001</v>
      </c>
      <c r="N22" s="943">
        <f>NEWAGE!N22*$S$1</f>
        <v>1845.3550499999999</v>
      </c>
      <c r="O22" s="943">
        <f>NEWAGE!O22*$S$1</f>
        <v>790.86644999999999</v>
      </c>
      <c r="P22" s="427">
        <f>NEWAGE!P22*$S$1</f>
        <v>0</v>
      </c>
      <c r="Q22" s="384">
        <f>NEWAGE!Q22</f>
        <v>0</v>
      </c>
      <c r="R22" s="384">
        <f>NEWAGE!R22</f>
        <v>1.6875</v>
      </c>
      <c r="S22" s="384">
        <f>NEWAGE!S22</f>
        <v>32.0625</v>
      </c>
      <c r="T22" s="943">
        <f>NEWAGE!T22*$S$1</f>
        <v>0.40451400000000004</v>
      </c>
      <c r="U22" s="943">
        <f>NEWAGE!U22*$S$1</f>
        <v>1.6180559999999993</v>
      </c>
      <c r="V22" s="384">
        <f>NEWAGE!V22</f>
        <v>38.817</v>
      </c>
      <c r="W22" s="958">
        <f>NEWAGE!W22</f>
        <v>2.31</v>
      </c>
      <c r="X22" s="427">
        <f>(NEWAGE!N22+NEWAGE!P22+NEWAGE!T22)-(NEWAGE_CCS!N22+NEWAGE_CCS!P22+NEWAGE_CCS!T22)</f>
        <v>18.644035999999915</v>
      </c>
      <c r="Y22" s="564">
        <f>(NEWAGE!O22+NEWAGE!U22)-(NEWAGE_CCS!O22+NEWAGE_CCS!U22)</f>
        <v>8.0048940000000357</v>
      </c>
      <c r="Z22" s="275">
        <f>IF(GEP_Aggreg!K22="-",,GEP_Aggreg!K22)</f>
        <v>0</v>
      </c>
      <c r="AA22" s="113">
        <f>IF(GEP_Aggreg!L22="-",,GEP_Aggreg!L22)</f>
        <v>22.12</v>
      </c>
      <c r="AB22" s="113">
        <f>IF(GEP_Aggreg!P22="-",,GEP_Aggreg!P22)</f>
        <v>0</v>
      </c>
      <c r="AC22" s="113">
        <f>IF(GEP_Aggreg!Q22="-",,GEP_Aggreg!Q22)</f>
        <v>0</v>
      </c>
      <c r="AD22" s="113"/>
      <c r="AE22" s="113"/>
      <c r="AF22" s="149">
        <f t="shared" si="2"/>
        <v>3318.1899999999991</v>
      </c>
      <c r="AG22" s="149">
        <f t="shared" si="3"/>
        <v>3269.4210699999994</v>
      </c>
      <c r="AH22" s="106">
        <f>IF(G22='Table 1.1 complete'!C48,AF22-SUM('Table 1.1 complete'!E48:E49),"error")</f>
        <v>-1.0000000000673026E-2</v>
      </c>
      <c r="AI22" s="113">
        <f>IF(G22='Table 1.2 complete'!C48,AF22-SUM('Table 1.2 complete'!K48:K49),"error")</f>
        <v>9.999999999308784E-3</v>
      </c>
      <c r="AJ22" s="106">
        <f>'Table 1.2 complete'!K20-'Table 1.1 complete'!E20</f>
        <v>4.9999999999982947E-2</v>
      </c>
    </row>
    <row r="23" spans="1:36" s="372" customFormat="1" x14ac:dyDescent="0.25">
      <c r="A23" s="538" t="s">
        <v>406</v>
      </c>
      <c r="B23" s="222">
        <f>AF23-GEP_Aggreg!S23</f>
        <v>0</v>
      </c>
      <c r="C23" s="548">
        <f t="shared" si="0"/>
        <v>0.70110339712220227</v>
      </c>
      <c r="D23" s="548">
        <f t="shared" si="4"/>
        <v>0.28100854328209307</v>
      </c>
      <c r="E23" s="549">
        <f t="shared" si="1"/>
        <v>1.788805959570457E-2</v>
      </c>
      <c r="F23" s="520">
        <v>16</v>
      </c>
      <c r="G23" s="521" t="s">
        <v>245</v>
      </c>
      <c r="H23" s="268">
        <f>NEWAGE!H23</f>
        <v>11.32</v>
      </c>
      <c r="I23" s="515">
        <f>NEWAGE!I23</f>
        <v>0.39100000000000001</v>
      </c>
      <c r="J23" s="515">
        <f>NEWAGE!J23</f>
        <v>3.5190000000000001</v>
      </c>
      <c r="K23" s="268">
        <f>NEWAGE!K23</f>
        <v>0</v>
      </c>
      <c r="L23" s="515">
        <f>NEWAGE!L23</f>
        <v>2.5000000000000001E-2</v>
      </c>
      <c r="M23" s="515">
        <f>NEWAGE!M23</f>
        <v>2.5000000000000001E-2</v>
      </c>
      <c r="N23" s="967">
        <f>NEWAGE!N23*$S$1</f>
        <v>171.02546999999998</v>
      </c>
      <c r="O23" s="967">
        <f>NEWAGE!O23*$S$1</f>
        <v>73.296630000000007</v>
      </c>
      <c r="P23" s="435">
        <f>NEWAGE!P23*$S$1</f>
        <v>0</v>
      </c>
      <c r="Q23" s="515">
        <f>NEWAGE!Q23</f>
        <v>0</v>
      </c>
      <c r="R23" s="515">
        <f>NEWAGE!R23</f>
        <v>0</v>
      </c>
      <c r="S23" s="515">
        <f>NEWAGE!S23</f>
        <v>1.1499999999999999</v>
      </c>
      <c r="T23" s="967">
        <f>NEWAGE!T23*$S$1</f>
        <v>0</v>
      </c>
      <c r="U23" s="967">
        <f>NEWAGE!U23*$S$1</f>
        <v>0</v>
      </c>
      <c r="V23" s="515">
        <f>NEWAGE!V23</f>
        <v>0</v>
      </c>
      <c r="W23" s="962">
        <f>NEWAGE!W23</f>
        <v>0.26</v>
      </c>
      <c r="X23" s="427">
        <f>(NEWAGE!N23+NEWAGE!P23+NEWAGE!T23)-(NEWAGE_CCS!N23+NEWAGE_CCS!P23+NEWAGE_CCS!T23)</f>
        <v>1.7275300000000016</v>
      </c>
      <c r="Y23" s="564">
        <f>(NEWAGE!O23+NEWAGE!U23)-(NEWAGE_CCS!O23+NEWAGE_CCS!U23)</f>
        <v>0.74036999999999864</v>
      </c>
      <c r="Z23" s="276">
        <f>IF(GEP_Aggreg!K23="-",,GEP_Aggreg!K23)</f>
        <v>0</v>
      </c>
      <c r="AA23" s="225">
        <f>IF(GEP_Aggreg!L23="-",,GEP_Aggreg!L23)</f>
        <v>0</v>
      </c>
      <c r="AB23" s="225">
        <f>IF(GEP_Aggreg!P23="-",,GEP_Aggreg!P23)</f>
        <v>0</v>
      </c>
      <c r="AC23" s="225">
        <f>IF(GEP_Aggreg!Q23="-",,GEP_Aggreg!Q23)</f>
        <v>0</v>
      </c>
      <c r="AD23" s="225"/>
      <c r="AE23" s="225"/>
      <c r="AF23" s="223">
        <f t="shared" si="2"/>
        <v>263.47999999999996</v>
      </c>
      <c r="AG23" s="223">
        <f t="shared" si="3"/>
        <v>261.01209999999998</v>
      </c>
      <c r="AH23" s="224">
        <f>IF(G23='Table 1.1 complete'!C50,AF23-'Table 1.1 complete'!E50,"error")</f>
        <v>-2.0000000000038654E-2</v>
      </c>
      <c r="AI23" s="225">
        <f>IF(G23='Table 1.2 complete'!C50,AF23-'Table 1.2 complete'!K50,"error")</f>
        <v>-5.6843418860808015E-14</v>
      </c>
      <c r="AJ23" s="224">
        <f>'Table 1.2 complete'!K21-'Table 1.1 complete'!E21</f>
        <v>3.999999999996362E-2</v>
      </c>
    </row>
    <row r="24" spans="1:36" x14ac:dyDescent="0.25">
      <c r="A24" s="927" t="s">
        <v>427</v>
      </c>
      <c r="B24" s="385">
        <f>AF24-GEP_Aggreg!S24</f>
        <v>0</v>
      </c>
      <c r="C24" s="938">
        <f t="shared" si="0"/>
        <v>0.7045390111249068</v>
      </c>
      <c r="D24" s="938">
        <f t="shared" si="4"/>
        <v>0.24778418075929765</v>
      </c>
      <c r="E24" s="938">
        <f t="shared" si="1"/>
        <v>4.7676808115795548E-2</v>
      </c>
      <c r="F24" s="339">
        <v>21</v>
      </c>
      <c r="G24" s="299" t="s">
        <v>422</v>
      </c>
      <c r="H24" s="113">
        <f>NEWAGE!H24</f>
        <v>0</v>
      </c>
      <c r="I24" s="947">
        <f>NEWAGE!I24</f>
        <v>39.392099999999999</v>
      </c>
      <c r="J24" s="947">
        <f>NEWAGE!J24</f>
        <v>0.39789999999999998</v>
      </c>
      <c r="K24" s="113">
        <f>NEWAGE!K24</f>
        <v>0</v>
      </c>
      <c r="L24" s="947">
        <f>NEWAGE!L24</f>
        <v>0.64500000000000002</v>
      </c>
      <c r="M24" s="947">
        <f>NEWAGE!M24</f>
        <v>0.64500000000000002</v>
      </c>
      <c r="N24" s="943">
        <f>NEWAGE!N24*$S$1</f>
        <v>2.5819199999999998</v>
      </c>
      <c r="O24" s="943">
        <f>NEWAGE!O24*$S$1</f>
        <v>10.327679999999999</v>
      </c>
      <c r="P24" s="427">
        <f>NEWAGE!P24*$S$1</f>
        <v>0</v>
      </c>
      <c r="Q24" s="947">
        <f>NEWAGE!Q24</f>
        <v>202.23699999999997</v>
      </c>
      <c r="R24" s="947">
        <f>NEWAGE!R24</f>
        <v>72.227500000000006</v>
      </c>
      <c r="S24" s="947">
        <f>NEWAGE!S24</f>
        <v>14.445499999999997</v>
      </c>
      <c r="T24" s="943">
        <f>NEWAGE!T24*$S$1</f>
        <v>375.80004000000002</v>
      </c>
      <c r="U24" s="943">
        <f>NEWAGE!U24*$S$1</f>
        <v>134.21429999999992</v>
      </c>
      <c r="V24" s="947">
        <f>NEWAGE!V24</f>
        <v>27.113999999999997</v>
      </c>
      <c r="W24" s="959">
        <f>NEWAGE!W24</f>
        <v>0.01</v>
      </c>
      <c r="X24" s="427">
        <f>(NEWAGE!N24+NEWAGE!P24+NEWAGE!T24)-(NEWAGE_CCS!N24+NEWAGE_CCS!P24+NEWAGE_CCS!T24)</f>
        <v>3.8220399999999586</v>
      </c>
      <c r="Y24" s="564">
        <f>(NEWAGE!O24+NEWAGE!U24)-(NEWAGE_CCS!O24+NEWAGE_CCS!U24)</f>
        <v>1.4600200000000143</v>
      </c>
      <c r="Z24" s="275">
        <f>IF(GEP_Aggreg!K24="-",,GEP_Aggreg!K24)</f>
        <v>0</v>
      </c>
      <c r="AA24" s="113">
        <f>IF(GEP_Aggreg!L24="-",,GEP_Aggreg!L24)</f>
        <v>0</v>
      </c>
      <c r="AB24" s="113">
        <f>IF(GEP_Aggreg!P24="-",,GEP_Aggreg!P24)</f>
        <v>0</v>
      </c>
      <c r="AC24" s="113">
        <f>IF(GEP_Aggreg!Q24="-",,GEP_Aggreg!Q24)</f>
        <v>0</v>
      </c>
      <c r="AD24" s="113"/>
      <c r="AE24" s="113"/>
      <c r="AF24" s="149">
        <f t="shared" si="2"/>
        <v>885.31999999999994</v>
      </c>
      <c r="AG24" s="149">
        <f t="shared" si="3"/>
        <v>880.03793999999994</v>
      </c>
      <c r="AH24" s="106">
        <f>IF(G24='Table 1.1 complete'!C51,AF24-SUM('Table 1.1 complete'!E51:E67),"error")</f>
        <v>-8.0000000000154614E-2</v>
      </c>
      <c r="AI24" s="113">
        <f>IF(G24='Table 1.2 complete'!C51,AF24-SUM('Table 1.2 complete'!K51:K67),"error")</f>
        <v>-1.0000000000104592E-2</v>
      </c>
      <c r="AJ24" s="106">
        <f>'Table 1.2 complete'!K26-'Table 1.1 complete'!E26</f>
        <v>0</v>
      </c>
    </row>
    <row r="25" spans="1:36" s="372" customFormat="1" x14ac:dyDescent="0.25">
      <c r="A25" s="939" t="s">
        <v>399</v>
      </c>
      <c r="B25" s="222">
        <f>AF25-GEP_Aggreg!S25</f>
        <v>0</v>
      </c>
      <c r="C25" s="548">
        <f t="shared" si="0"/>
        <v>0.68225948419743809</v>
      </c>
      <c r="D25" s="548">
        <f t="shared" si="4"/>
        <v>0.26488382183715004</v>
      </c>
      <c r="E25" s="548">
        <f t="shared" si="1"/>
        <v>5.2856693965411844E-2</v>
      </c>
      <c r="F25" s="533">
        <v>22</v>
      </c>
      <c r="G25" s="534" t="s">
        <v>421</v>
      </c>
      <c r="H25" s="225">
        <f>NEWAGE!H25</f>
        <v>0</v>
      </c>
      <c r="I25" s="953">
        <f>NEWAGE!I25</f>
        <v>108.70200000000001</v>
      </c>
      <c r="J25" s="953">
        <f>NEWAGE!J25</f>
        <v>1.0980000000000001</v>
      </c>
      <c r="K25" s="225">
        <f>NEWAGE!K25</f>
        <v>7.02</v>
      </c>
      <c r="L25" s="953">
        <f>NEWAGE!L25</f>
        <v>0</v>
      </c>
      <c r="M25" s="953">
        <f>NEWAGE!M25</f>
        <v>0</v>
      </c>
      <c r="N25" s="967">
        <f>NEWAGE!N25*$S$1</f>
        <v>0</v>
      </c>
      <c r="O25" s="967">
        <f>NEWAGE!O25*$S$1</f>
        <v>0</v>
      </c>
      <c r="P25" s="435">
        <f>NEWAGE!P25*$S$1</f>
        <v>63.191699999999997</v>
      </c>
      <c r="Q25" s="953">
        <f>NEWAGE!Q25</f>
        <v>11.814</v>
      </c>
      <c r="R25" s="953">
        <f>NEWAGE!R25</f>
        <v>41.349000000000004</v>
      </c>
      <c r="S25" s="953">
        <f>NEWAGE!S25</f>
        <v>5.907</v>
      </c>
      <c r="T25" s="967">
        <f>NEWAGE!T25*$S$1</f>
        <v>11.42658</v>
      </c>
      <c r="U25" s="967">
        <f>NEWAGE!U25*$S$1</f>
        <v>37.136384999999997</v>
      </c>
      <c r="V25" s="953">
        <f>NEWAGE!V25</f>
        <v>8.6564999999999994</v>
      </c>
      <c r="W25" s="963">
        <f>NEWAGE!W25</f>
        <v>0</v>
      </c>
      <c r="X25" s="427">
        <f>(NEWAGE!N25+NEWAGE!P25+NEWAGE!T25)-(NEWAGE_CCS!N25+NEWAGE_CCS!P25+NEWAGE_CCS!T25)</f>
        <v>0.75372000000000128</v>
      </c>
      <c r="Y25" s="564">
        <f>(NEWAGE!O25+NEWAGE!U25)-(NEWAGE_CCS!O25+NEWAGE_CCS!U25)</f>
        <v>0.37511500000000098</v>
      </c>
      <c r="Z25" s="276">
        <f>IF(GEP_Aggreg!K25="-",,GEP_Aggreg!K25)</f>
        <v>0</v>
      </c>
      <c r="AA25" s="225">
        <f>IF(GEP_Aggreg!L25="-",,GEP_Aggreg!L25)</f>
        <v>0</v>
      </c>
      <c r="AB25" s="225">
        <f>IF(GEP_Aggreg!P25="-",,GEP_Aggreg!P25)</f>
        <v>0</v>
      </c>
      <c r="AC25" s="225">
        <f>IF(GEP_Aggreg!Q25="-",,GEP_Aggreg!Q25)</f>
        <v>0</v>
      </c>
      <c r="AD25" s="225"/>
      <c r="AE25" s="225"/>
      <c r="AF25" s="223">
        <f t="shared" si="2"/>
        <v>297.43</v>
      </c>
      <c r="AG25" s="223">
        <f t="shared" si="3"/>
        <v>296.30116500000003</v>
      </c>
      <c r="AH25" s="224">
        <f>IF(G25='Table 1.1 complete'!C68,AF25-SUM('Table 1.1 complete'!E68:E71),"error")</f>
        <v>3.0000000000029559E-2</v>
      </c>
      <c r="AI25" s="225">
        <f>IF(G25='Table 1.2 complete'!C68,AF25-SUM('Table 1.2 complete'!K68:K71),"error")</f>
        <v>2.0000000000038654E-2</v>
      </c>
      <c r="AJ25" s="224">
        <f>'Table 1.2 complete'!K27-'Table 1.1 complete'!E27</f>
        <v>-4.9999999999997158E-2</v>
      </c>
    </row>
    <row r="26" spans="1:36" ht="15.75" thickBot="1" x14ac:dyDescent="0.3">
      <c r="A26" s="375" t="s">
        <v>407</v>
      </c>
      <c r="B26" s="539">
        <f>AF26-GEP_Aggreg!S26</f>
        <v>0</v>
      </c>
      <c r="C26" s="548">
        <f t="shared" si="0"/>
        <v>0.73047227477963239</v>
      </c>
      <c r="D26" s="548">
        <f t="shared" si="4"/>
        <v>0.21379277827578996</v>
      </c>
      <c r="E26" s="548">
        <f t="shared" si="1"/>
        <v>5.5734946944577674E-2</v>
      </c>
      <c r="F26" s="365">
        <v>26</v>
      </c>
      <c r="G26" s="300" t="s">
        <v>423</v>
      </c>
      <c r="H26" s="654">
        <f>NEWAGE!H26</f>
        <v>145.93</v>
      </c>
      <c r="I26" s="955">
        <f>NEWAGE!I26</f>
        <v>493.97150000000005</v>
      </c>
      <c r="J26" s="955">
        <f>NEWAGE!J26</f>
        <v>25.998500000000003</v>
      </c>
      <c r="K26" s="654">
        <f>NEWAGE!K26</f>
        <v>14.260000000000002</v>
      </c>
      <c r="L26" s="955">
        <f>NEWAGE!L26</f>
        <v>0.70000000000000018</v>
      </c>
      <c r="M26" s="955">
        <f>NEWAGE!M26</f>
        <v>0.7</v>
      </c>
      <c r="N26" s="968">
        <f>NEWAGE!N26*$S$1</f>
        <v>279.18890999999996</v>
      </c>
      <c r="O26" s="968">
        <f>NEWAGE!O26*$S$1</f>
        <v>119.65238999999993</v>
      </c>
      <c r="P26" s="965">
        <f>NEWAGE!P26*$S$1</f>
        <v>107.33580000000001</v>
      </c>
      <c r="Q26" s="955">
        <f>NEWAGE!Q26</f>
        <v>11.463000000000001</v>
      </c>
      <c r="R26" s="955">
        <f>NEWAGE!R26</f>
        <v>160.48200000000003</v>
      </c>
      <c r="S26" s="955">
        <f>NEWAGE!S26</f>
        <v>57.315000000000012</v>
      </c>
      <c r="T26" s="968">
        <f>NEWAGE!T26*$S$1</f>
        <v>473.31207000000001</v>
      </c>
      <c r="U26" s="968">
        <f>NEWAGE!U26*$S$1</f>
        <v>169.04002500000001</v>
      </c>
      <c r="V26" s="955">
        <f>NEWAGE!V26</f>
        <v>34.149499999999996</v>
      </c>
      <c r="W26" s="964">
        <f>NEWAGE!W26</f>
        <v>14.03</v>
      </c>
      <c r="X26" s="965">
        <f>(NEWAGE!N26+NEWAGE!P26+NEWAGE!T26)-(NEWAGE_CCS!N26+NEWAGE_CCS!P26+NEWAGE_CCS!T26)</f>
        <v>8.6852199999999584</v>
      </c>
      <c r="Y26" s="565">
        <f>(NEWAGE!O26+NEWAGE!U26)-(NEWAGE_CCS!O26+NEWAGE_CCS!U26)</f>
        <v>2.9160850000000096</v>
      </c>
      <c r="Z26" s="276">
        <f>IF(GEP_Aggreg!K26="-",,GEP_Aggreg!K26)</f>
        <v>0.01</v>
      </c>
      <c r="AA26" s="225">
        <f>IF(GEP_Aggreg!L26="-",,GEP_Aggreg!L26)</f>
        <v>7.91</v>
      </c>
      <c r="AB26" s="225">
        <f>IF(GEP_Aggreg!P26="-",,GEP_Aggreg!P26)</f>
        <v>0.19</v>
      </c>
      <c r="AC26" s="225">
        <f>IF(GEP_Aggreg!Q26="-",,GEP_Aggreg!Q26)</f>
        <v>3.02</v>
      </c>
      <c r="AD26" s="225"/>
      <c r="AE26" s="225"/>
      <c r="AF26" s="223">
        <f t="shared" si="2"/>
        <v>2130.2599999999998</v>
      </c>
      <c r="AG26" s="223">
        <f t="shared" si="3"/>
        <v>2107.528695</v>
      </c>
      <c r="AH26" s="224">
        <f>IF(G26='Table 1.1 complete'!C72,AF26-SUM('Table 1.1 complete'!E72:E145),"error")</f>
        <v>0.26000000000021828</v>
      </c>
      <c r="AI26" s="225">
        <f>IF(G26='Table 1.2 complete'!C72,AF26-SUM('Table 1.2 complete'!K72:K145),"error")</f>
        <v>5.9999999999490683E-2</v>
      </c>
      <c r="AJ26" s="224">
        <f>'Table 1.2 complete'!K31-'Table 1.1 complete'!E31</f>
        <v>0</v>
      </c>
    </row>
    <row r="27" spans="1:36" x14ac:dyDescent="0.25">
      <c r="F27" s="543">
        <v>99</v>
      </c>
      <c r="G27" s="227" t="s">
        <v>277</v>
      </c>
      <c r="H27" s="114">
        <f>IF(GEP_Aggreg!E27="-",,GEP_Aggreg!E27)</f>
        <v>11.32</v>
      </c>
      <c r="I27" s="114">
        <f>IF(GEP_Aggreg!F27="-",,GEP_Aggreg!F27*0.9)</f>
        <v>88.766999999999996</v>
      </c>
      <c r="J27" s="114">
        <f>IF(GEP_Aggreg!F27="-",,GEP_Aggreg!F27*0.1)</f>
        <v>9.8629999999999995</v>
      </c>
      <c r="K27" s="114">
        <f>IF(GEP_Aggreg!G27="-",,GEP_Aggreg!G27)</f>
        <v>1.02</v>
      </c>
      <c r="L27" s="114">
        <f>IF(GEP_Aggreg!H27="-",,GEP_Aggreg!H27*(1-0.99))</f>
        <v>1.2500000000000011E-2</v>
      </c>
      <c r="M27" s="114">
        <f>IF(GEP_Aggreg!H27="-",,GEP_Aggreg!H27*0.99)</f>
        <v>1.2375</v>
      </c>
      <c r="N27" s="114">
        <f>IF(GEP_Aggreg!$I27="-",,GEP_Aggreg!$I27*0.75)</f>
        <v>200.28000000000003</v>
      </c>
      <c r="O27" s="114">
        <f>IF(GEP_Aggreg!$I27="-",,GEP_Aggreg!$I27*0.25)</f>
        <v>66.760000000000005</v>
      </c>
      <c r="P27" s="114">
        <f>IF(GEP_Aggreg!J27="-",,GEP_Aggreg!J27)</f>
        <v>0</v>
      </c>
      <c r="Q27" s="114">
        <f>IF(GEP_Aggreg!$M27="-",,GEP_Aggreg!$M27/3)</f>
        <v>22.66333333333333</v>
      </c>
      <c r="R27" s="114">
        <f>IF(GEP_Aggreg!$M27="-",,GEP_Aggreg!$M27/3)</f>
        <v>22.66333333333333</v>
      </c>
      <c r="S27" s="114">
        <f>IF(GEP_Aggreg!$M27="-",,GEP_Aggreg!$M27/3)</f>
        <v>22.66333333333333</v>
      </c>
      <c r="T27" s="114">
        <f>IF(GEP_Aggreg!$N27="-",,GEP_Aggreg!$N27/3)</f>
        <v>56.69</v>
      </c>
      <c r="U27" s="114">
        <f>IF(GEP_Aggreg!$N27="-",,GEP_Aggreg!$N27/3)</f>
        <v>56.69</v>
      </c>
      <c r="V27" s="114">
        <f>IF(GEP_Aggreg!$N27="-",,GEP_Aggreg!$N27/3)</f>
        <v>56.69</v>
      </c>
      <c r="W27" s="114">
        <f>IF(GEP_Aggreg!O27="-",IF(GEP_Aggreg!R27="-",,GEP_Aggreg!R27),IF(GEP_Aggreg!R27="-",GEP_Aggreg!O27,GEP_Aggreg!O27+GEP_Aggreg!R27))</f>
        <v>0.76</v>
      </c>
      <c r="X27" s="556"/>
      <c r="Y27" s="556"/>
      <c r="Z27" s="114">
        <f>IF(GEP_Aggreg!K27="-",,GEP_Aggreg!K27)</f>
        <v>0</v>
      </c>
      <c r="AA27" s="114">
        <f>IF(GEP_Aggreg!L27="-",,GEP_Aggreg!L27)</f>
        <v>0</v>
      </c>
      <c r="AB27" s="114">
        <f>IF(GEP_Aggreg!P27="-",,GEP_Aggreg!P27)</f>
        <v>0</v>
      </c>
      <c r="AC27" s="114">
        <f>IF(GEP_Aggreg!Q27="-",,GEP_Aggreg!Q27)</f>
        <v>0</v>
      </c>
      <c r="AD27" s="114"/>
      <c r="AE27" s="114"/>
      <c r="AF27" s="150">
        <f t="shared" si="2"/>
        <v>618.08000000000015</v>
      </c>
      <c r="AG27" s="150">
        <f t="shared" si="3"/>
        <v>618.08000000000015</v>
      </c>
      <c r="AH27" s="107">
        <f>IF(G27='Table 1.1 complete'!C146,AF27-'Table 1.1 complete'!E146,"error")</f>
        <v>-1.9999999999868123E-2</v>
      </c>
      <c r="AI27" s="114">
        <f>IF(G27='Table 1.2 complete'!C146,AF27-SUM('Table 1.2 complete'!K146),"error")</f>
        <v>1.0000000000104592E-2</v>
      </c>
      <c r="AJ27" s="107">
        <f>'Table 1.2 complete'!K32-'Table 1.1 complete'!E32</f>
        <v>-3.9999999999999147E-2</v>
      </c>
    </row>
    <row r="28" spans="1:36" x14ac:dyDescent="0.25">
      <c r="C28" s="519"/>
      <c r="D28" s="514"/>
      <c r="F28" s="226">
        <v>99</v>
      </c>
      <c r="G28" s="228" t="s">
        <v>278</v>
      </c>
      <c r="H28" s="114">
        <f>IF(GEP_Aggreg!E28="-",,GEP_Aggreg!E28)</f>
        <v>60.39</v>
      </c>
      <c r="I28" s="114">
        <f>IF(GEP_Aggreg!F28="-",,GEP_Aggreg!F28*0.9)</f>
        <v>233.99100000000001</v>
      </c>
      <c r="J28" s="114">
        <f>IF(GEP_Aggreg!F28="-",,GEP_Aggreg!F28*0.1)</f>
        <v>25.999000000000002</v>
      </c>
      <c r="K28" s="114">
        <f>IF(GEP_Aggreg!G28="-",,GEP_Aggreg!G28)</f>
        <v>17.239999999999998</v>
      </c>
      <c r="L28" s="114">
        <f>IF(GEP_Aggreg!H28="-",,GEP_Aggreg!H28*(1-0.99))</f>
        <v>0.12200000000000009</v>
      </c>
      <c r="M28" s="114">
        <f>IF(GEP_Aggreg!H28="-",,GEP_Aggreg!H28*0.99)</f>
        <v>12.077999999999999</v>
      </c>
      <c r="N28" s="114">
        <f>IF(GEP_Aggreg!$I28="-",,GEP_Aggreg!$I28*0.75)</f>
        <v>536.97749999999996</v>
      </c>
      <c r="O28" s="114">
        <f>IF(GEP_Aggreg!$I28="-",,GEP_Aggreg!$I28*0.25)</f>
        <v>178.99250000000001</v>
      </c>
      <c r="P28" s="114">
        <f>IF(GEP_Aggreg!J28="-",,GEP_Aggreg!J28)</f>
        <v>116.37</v>
      </c>
      <c r="Q28" s="114">
        <f>IF(GEP_Aggreg!$M28="-",,GEP_Aggreg!$M28/3)</f>
        <v>53.29666666666666</v>
      </c>
      <c r="R28" s="114">
        <f>IF(GEP_Aggreg!$M28="-",,GEP_Aggreg!$M28/3)</f>
        <v>53.29666666666666</v>
      </c>
      <c r="S28" s="114">
        <f>IF(GEP_Aggreg!$M28="-",,GEP_Aggreg!$M28/3)</f>
        <v>53.29666666666666</v>
      </c>
      <c r="T28" s="114">
        <f>IF(GEP_Aggreg!$N28="-",,GEP_Aggreg!$N28/3)</f>
        <v>141.54666666666665</v>
      </c>
      <c r="U28" s="114">
        <f>IF(GEP_Aggreg!$N28="-",,GEP_Aggreg!$N28/3)</f>
        <v>141.54666666666665</v>
      </c>
      <c r="V28" s="114">
        <f>IF(GEP_Aggreg!$N28="-",,GEP_Aggreg!$N28/3)</f>
        <v>141.54666666666665</v>
      </c>
      <c r="W28" s="114">
        <f>IF(GEP_Aggreg!O28="-",IF(GEP_Aggreg!R28="-",,GEP_Aggreg!R28),IF(GEP_Aggreg!R28="-",GEP_Aggreg!O28,GEP_Aggreg!O28+GEP_Aggreg!R28))</f>
        <v>6.8199999999999994</v>
      </c>
      <c r="X28" s="556"/>
      <c r="Y28" s="556"/>
      <c r="Z28" s="114">
        <f>IF(GEP_Aggreg!K28="-",,GEP_Aggreg!K28)</f>
        <v>0</v>
      </c>
      <c r="AA28" s="114">
        <f>IF(GEP_Aggreg!L28="-",,GEP_Aggreg!L28)</f>
        <v>3.85</v>
      </c>
      <c r="AB28" s="114">
        <f>IF(GEP_Aggreg!P28="-",,GEP_Aggreg!P28)</f>
        <v>0</v>
      </c>
      <c r="AC28" s="114">
        <f>IF(GEP_Aggreg!Q28="-",,GEP_Aggreg!Q28)</f>
        <v>3.02</v>
      </c>
      <c r="AD28" s="114"/>
      <c r="AE28" s="114"/>
      <c r="AF28" s="150">
        <f t="shared" si="2"/>
        <v>1780.3799999999994</v>
      </c>
      <c r="AG28" s="150">
        <f t="shared" si="3"/>
        <v>1773.5099999999995</v>
      </c>
      <c r="AH28" s="107">
        <f>IF(G28='Table 1.1 complete'!C147,AF28-'Table 1.1 complete'!E147,"error")</f>
        <v>-2.0000000000663931E-2</v>
      </c>
      <c r="AI28" s="114">
        <f>IF(G28='Table 1.2 complete'!C147,AF28-SUM('Table 1.2 complete'!K147),"error")</f>
        <v>1.9999999999527063E-2</v>
      </c>
      <c r="AJ28" s="107">
        <f>'Table 1.2 complete'!K33-'Table 1.1 complete'!E33</f>
        <v>4.9999999999982947E-2</v>
      </c>
    </row>
    <row r="29" spans="1:36" x14ac:dyDescent="0.25">
      <c r="F29" s="226">
        <v>99</v>
      </c>
      <c r="G29" s="228" t="s">
        <v>279</v>
      </c>
      <c r="H29" s="114">
        <f>IF(GEP_Aggreg!E29="-",,GEP_Aggreg!E29)</f>
        <v>62.13</v>
      </c>
      <c r="I29" s="114">
        <f>IF(GEP_Aggreg!F29="-",,GEP_Aggreg!F29*0.9)</f>
        <v>436.73399999999998</v>
      </c>
      <c r="J29" s="114">
        <f>IF(GEP_Aggreg!F29="-",,GEP_Aggreg!F29*0.1)</f>
        <v>48.526000000000003</v>
      </c>
      <c r="K29" s="114">
        <f>IF(GEP_Aggreg!G29="-",,GEP_Aggreg!G29)</f>
        <v>0</v>
      </c>
      <c r="L29" s="114">
        <f>IF(GEP_Aggreg!H29="-",,GEP_Aggreg!H29*(1-0.99))</f>
        <v>8.9100000000000082E-2</v>
      </c>
      <c r="M29" s="114">
        <f>IF(GEP_Aggreg!H29="-",,GEP_Aggreg!H29*0.99)</f>
        <v>8.8209</v>
      </c>
      <c r="N29" s="114">
        <f>IF(GEP_Aggreg!$I29="-",,GEP_Aggreg!$I29*0.75)</f>
        <v>1997.1374999999998</v>
      </c>
      <c r="O29" s="114">
        <f>IF(GEP_Aggreg!$I29="-",,GEP_Aggreg!$I29*0.25)</f>
        <v>665.71249999999998</v>
      </c>
      <c r="P29" s="114">
        <f>IF(GEP_Aggreg!J29="-",,GEP_Aggreg!J29)</f>
        <v>0</v>
      </c>
      <c r="Q29" s="114">
        <f>IF(GEP_Aggreg!$M29="-",,GEP_Aggreg!$M29/3)</f>
        <v>11.25</v>
      </c>
      <c r="R29" s="114">
        <f>IF(GEP_Aggreg!$M29="-",,GEP_Aggreg!$M29/3)</f>
        <v>11.25</v>
      </c>
      <c r="S29" s="114">
        <f>IF(GEP_Aggreg!$M29="-",,GEP_Aggreg!$M29/3)</f>
        <v>11.25</v>
      </c>
      <c r="T29" s="114">
        <f>IF(GEP_Aggreg!$N29="-",,GEP_Aggreg!$N29/3)</f>
        <v>0</v>
      </c>
      <c r="U29" s="114">
        <f>IF(GEP_Aggreg!$N29="-",,GEP_Aggreg!$N29/3)</f>
        <v>0</v>
      </c>
      <c r="V29" s="114">
        <f>IF(GEP_Aggreg!$N29="-",,GEP_Aggreg!$N29/3)</f>
        <v>0</v>
      </c>
      <c r="W29" s="114">
        <f>IF(GEP_Aggreg!O29="-",IF(GEP_Aggreg!R29="-",,GEP_Aggreg!R29),IF(GEP_Aggreg!R29="-",GEP_Aggreg!O29,GEP_Aggreg!O29+GEP_Aggreg!R29))</f>
        <v>2.31</v>
      </c>
      <c r="X29" s="556"/>
      <c r="Y29" s="556"/>
      <c r="Z29" s="114">
        <f>IF(GEP_Aggreg!K29="-",,GEP_Aggreg!K29)</f>
        <v>0</v>
      </c>
      <c r="AA29" s="114">
        <f>IF(GEP_Aggreg!L29="-",,GEP_Aggreg!L29)</f>
        <v>22.12</v>
      </c>
      <c r="AB29" s="114">
        <f>IF(GEP_Aggreg!P29="-",,GEP_Aggreg!P29)</f>
        <v>0</v>
      </c>
      <c r="AC29" s="114">
        <f>IF(GEP_Aggreg!Q29="-",,GEP_Aggreg!Q29)</f>
        <v>40.86</v>
      </c>
      <c r="AD29" s="114"/>
      <c r="AE29" s="114"/>
      <c r="AF29" s="150">
        <f t="shared" si="2"/>
        <v>3318.19</v>
      </c>
      <c r="AG29" s="150">
        <f t="shared" si="3"/>
        <v>3255.21</v>
      </c>
      <c r="AH29" s="107">
        <f>IF(G29='Table 1.1 complete'!C148,AF29-'Table 1.1 complete'!E148,"error")</f>
        <v>-9.9999999997635314E-3</v>
      </c>
      <c r="AI29" s="114">
        <f>IF(G29='Table 1.2 complete'!C148,AF29-SUM('Table 1.2 complete'!K148),"error")</f>
        <v>0</v>
      </c>
      <c r="AJ29" s="107">
        <f>'Table 1.2 complete'!K34-'Table 1.1 complete'!E34</f>
        <v>-3.0000000000001137E-2</v>
      </c>
    </row>
    <row r="30" spans="1:36" x14ac:dyDescent="0.25">
      <c r="F30" s="226">
        <v>99</v>
      </c>
      <c r="G30" s="228" t="s">
        <v>280</v>
      </c>
      <c r="H30" s="114">
        <f>IF(GEP_Aggreg!E30="-",,GEP_Aggreg!E30)</f>
        <v>264.97000000000003</v>
      </c>
      <c r="I30" s="114">
        <f>IF(GEP_Aggreg!F30="-",,GEP_Aggreg!F30*0.9)</f>
        <v>224.721</v>
      </c>
      <c r="J30" s="114">
        <f>IF(GEP_Aggreg!F30="-",,GEP_Aggreg!F30*0.1)</f>
        <v>24.969000000000001</v>
      </c>
      <c r="K30" s="114">
        <f>IF(GEP_Aggreg!G30="-",,GEP_Aggreg!G30)</f>
        <v>0.49</v>
      </c>
      <c r="L30" s="114">
        <f>IF(GEP_Aggreg!H30="-",,GEP_Aggreg!H30*(1-0.99))</f>
        <v>5.4000000000000055E-3</v>
      </c>
      <c r="M30" s="114">
        <f>IF(GEP_Aggreg!H30="-",,GEP_Aggreg!H30*0.99)</f>
        <v>0.53460000000000008</v>
      </c>
      <c r="N30" s="114">
        <f>IF(GEP_Aggreg!$I30="-",,GEP_Aggreg!$I30*0.75)</f>
        <v>163.49250000000001</v>
      </c>
      <c r="O30" s="114">
        <f>IF(GEP_Aggreg!$I30="-",,GEP_Aggreg!$I30*0.25)</f>
        <v>54.497500000000002</v>
      </c>
      <c r="P30" s="114">
        <f>IF(GEP_Aggreg!J30="-",,GEP_Aggreg!J30)</f>
        <v>75.599999999999994</v>
      </c>
      <c r="Q30" s="114">
        <f>IF(GEP_Aggreg!$M30="-",,GEP_Aggreg!$M30/3)</f>
        <v>11.46</v>
      </c>
      <c r="R30" s="114">
        <f>IF(GEP_Aggreg!$M30="-",,GEP_Aggreg!$M30/3)</f>
        <v>11.46</v>
      </c>
      <c r="S30" s="114">
        <f>IF(GEP_Aggreg!$M30="-",,GEP_Aggreg!$M30/3)</f>
        <v>11.46</v>
      </c>
      <c r="T30" s="114">
        <f>IF(GEP_Aggreg!$N30="-",,GEP_Aggreg!$N30/3)</f>
        <v>211.09</v>
      </c>
      <c r="U30" s="114">
        <f>IF(GEP_Aggreg!$N30="-",,GEP_Aggreg!$N30/3)</f>
        <v>211.09</v>
      </c>
      <c r="V30" s="114">
        <f>IF(GEP_Aggreg!$N30="-",,GEP_Aggreg!$N30/3)</f>
        <v>211.09</v>
      </c>
      <c r="W30" s="114">
        <f>IF(GEP_Aggreg!O30="-",IF(GEP_Aggreg!R30="-",,GEP_Aggreg!R30),IF(GEP_Aggreg!R30="-",GEP_Aggreg!O30,GEP_Aggreg!O30+GEP_Aggreg!R30))</f>
        <v>0.16</v>
      </c>
      <c r="X30" s="556"/>
      <c r="Y30" s="556"/>
      <c r="Z30" s="114">
        <f>IF(GEP_Aggreg!K30="-",,GEP_Aggreg!K30)</f>
        <v>0.79</v>
      </c>
      <c r="AA30" s="114">
        <f>IF(GEP_Aggreg!L30="-",,GEP_Aggreg!L30)</f>
        <v>10.9</v>
      </c>
      <c r="AB30" s="114">
        <f>IF(GEP_Aggreg!P30="-",,GEP_Aggreg!P30)</f>
        <v>2.06</v>
      </c>
      <c r="AC30" s="114">
        <f>IF(GEP_Aggreg!Q30="-",,GEP_Aggreg!Q30)</f>
        <v>0</v>
      </c>
      <c r="AD30" s="114"/>
      <c r="AE30" s="114"/>
      <c r="AF30" s="150">
        <f t="shared" si="2"/>
        <v>1490.8400000000001</v>
      </c>
      <c r="AG30" s="150">
        <f t="shared" si="3"/>
        <v>1477.0900000000001</v>
      </c>
      <c r="AH30" s="107">
        <f>IF(G30='Table 1.1 complete'!C149,AF30-'Table 1.1 complete'!E149,"error")</f>
        <v>4.0000000000190994E-2</v>
      </c>
      <c r="AI30" s="114">
        <f>IF(G30='Table 1.2 complete'!C149,AF30-SUM('Table 1.2 complete'!K149),"error")</f>
        <v>2.0000000000209184E-2</v>
      </c>
      <c r="AJ30" s="107">
        <f>'Table 1.2 complete'!K35-'Table 1.1 complete'!E35</f>
        <v>-4.00000000000027E-2</v>
      </c>
    </row>
    <row r="31" spans="1:36" x14ac:dyDescent="0.25">
      <c r="A31" s="542" t="s">
        <v>409</v>
      </c>
      <c r="F31" s="226">
        <v>99</v>
      </c>
      <c r="G31" s="228" t="s">
        <v>281</v>
      </c>
      <c r="H31" s="114">
        <f>IF(GEP_Aggreg!E31="-",,GEP_Aggreg!E31)</f>
        <v>19.57</v>
      </c>
      <c r="I31" s="114">
        <f>IF(GEP_Aggreg!F31="-",,GEP_Aggreg!F31*0.9)</f>
        <v>602.35199999999998</v>
      </c>
      <c r="J31" s="114">
        <f>IF(GEP_Aggreg!F31="-",,GEP_Aggreg!F31*0.1)</f>
        <v>66.927999999999997</v>
      </c>
      <c r="K31" s="114">
        <f>IF(GEP_Aggreg!G31="-",,GEP_Aggreg!G31)</f>
        <v>2.86</v>
      </c>
      <c r="L31" s="114">
        <f>IF(GEP_Aggreg!H31="-",,GEP_Aggreg!H31*(1-0.99))</f>
        <v>2.4100000000000024E-2</v>
      </c>
      <c r="M31" s="114">
        <f>IF(GEP_Aggreg!H31="-",,GEP_Aggreg!H31*0.99)</f>
        <v>2.3858999999999999</v>
      </c>
      <c r="N31" s="114">
        <f>IF(GEP_Aggreg!$I31="-",,GEP_Aggreg!$I31*0.75)</f>
        <v>16.754999999999999</v>
      </c>
      <c r="O31" s="114">
        <f>IF(GEP_Aggreg!$I31="-",,GEP_Aggreg!$I31*0.25)</f>
        <v>5.585</v>
      </c>
      <c r="P31" s="114">
        <f>IF(GEP_Aggreg!J31="-",,GEP_Aggreg!J31)</f>
        <v>5.96</v>
      </c>
      <c r="Q31" s="114">
        <f>IF(GEP_Aggreg!$M31="-",,GEP_Aggreg!$M31/3)</f>
        <v>41.783333333333331</v>
      </c>
      <c r="R31" s="114">
        <f>IF(GEP_Aggreg!$M31="-",,GEP_Aggreg!$M31/3)</f>
        <v>41.783333333333331</v>
      </c>
      <c r="S31" s="114">
        <f>IF(GEP_Aggreg!$M31="-",,GEP_Aggreg!$M31/3)</f>
        <v>41.783333333333331</v>
      </c>
      <c r="T31" s="114">
        <f>IF(GEP_Aggreg!$N31="-",,GEP_Aggreg!$N31/3)</f>
        <v>42.726666666666667</v>
      </c>
      <c r="U31" s="114">
        <f>IF(GEP_Aggreg!$N31="-",,GEP_Aggreg!$N31/3)</f>
        <v>42.726666666666667</v>
      </c>
      <c r="V31" s="114">
        <f>IF(GEP_Aggreg!$N31="-",,GEP_Aggreg!$N31/3)</f>
        <v>42.726666666666667</v>
      </c>
      <c r="W31" s="114">
        <f>IF(GEP_Aggreg!O31="-",IF(GEP_Aggreg!R31="-",,GEP_Aggreg!R31),IF(GEP_Aggreg!R31="-",GEP_Aggreg!O31,GEP_Aggreg!O31+GEP_Aggreg!R31))</f>
        <v>25.950000000000003</v>
      </c>
      <c r="X31" s="556"/>
      <c r="Y31" s="556"/>
      <c r="Z31" s="114">
        <f>IF(GEP_Aggreg!K31="-",,GEP_Aggreg!K31)</f>
        <v>0</v>
      </c>
      <c r="AA31" s="114">
        <f>IF(GEP_Aggreg!L31="-",,GEP_Aggreg!L31)</f>
        <v>5</v>
      </c>
      <c r="AB31" s="114">
        <f>IF(GEP_Aggreg!P31="-",,GEP_Aggreg!P31)</f>
        <v>0</v>
      </c>
      <c r="AC31" s="114">
        <f>IF(GEP_Aggreg!Q31="-",,GEP_Aggreg!Q31)</f>
        <v>0</v>
      </c>
      <c r="AD31" s="114"/>
      <c r="AE31" s="114"/>
      <c r="AF31" s="150">
        <f t="shared" si="2"/>
        <v>1006.9000000000001</v>
      </c>
      <c r="AG31" s="150">
        <f t="shared" si="3"/>
        <v>1001.9000000000001</v>
      </c>
      <c r="AH31" s="107">
        <f>IF(G31='Table 1.1 complete'!C150,AF31-'Table 1.1 complete'!E150,"error")</f>
        <v>1.1368683772161603E-13</v>
      </c>
      <c r="AI31" s="114">
        <f>IF(G31='Table 1.2 complete'!C150,AF31-SUM('Table 1.2 complete'!K150),"error")</f>
        <v>2.0000000000095497E-2</v>
      </c>
      <c r="AJ31" s="107">
        <f>'Table 1.2 complete'!K36-'Table 1.1 complete'!E36</f>
        <v>-3.0000000000001137E-2</v>
      </c>
    </row>
    <row r="32" spans="1:36" x14ac:dyDescent="0.25">
      <c r="A32" s="541" t="s">
        <v>404</v>
      </c>
      <c r="E32" s="535"/>
      <c r="F32" s="226">
        <v>99</v>
      </c>
      <c r="G32" s="227" t="s">
        <v>282</v>
      </c>
      <c r="H32" s="114">
        <f>IF(GEP_Aggreg!E32="-",,GEP_Aggreg!E32)</f>
        <v>0</v>
      </c>
      <c r="I32" s="114">
        <f>IF(GEP_Aggreg!F32="-",,GEP_Aggreg!F32*0.9)</f>
        <v>20.421000000000003</v>
      </c>
      <c r="J32" s="114">
        <f>IF(GEP_Aggreg!F32="-",,GEP_Aggreg!F32*0.1)</f>
        <v>2.2690000000000001</v>
      </c>
      <c r="K32" s="114">
        <f>IF(GEP_Aggreg!G32="-",,GEP_Aggreg!G32)</f>
        <v>0</v>
      </c>
      <c r="L32" s="114">
        <f>IF(GEP_Aggreg!H32="-",,GEP_Aggreg!H32*(1-0.99))</f>
        <v>1.6000000000000014E-3</v>
      </c>
      <c r="M32" s="114">
        <f>IF(GEP_Aggreg!H32="-",,GEP_Aggreg!H32*0.99)</f>
        <v>0.15840000000000001</v>
      </c>
      <c r="N32" s="114">
        <f>IF(GEP_Aggreg!$I32="-",,GEP_Aggreg!$I32*0.75)</f>
        <v>27.9375</v>
      </c>
      <c r="O32" s="114">
        <f>IF(GEP_Aggreg!$I32="-",,GEP_Aggreg!$I32*0.25)</f>
        <v>9.3125</v>
      </c>
      <c r="P32" s="114">
        <f>IF(GEP_Aggreg!J32="-",,GEP_Aggreg!J32)</f>
        <v>0.16</v>
      </c>
      <c r="Q32" s="114">
        <f>IF(GEP_Aggreg!$M32="-",,GEP_Aggreg!$M32/3)</f>
        <v>83.356666666666669</v>
      </c>
      <c r="R32" s="114">
        <f>IF(GEP_Aggreg!$M32="-",,GEP_Aggreg!$M32/3)</f>
        <v>83.356666666666669</v>
      </c>
      <c r="S32" s="114">
        <f>IF(GEP_Aggreg!$M32="-",,GEP_Aggreg!$M32/3)</f>
        <v>83.356666666666669</v>
      </c>
      <c r="T32" s="114">
        <f>IF(GEP_Aggreg!$N32="-",,GEP_Aggreg!$N32/3)</f>
        <v>134.76</v>
      </c>
      <c r="U32" s="114">
        <f>IF(GEP_Aggreg!$N32="-",,GEP_Aggreg!$N32/3)</f>
        <v>134.76</v>
      </c>
      <c r="V32" s="114">
        <f>IF(GEP_Aggreg!$N32="-",,GEP_Aggreg!$N32/3)</f>
        <v>134.76</v>
      </c>
      <c r="W32" s="114">
        <f>IF(GEP_Aggreg!O32="-",IF(GEP_Aggreg!R32="-",,GEP_Aggreg!R32),IF(GEP_Aggreg!R32="-",GEP_Aggreg!O32,GEP_Aggreg!O32+GEP_Aggreg!R32))</f>
        <v>0.01</v>
      </c>
      <c r="X32" s="556"/>
      <c r="Y32" s="556"/>
      <c r="Z32" s="114">
        <f>IF(GEP_Aggreg!K32="-",,GEP_Aggreg!K32)</f>
        <v>0</v>
      </c>
      <c r="AA32" s="114">
        <f>IF(GEP_Aggreg!L32="-",,GEP_Aggreg!L32)</f>
        <v>0</v>
      </c>
      <c r="AB32" s="114">
        <f>IF(GEP_Aggreg!P32="-",,GEP_Aggreg!P32)</f>
        <v>0</v>
      </c>
      <c r="AC32" s="114">
        <f>IF(GEP_Aggreg!Q32="-",,GEP_Aggreg!Q32)</f>
        <v>0</v>
      </c>
      <c r="AD32" s="114"/>
      <c r="AE32" s="114"/>
      <c r="AF32" s="150">
        <f t="shared" si="2"/>
        <v>714.62</v>
      </c>
      <c r="AG32" s="150">
        <f t="shared" si="3"/>
        <v>714.62</v>
      </c>
      <c r="AH32" s="107">
        <f>IF(G32='Table 1.1 complete'!C151,AF32-'Table 1.1 complete'!E151,"error")</f>
        <v>1.999999999998181E-2</v>
      </c>
      <c r="AI32" s="114">
        <f>IF(G32='Table 1.2 complete'!C151,AF32-SUM('Table 1.2 complete'!K151),"error")</f>
        <v>1.999999999998181E-2</v>
      </c>
      <c r="AJ32" s="107">
        <f>'Table 1.2 complete'!K37-'Table 1.1 complete'!E37</f>
        <v>4.0000000000077307E-2</v>
      </c>
    </row>
    <row r="33" spans="1:36" x14ac:dyDescent="0.25">
      <c r="A33" s="541" t="s">
        <v>405</v>
      </c>
      <c r="F33" s="226">
        <v>99</v>
      </c>
      <c r="G33" s="228" t="s">
        <v>283</v>
      </c>
      <c r="H33" s="114">
        <f>IF(GEP_Aggreg!E33="-",,GEP_Aggreg!E33)</f>
        <v>28.05</v>
      </c>
      <c r="I33" s="114">
        <f>IF(GEP_Aggreg!F33="-",,GEP_Aggreg!F33*0.9)</f>
        <v>40.230000000000004</v>
      </c>
      <c r="J33" s="114">
        <f>IF(GEP_Aggreg!F33="-",,GEP_Aggreg!F33*0.1)</f>
        <v>4.4700000000000006</v>
      </c>
      <c r="K33" s="114">
        <f>IF(GEP_Aggreg!G33="-",,GEP_Aggreg!G33)</f>
        <v>0</v>
      </c>
      <c r="L33" s="114">
        <f>IF(GEP_Aggreg!H33="-",,GEP_Aggreg!H33*(1-0.99))</f>
        <v>9.0000000000000073E-4</v>
      </c>
      <c r="M33" s="114">
        <f>IF(GEP_Aggreg!H33="-",,GEP_Aggreg!H33*0.99)</f>
        <v>8.9099999999999999E-2</v>
      </c>
      <c r="N33" s="114">
        <f>IF(GEP_Aggreg!$I33="-",,GEP_Aggreg!$I33*0.75)</f>
        <v>11.685</v>
      </c>
      <c r="O33" s="114">
        <f>IF(GEP_Aggreg!$I33="-",,GEP_Aggreg!$I33*0.25)</f>
        <v>3.895</v>
      </c>
      <c r="P33" s="114">
        <f>IF(GEP_Aggreg!J33="-",,GEP_Aggreg!J33)</f>
        <v>78.239999999999995</v>
      </c>
      <c r="Q33" s="114">
        <f>IF(GEP_Aggreg!$M33="-",,GEP_Aggreg!$M33/3)</f>
        <v>4.166666666666667</v>
      </c>
      <c r="R33" s="114">
        <f>IF(GEP_Aggreg!$M33="-",,GEP_Aggreg!$M33/3)</f>
        <v>4.166666666666667</v>
      </c>
      <c r="S33" s="114">
        <f>IF(GEP_Aggreg!$M33="-",,GEP_Aggreg!$M33/3)</f>
        <v>4.166666666666667</v>
      </c>
      <c r="T33" s="114">
        <f>IF(GEP_Aggreg!$N33="-",,GEP_Aggreg!$N33/3)</f>
        <v>5.9333333333333336</v>
      </c>
      <c r="U33" s="114">
        <f>IF(GEP_Aggreg!$N33="-",,GEP_Aggreg!$N33/3)</f>
        <v>5.9333333333333336</v>
      </c>
      <c r="V33" s="114">
        <f>IF(GEP_Aggreg!$N33="-",,GEP_Aggreg!$N33/3)</f>
        <v>5.9333333333333336</v>
      </c>
      <c r="W33" s="114">
        <f>IF(GEP_Aggreg!O33="-",IF(GEP_Aggreg!R33="-",,GEP_Aggreg!R33),IF(GEP_Aggreg!R33="-",GEP_Aggreg!O33,GEP_Aggreg!O33+GEP_Aggreg!R33))</f>
        <v>0.16</v>
      </c>
      <c r="X33" s="556"/>
      <c r="Y33" s="556"/>
      <c r="Z33" s="114">
        <f>IF(GEP_Aggreg!K33="-",,GEP_Aggreg!K33)</f>
        <v>0</v>
      </c>
      <c r="AA33" s="114">
        <f>IF(GEP_Aggreg!L33="-",,GEP_Aggreg!L33)</f>
        <v>0.41</v>
      </c>
      <c r="AB33" s="114">
        <f>IF(GEP_Aggreg!P33="-",,GEP_Aggreg!P33)</f>
        <v>0.01</v>
      </c>
      <c r="AC33" s="114">
        <f>IF(GEP_Aggreg!Q33="-",,GEP_Aggreg!Q33)</f>
        <v>0</v>
      </c>
      <c r="AD33" s="114"/>
      <c r="AE33" s="114"/>
      <c r="AF33" s="150">
        <f t="shared" si="2"/>
        <v>197.53999999999996</v>
      </c>
      <c r="AG33" s="150">
        <f t="shared" si="3"/>
        <v>197.11999999999998</v>
      </c>
      <c r="AH33" s="107">
        <f>IF(G33='Table 1.1 complete'!C152,AF33-'Table 1.1 complete'!E152,"error")</f>
        <v>3.999999999996362E-2</v>
      </c>
      <c r="AI33" s="114">
        <f>IF(G33='Table 1.2 complete'!C152,AF33-SUM('Table 1.2 complete'!K152),"error")</f>
        <v>1.9999999999953388E-2</v>
      </c>
      <c r="AJ33" s="107">
        <f>'Table 1.2 complete'!K38-'Table 1.1 complete'!E38</f>
        <v>-1.9999999999999574E-2</v>
      </c>
    </row>
    <row r="34" spans="1:36" x14ac:dyDescent="0.25">
      <c r="A34" s="541" t="s">
        <v>375</v>
      </c>
      <c r="F34" s="226">
        <v>99</v>
      </c>
      <c r="G34" s="228" t="s">
        <v>284</v>
      </c>
      <c r="H34" s="114">
        <f>IF(GEP_Aggreg!E34="-",,GEP_Aggreg!E34)</f>
        <v>446.42</v>
      </c>
      <c r="I34" s="114">
        <f>IF(GEP_Aggreg!F34="-",,GEP_Aggreg!F34*0.9)</f>
        <v>1647.2070000000001</v>
      </c>
      <c r="J34" s="114">
        <f>IF(GEP_Aggreg!F34="-",,GEP_Aggreg!F34*0.1)</f>
        <v>183.02300000000002</v>
      </c>
      <c r="K34" s="114">
        <f>IF(GEP_Aggreg!G34="-",,GEP_Aggreg!G34)</f>
        <v>21.61</v>
      </c>
      <c r="L34" s="114">
        <f>IF(GEP_Aggreg!H34="-",,GEP_Aggreg!H34*(1-0.99))</f>
        <v>0.25540000000000024</v>
      </c>
      <c r="M34" s="114">
        <f>IF(GEP_Aggreg!H34="-",,GEP_Aggreg!H34*0.99)</f>
        <v>25.284599999999998</v>
      </c>
      <c r="N34" s="114">
        <f>IF(GEP_Aggreg!$I34="-",,GEP_Aggreg!$I34*0.75)</f>
        <v>2954.2575000000002</v>
      </c>
      <c r="O34" s="114">
        <f>IF(GEP_Aggreg!$I34="-",,GEP_Aggreg!$I34*0.25)</f>
        <v>984.75250000000005</v>
      </c>
      <c r="P34" s="114">
        <f>IF(GEP_Aggreg!J34="-",,GEP_Aggreg!J34)</f>
        <v>276.32</v>
      </c>
      <c r="Q34" s="114">
        <f>IF(GEP_Aggreg!$M34="-",,GEP_Aggreg!$M34/3)</f>
        <v>227.97</v>
      </c>
      <c r="R34" s="114">
        <f>IF(GEP_Aggreg!$M34="-",,GEP_Aggreg!$M34/3)</f>
        <v>227.97</v>
      </c>
      <c r="S34" s="114">
        <f>IF(GEP_Aggreg!$M34="-",,GEP_Aggreg!$M34/3)</f>
        <v>227.97</v>
      </c>
      <c r="T34" s="114">
        <f>IF(GEP_Aggreg!$N34="-",,GEP_Aggreg!$N34/3)</f>
        <v>606.36</v>
      </c>
      <c r="U34" s="114">
        <f>IF(GEP_Aggreg!$N34="-",,GEP_Aggreg!$N34/3)</f>
        <v>606.36</v>
      </c>
      <c r="V34" s="114">
        <f>IF(GEP_Aggreg!$N34="-",,GEP_Aggreg!$N34/3)</f>
        <v>606.36</v>
      </c>
      <c r="W34" s="114">
        <f>IF(GEP_Aggreg!O34="-",IF(GEP_Aggreg!R34="-",,GEP_Aggreg!R34),IF(GEP_Aggreg!R34="-",GEP_Aggreg!O34,GEP_Aggreg!O34+GEP_Aggreg!R34))</f>
        <v>36.160000000000004</v>
      </c>
      <c r="X34" s="556"/>
      <c r="Y34" s="556"/>
      <c r="Z34" s="114">
        <f>IF(GEP_Aggreg!K34="-",,GEP_Aggreg!K34)</f>
        <v>0.79</v>
      </c>
      <c r="AA34" s="114">
        <f>IF(GEP_Aggreg!L34="-",,GEP_Aggreg!L34)</f>
        <v>42.28</v>
      </c>
      <c r="AB34" s="114">
        <f>IF(GEP_Aggreg!P34="-",,GEP_Aggreg!P34)</f>
        <v>2.0699999999999998</v>
      </c>
      <c r="AC34" s="114">
        <f>IF(GEP_Aggreg!Q34="-",,GEP_Aggreg!Q34)</f>
        <v>3.02</v>
      </c>
      <c r="AD34" s="114"/>
      <c r="AE34" s="114"/>
      <c r="AF34" s="150">
        <f t="shared" si="2"/>
        <v>9126.4400000000041</v>
      </c>
      <c r="AG34" s="150">
        <f t="shared" si="3"/>
        <v>9078.2800000000025</v>
      </c>
      <c r="AH34" s="107">
        <f>IF(G34='Table 1.1 complete'!C153,AF34-'Table 1.1 complete'!E153,"error")</f>
        <v>4.0000000004511094E-2</v>
      </c>
      <c r="AI34" s="114">
        <f>IF(G34='Table 1.2 complete'!C153,AF34-SUM('Table 1.2 complete'!K153),"error")</f>
        <v>1.0000000003856258E-2</v>
      </c>
      <c r="AJ34" s="107">
        <f>'Table 1.2 complete'!K39-'Table 1.1 complete'!E39</f>
        <v>9.9999999999909051E-3</v>
      </c>
    </row>
    <row r="35" spans="1:36" x14ac:dyDescent="0.25">
      <c r="A35" s="541" t="s">
        <v>335</v>
      </c>
      <c r="F35" s="226">
        <v>99</v>
      </c>
      <c r="G35" s="228" t="s">
        <v>285</v>
      </c>
      <c r="H35" s="114">
        <f>IF(GEP_Aggreg!E35="-",,GEP_Aggreg!E35)</f>
        <v>446.42</v>
      </c>
      <c r="I35" s="114">
        <f>IF(GEP_Aggreg!F35="-",,GEP_Aggreg!F35*0.9)</f>
        <v>1647.2070000000001</v>
      </c>
      <c r="J35" s="114">
        <f>IF(GEP_Aggreg!F35="-",,GEP_Aggreg!F35*0.1)</f>
        <v>183.02300000000002</v>
      </c>
      <c r="K35" s="114">
        <f>IF(GEP_Aggreg!G35="-",,GEP_Aggreg!G35)</f>
        <v>21.61</v>
      </c>
      <c r="L35" s="114">
        <f>IF(GEP_Aggreg!H35="-",,GEP_Aggreg!H35*(1-0.99))</f>
        <v>0.25540000000000024</v>
      </c>
      <c r="M35" s="114">
        <f>IF(GEP_Aggreg!H35="-",,GEP_Aggreg!H35*0.99)</f>
        <v>25.284599999999998</v>
      </c>
      <c r="N35" s="114">
        <f>IF(GEP_Aggreg!$I35="-",,GEP_Aggreg!$I35*0.75)</f>
        <v>2954.2575000000002</v>
      </c>
      <c r="O35" s="114">
        <f>IF(GEP_Aggreg!$I35="-",,GEP_Aggreg!$I35*0.25)</f>
        <v>984.75250000000005</v>
      </c>
      <c r="P35" s="114">
        <f>IF(GEP_Aggreg!J35="-",,GEP_Aggreg!J35)</f>
        <v>276.32</v>
      </c>
      <c r="Q35" s="114">
        <f>IF(GEP_Aggreg!$M35="-",,GEP_Aggreg!$M35/3)</f>
        <v>227.97</v>
      </c>
      <c r="R35" s="114">
        <f>IF(GEP_Aggreg!$M35="-",,GEP_Aggreg!$M35/3)</f>
        <v>227.97</v>
      </c>
      <c r="S35" s="114">
        <f>IF(GEP_Aggreg!$M35="-",,GEP_Aggreg!$M35/3)</f>
        <v>227.97</v>
      </c>
      <c r="T35" s="114">
        <f>IF(GEP_Aggreg!$N35="-",,GEP_Aggreg!$N35/3)</f>
        <v>606.36</v>
      </c>
      <c r="U35" s="114">
        <f>IF(GEP_Aggreg!$N35="-",,GEP_Aggreg!$N35/3)</f>
        <v>606.36</v>
      </c>
      <c r="V35" s="114">
        <f>IF(GEP_Aggreg!$N35="-",,GEP_Aggreg!$N35/3)</f>
        <v>606.36</v>
      </c>
      <c r="W35" s="114">
        <f>IF(GEP_Aggreg!O35="-",IF(GEP_Aggreg!R35="-",,GEP_Aggreg!R35),IF(GEP_Aggreg!R35="-",GEP_Aggreg!O35,GEP_Aggreg!O35+GEP_Aggreg!R35))</f>
        <v>36.160000000000004</v>
      </c>
      <c r="X35" s="556"/>
      <c r="Y35" s="556"/>
      <c r="Z35" s="114">
        <f>IF(GEP_Aggreg!K35="-",,GEP_Aggreg!K35)</f>
        <v>0.79</v>
      </c>
      <c r="AA35" s="114">
        <f>IF(GEP_Aggreg!L35="-",,GEP_Aggreg!L35)</f>
        <v>42.28</v>
      </c>
      <c r="AB35" s="114">
        <f>IF(GEP_Aggreg!P35="-",,GEP_Aggreg!P35)</f>
        <v>2.0699999999999998</v>
      </c>
      <c r="AC35" s="114">
        <f>IF(GEP_Aggreg!Q35="-",,GEP_Aggreg!Q35)</f>
        <v>3.02</v>
      </c>
      <c r="AD35" s="114"/>
      <c r="AE35" s="114"/>
      <c r="AF35" s="150">
        <f t="shared" si="2"/>
        <v>9126.4400000000041</v>
      </c>
      <c r="AG35" s="150">
        <f t="shared" si="3"/>
        <v>9078.2800000000025</v>
      </c>
      <c r="AH35" s="107">
        <f>IF(G35='Table 1.1 complete'!C154,AF35-'Table 1.1 complete'!E154,"error")</f>
        <v>4.0000000004511094E-2</v>
      </c>
      <c r="AI35" s="114">
        <f>IF(G35='Table 1.2 complete'!C154,AF35-SUM('Table 1.2 complete'!K154),"error")</f>
        <v>1.0000000003856258E-2</v>
      </c>
      <c r="AJ35" s="107">
        <f>'Table 1.2 complete'!K40-'Table 1.1 complete'!E40</f>
        <v>1.999999999998181E-2</v>
      </c>
    </row>
    <row r="36" spans="1:36" x14ac:dyDescent="0.25">
      <c r="A36" s="541" t="s">
        <v>410</v>
      </c>
      <c r="E36" s="514"/>
      <c r="F36" s="226">
        <v>99</v>
      </c>
      <c r="G36" s="228" t="s">
        <v>286</v>
      </c>
      <c r="H36" s="114">
        <f>IF(GEP_Aggreg!E36="-",,GEP_Aggreg!E36)</f>
        <v>925.32</v>
      </c>
      <c r="I36" s="114">
        <f>IF(GEP_Aggreg!F36="-",,GEP_Aggreg!F36*0.9)</f>
        <v>479.79900000000004</v>
      </c>
      <c r="J36" s="114">
        <f>IF(GEP_Aggreg!F36="-",,GEP_Aggreg!F36*0.1)</f>
        <v>53.311000000000007</v>
      </c>
      <c r="K36" s="114">
        <f>IF(GEP_Aggreg!G36="-",,GEP_Aggreg!G36)</f>
        <v>9.51</v>
      </c>
      <c r="L36" s="114">
        <f>IF(GEP_Aggreg!H36="-",,GEP_Aggreg!H36*(1-0.99))</f>
        <v>1.1193000000000011</v>
      </c>
      <c r="M36" s="114">
        <f>IF(GEP_Aggreg!H36="-",,GEP_Aggreg!H36*0.99)</f>
        <v>110.81070000000001</v>
      </c>
      <c r="N36" s="114">
        <f>IF(GEP_Aggreg!$I36="-",,GEP_Aggreg!$I36*0.75)</f>
        <v>450.32249999999999</v>
      </c>
      <c r="O36" s="114">
        <f>IF(GEP_Aggreg!$I36="-",,GEP_Aggreg!$I36*0.25)</f>
        <v>150.10749999999999</v>
      </c>
      <c r="P36" s="114">
        <f>IF(GEP_Aggreg!J36="-",,GEP_Aggreg!J36)</f>
        <v>366.37</v>
      </c>
      <c r="Q36" s="114">
        <f>IF(GEP_Aggreg!$M36="-",,GEP_Aggreg!$M36/3)</f>
        <v>36.630000000000003</v>
      </c>
      <c r="R36" s="114">
        <f>IF(GEP_Aggreg!$M36="-",,GEP_Aggreg!$M36/3)</f>
        <v>36.630000000000003</v>
      </c>
      <c r="S36" s="114">
        <f>IF(GEP_Aggreg!$M36="-",,GEP_Aggreg!$M36/3)</f>
        <v>36.630000000000003</v>
      </c>
      <c r="T36" s="114">
        <f>IF(GEP_Aggreg!$N36="-",,GEP_Aggreg!$N36/3)</f>
        <v>267.31666666666666</v>
      </c>
      <c r="U36" s="114">
        <f>IF(GEP_Aggreg!$N36="-",,GEP_Aggreg!$N36/3)</f>
        <v>267.31666666666666</v>
      </c>
      <c r="V36" s="114">
        <f>IF(GEP_Aggreg!$N36="-",,GEP_Aggreg!$N36/3)</f>
        <v>267.31666666666666</v>
      </c>
      <c r="W36" s="114">
        <f>IF(GEP_Aggreg!O36="-",IF(GEP_Aggreg!R36="-",,GEP_Aggreg!R36),IF(GEP_Aggreg!R36="-",GEP_Aggreg!O36,GEP_Aggreg!O36+GEP_Aggreg!R36))</f>
        <v>74.88</v>
      </c>
      <c r="X36" s="556"/>
      <c r="Y36" s="556"/>
      <c r="Z36" s="114">
        <f>IF(GEP_Aggreg!K36="-",,GEP_Aggreg!K36)</f>
        <v>9.93</v>
      </c>
      <c r="AA36" s="114">
        <f>IF(GEP_Aggreg!L36="-",,GEP_Aggreg!L36)</f>
        <v>35.97</v>
      </c>
      <c r="AB36" s="114">
        <f>IF(GEP_Aggreg!P36="-",,GEP_Aggreg!P36)</f>
        <v>3.96</v>
      </c>
      <c r="AC36" s="114">
        <f>IF(GEP_Aggreg!Q36="-",,GEP_Aggreg!Q36)</f>
        <v>29.25</v>
      </c>
      <c r="AD36" s="114"/>
      <c r="AE36" s="114"/>
      <c r="AF36" s="150">
        <f t="shared" si="2"/>
        <v>3612.5</v>
      </c>
      <c r="AG36" s="150">
        <f t="shared" si="3"/>
        <v>3533.3900000000003</v>
      </c>
      <c r="AH36" s="107">
        <f>IF(G36='Table 1.1 complete'!C155,AF36-'Table 1.1 complete'!E155,"error")</f>
        <v>0</v>
      </c>
      <c r="AI36" s="114">
        <f>IF(G36='Table 1.2 complete'!C155,AF36-SUM('Table 1.2 complete'!K155),"error")</f>
        <v>0</v>
      </c>
      <c r="AJ36" s="107">
        <f>'Table 1.2 complete'!K41-'Table 1.1 complete'!E41</f>
        <v>-4.0000000000020464E-2</v>
      </c>
    </row>
    <row r="37" spans="1:36" x14ac:dyDescent="0.25">
      <c r="A37" s="387" t="s">
        <v>411</v>
      </c>
      <c r="D37" s="536"/>
      <c r="E37" s="514"/>
      <c r="F37" s="226">
        <v>99</v>
      </c>
      <c r="G37" s="227" t="s">
        <v>287</v>
      </c>
      <c r="H37" s="114">
        <f>IF(GEP_Aggreg!E37="-",,GEP_Aggreg!E37)</f>
        <v>940.55</v>
      </c>
      <c r="I37" s="114">
        <f>IF(GEP_Aggreg!F37="-",,GEP_Aggreg!F37*0.9)</f>
        <v>604.20600000000002</v>
      </c>
      <c r="J37" s="114">
        <f>IF(GEP_Aggreg!F37="-",,GEP_Aggreg!F37*0.1)</f>
        <v>67.134</v>
      </c>
      <c r="K37" s="114">
        <f>IF(GEP_Aggreg!G37="-",,GEP_Aggreg!G37)</f>
        <v>24.2</v>
      </c>
      <c r="L37" s="114">
        <f>IF(GEP_Aggreg!H37="-",,GEP_Aggreg!H37*(1-0.99))</f>
        <v>0.39790000000000036</v>
      </c>
      <c r="M37" s="114">
        <f>IF(GEP_Aggreg!H37="-",,GEP_Aggreg!H37*0.99)</f>
        <v>39.392099999999999</v>
      </c>
      <c r="N37" s="114">
        <f>IF(GEP_Aggreg!$I37="-",,GEP_Aggreg!$I37*0.75)</f>
        <v>1576.0874999999999</v>
      </c>
      <c r="O37" s="114">
        <f>IF(GEP_Aggreg!$I37="-",,GEP_Aggreg!$I37*0.25)</f>
        <v>525.36249999999995</v>
      </c>
      <c r="P37" s="114">
        <f>IF(GEP_Aggreg!J37="-",,GEP_Aggreg!J37)</f>
        <v>159.99</v>
      </c>
      <c r="Q37" s="114">
        <f>IF(GEP_Aggreg!$M37="-",,GEP_Aggreg!$M37/3)</f>
        <v>46.74666666666667</v>
      </c>
      <c r="R37" s="114">
        <f>IF(GEP_Aggreg!$M37="-",,GEP_Aggreg!$M37/3)</f>
        <v>46.74666666666667</v>
      </c>
      <c r="S37" s="114">
        <f>IF(GEP_Aggreg!$M37="-",,GEP_Aggreg!$M37/3)</f>
        <v>46.74666666666667</v>
      </c>
      <c r="T37" s="114">
        <f>IF(GEP_Aggreg!$N37="-",,GEP_Aggreg!$N37/3)</f>
        <v>360.50333333333333</v>
      </c>
      <c r="U37" s="114">
        <f>IF(GEP_Aggreg!$N37="-",,GEP_Aggreg!$N37/3)</f>
        <v>360.50333333333333</v>
      </c>
      <c r="V37" s="114">
        <f>IF(GEP_Aggreg!$N37="-",,GEP_Aggreg!$N37/3)</f>
        <v>360.50333333333333</v>
      </c>
      <c r="W37" s="114">
        <f>IF(GEP_Aggreg!O37="-",IF(GEP_Aggreg!R37="-",,GEP_Aggreg!R37),IF(GEP_Aggreg!R37="-",GEP_Aggreg!O37,GEP_Aggreg!O37+GEP_Aggreg!R37))</f>
        <v>60.5</v>
      </c>
      <c r="X37" s="556"/>
      <c r="Y37" s="556"/>
      <c r="Z37" s="114">
        <f>IF(GEP_Aggreg!K37="-",,GEP_Aggreg!K37)</f>
        <v>0</v>
      </c>
      <c r="AA37" s="114">
        <f>IF(GEP_Aggreg!L37="-",,GEP_Aggreg!L37)</f>
        <v>4.33</v>
      </c>
      <c r="AB37" s="114">
        <f>IF(GEP_Aggreg!P37="-",,GEP_Aggreg!P37)</f>
        <v>5.01</v>
      </c>
      <c r="AC37" s="114">
        <f>IF(GEP_Aggreg!Q37="-",,GEP_Aggreg!Q37)</f>
        <v>17.260000000000002</v>
      </c>
      <c r="AD37" s="114"/>
      <c r="AE37" s="114"/>
      <c r="AF37" s="150">
        <f t="shared" si="2"/>
        <v>5246.17</v>
      </c>
      <c r="AG37" s="150">
        <f t="shared" si="3"/>
        <v>5219.57</v>
      </c>
      <c r="AH37" s="107">
        <f>IF(G37='Table 1.1 complete'!C156,AF37-'Table 1.1 complete'!E156,"error")</f>
        <v>-2.9999999999745341E-2</v>
      </c>
      <c r="AI37" s="114">
        <f>IF(G37='Table 1.2 complete'!C156,AF37-SUM('Table 1.2 complete'!K156),"error")</f>
        <v>2.0000000000436557E-2</v>
      </c>
      <c r="AJ37" s="107">
        <f>'Table 1.2 complete'!K42-'Table 1.1 complete'!E42</f>
        <v>5.0000000000004263E-2</v>
      </c>
    </row>
    <row r="38" spans="1:36" x14ac:dyDescent="0.25">
      <c r="A38" t="s">
        <v>380</v>
      </c>
      <c r="E38" s="514"/>
      <c r="F38" s="226">
        <v>99</v>
      </c>
      <c r="G38" s="228" t="s">
        <v>288</v>
      </c>
      <c r="H38" s="114">
        <f>IF(GEP_Aggreg!E38="-",,GEP_Aggreg!E38)</f>
        <v>406.77</v>
      </c>
      <c r="I38" s="114">
        <f>IF(GEP_Aggreg!F38="-",,GEP_Aggreg!F38*0.9)</f>
        <v>114.768</v>
      </c>
      <c r="J38" s="114">
        <f>IF(GEP_Aggreg!F38="-",,GEP_Aggreg!F38*0.1)</f>
        <v>12.752000000000001</v>
      </c>
      <c r="K38" s="114">
        <f>IF(GEP_Aggreg!G38="-",,GEP_Aggreg!G38)</f>
        <v>6.5</v>
      </c>
      <c r="L38" s="114">
        <f>IF(GEP_Aggreg!H38="-",,GEP_Aggreg!H38*(1-0.99))</f>
        <v>6.7600000000000063E-2</v>
      </c>
      <c r="M38" s="114">
        <f>IF(GEP_Aggreg!H38="-",,GEP_Aggreg!H38*0.99)</f>
        <v>6.6924000000000001</v>
      </c>
      <c r="N38" s="114">
        <f>IF(GEP_Aggreg!$I38="-",,GEP_Aggreg!$I38*0.75)</f>
        <v>425.40750000000003</v>
      </c>
      <c r="O38" s="114">
        <f>IF(GEP_Aggreg!$I38="-",,GEP_Aggreg!$I38*0.25)</f>
        <v>141.80250000000001</v>
      </c>
      <c r="P38" s="114">
        <f>IF(GEP_Aggreg!J38="-",,GEP_Aggreg!J38)</f>
        <v>57.5</v>
      </c>
      <c r="Q38" s="114">
        <f>IF(GEP_Aggreg!$M38="-",,GEP_Aggreg!$M38/3)</f>
        <v>61.213333333333331</v>
      </c>
      <c r="R38" s="114">
        <f>IF(GEP_Aggreg!$M38="-",,GEP_Aggreg!$M38/3)</f>
        <v>61.213333333333331</v>
      </c>
      <c r="S38" s="114">
        <f>IF(GEP_Aggreg!$M38="-",,GEP_Aggreg!$M38/3)</f>
        <v>61.213333333333331</v>
      </c>
      <c r="T38" s="114">
        <f>IF(GEP_Aggreg!$N38="-",,GEP_Aggreg!$N38/3)</f>
        <v>141.13</v>
      </c>
      <c r="U38" s="114">
        <f>IF(GEP_Aggreg!$N38="-",,GEP_Aggreg!$N38/3)</f>
        <v>141.13</v>
      </c>
      <c r="V38" s="114">
        <f>IF(GEP_Aggreg!$N38="-",,GEP_Aggreg!$N38/3)</f>
        <v>141.13</v>
      </c>
      <c r="W38" s="114">
        <f>IF(GEP_Aggreg!O38="-",IF(GEP_Aggreg!R38="-",,GEP_Aggreg!R38),IF(GEP_Aggreg!R38="-",GEP_Aggreg!O38,GEP_Aggreg!O38+GEP_Aggreg!R38))</f>
        <v>18.939999999999998</v>
      </c>
      <c r="X38" s="556"/>
      <c r="Y38" s="556"/>
      <c r="Z38" s="114">
        <f>IF(GEP_Aggreg!K38="-",,GEP_Aggreg!K38)</f>
        <v>0</v>
      </c>
      <c r="AA38" s="114">
        <f>IF(GEP_Aggreg!L38="-",,GEP_Aggreg!L38)</f>
        <v>54.16</v>
      </c>
      <c r="AB38" s="114">
        <f>IF(GEP_Aggreg!P38="-",,GEP_Aggreg!P38)</f>
        <v>0.44</v>
      </c>
      <c r="AC38" s="114">
        <f>IF(GEP_Aggreg!Q38="-",,GEP_Aggreg!Q38)</f>
        <v>7.03</v>
      </c>
      <c r="AD38" s="114"/>
      <c r="AE38" s="114"/>
      <c r="AF38" s="150">
        <f t="shared" si="2"/>
        <v>1859.8600000000006</v>
      </c>
      <c r="AG38" s="150">
        <f t="shared" si="3"/>
        <v>1798.2300000000005</v>
      </c>
      <c r="AH38" s="107">
        <f>IF(G38='Table 1.1 complete'!C157,AF38-'Table 1.1 complete'!E157,"error")</f>
        <v>6.0000000000627551E-2</v>
      </c>
      <c r="AI38" s="114">
        <f>IF(G38='Table 1.2 complete'!C157,AF38-SUM('Table 1.2 complete'!K157),"error")</f>
        <v>2.0000000000663931E-2</v>
      </c>
      <c r="AJ38" s="107">
        <f>'Table 1.2 complete'!K43-'Table 1.1 complete'!E43</f>
        <v>-3.0000000000001137E-2</v>
      </c>
    </row>
    <row r="39" spans="1:36" x14ac:dyDescent="0.25">
      <c r="E39" s="514"/>
      <c r="F39" s="226">
        <v>99</v>
      </c>
      <c r="G39" s="228" t="s">
        <v>289</v>
      </c>
      <c r="H39" s="114">
        <f>IF(GEP_Aggreg!E39="-",,GEP_Aggreg!E39)</f>
        <v>2272.64</v>
      </c>
      <c r="I39" s="114">
        <f>IF(GEP_Aggreg!F39="-",,GEP_Aggreg!F39*0.9)</f>
        <v>1198.7640000000001</v>
      </c>
      <c r="J39" s="114">
        <f>IF(GEP_Aggreg!F39="-",,GEP_Aggreg!F39*0.1)</f>
        <v>133.196</v>
      </c>
      <c r="K39" s="114">
        <f>IF(GEP_Aggreg!G39="-",,GEP_Aggreg!G39)</f>
        <v>40.21</v>
      </c>
      <c r="L39" s="114">
        <f>IF(GEP_Aggreg!H39="-",,GEP_Aggreg!H39*(1-0.99))</f>
        <v>1.5848000000000013</v>
      </c>
      <c r="M39" s="114">
        <f>IF(GEP_Aggreg!H39="-",,GEP_Aggreg!H39*0.99)</f>
        <v>156.89519999999999</v>
      </c>
      <c r="N39" s="114">
        <f>IF(GEP_Aggreg!$I39="-",,GEP_Aggreg!$I39*0.75)</f>
        <v>2451.8175000000001</v>
      </c>
      <c r="O39" s="114">
        <f>IF(GEP_Aggreg!$I39="-",,GEP_Aggreg!$I39*0.25)</f>
        <v>817.27250000000004</v>
      </c>
      <c r="P39" s="114">
        <f>IF(GEP_Aggreg!J39="-",,GEP_Aggreg!J39)</f>
        <v>583.85</v>
      </c>
      <c r="Q39" s="114">
        <f>IF(GEP_Aggreg!$M39="-",,GEP_Aggreg!$M39/3)</f>
        <v>144.59</v>
      </c>
      <c r="R39" s="114">
        <f>IF(GEP_Aggreg!$M39="-",,GEP_Aggreg!$M39/3)</f>
        <v>144.59</v>
      </c>
      <c r="S39" s="114">
        <f>IF(GEP_Aggreg!$M39="-",,GEP_Aggreg!$M39/3)</f>
        <v>144.59</v>
      </c>
      <c r="T39" s="114">
        <f>IF(GEP_Aggreg!$N39="-",,GEP_Aggreg!$N39/3)</f>
        <v>768.94999999999993</v>
      </c>
      <c r="U39" s="114">
        <f>IF(GEP_Aggreg!$N39="-",,GEP_Aggreg!$N39/3)</f>
        <v>768.94999999999993</v>
      </c>
      <c r="V39" s="114">
        <f>IF(GEP_Aggreg!$N39="-",,GEP_Aggreg!$N39/3)</f>
        <v>768.94999999999993</v>
      </c>
      <c r="W39" s="114">
        <f>IF(GEP_Aggreg!O39="-",IF(GEP_Aggreg!R39="-",,GEP_Aggreg!R39),IF(GEP_Aggreg!R39="-",GEP_Aggreg!O39,GEP_Aggreg!O39+GEP_Aggreg!R39))</f>
        <v>154.31</v>
      </c>
      <c r="X39" s="556"/>
      <c r="Y39" s="556"/>
      <c r="Z39" s="114">
        <f>IF(GEP_Aggreg!K39="-",,GEP_Aggreg!K39)</f>
        <v>9.93</v>
      </c>
      <c r="AA39" s="114">
        <f>IF(GEP_Aggreg!L39="-",,GEP_Aggreg!L39)</f>
        <v>94.46</v>
      </c>
      <c r="AB39" s="114">
        <f>IF(GEP_Aggreg!P39="-",,GEP_Aggreg!P39)</f>
        <v>9.41</v>
      </c>
      <c r="AC39" s="114">
        <f>IF(GEP_Aggreg!Q39="-",,GEP_Aggreg!Q39)</f>
        <v>53.55</v>
      </c>
      <c r="AD39" s="114"/>
      <c r="AE39" s="114"/>
      <c r="AF39" s="150">
        <f t="shared" si="2"/>
        <v>10718.51</v>
      </c>
      <c r="AG39" s="150">
        <f t="shared" si="3"/>
        <v>10551.160000000002</v>
      </c>
      <c r="AH39" s="107">
        <f>IF(G39='Table 1.1 complete'!C158,AF39-'Table 1.1 complete'!E158,"error")</f>
        <v>1.0000000000218279E-2</v>
      </c>
      <c r="AI39" s="114">
        <f>IF(G39='Table 1.2 complete'!C158,AF39-SUM('Table 1.2 complete'!K158),"error")</f>
        <v>2.0000000000436557E-2</v>
      </c>
      <c r="AJ39" s="107">
        <f>'Table 1.2 complete'!K44-'Table 1.1 complete'!E44</f>
        <v>-3.999999999996362E-2</v>
      </c>
    </row>
    <row r="40" spans="1:36" x14ac:dyDescent="0.25">
      <c r="E40" s="514"/>
      <c r="F40" s="226">
        <v>99</v>
      </c>
      <c r="G40" s="228" t="s">
        <v>290</v>
      </c>
      <c r="H40" s="114">
        <f>IF(GEP_Aggreg!E40="-",,GEP_Aggreg!E40)</f>
        <v>2272.64</v>
      </c>
      <c r="I40" s="114">
        <f>IF(GEP_Aggreg!F40="-",,GEP_Aggreg!F40*0.9)</f>
        <v>1198.7640000000001</v>
      </c>
      <c r="J40" s="114">
        <f>IF(GEP_Aggreg!F40="-",,GEP_Aggreg!F40*0.1)</f>
        <v>133.196</v>
      </c>
      <c r="K40" s="114">
        <f>IF(GEP_Aggreg!G40="-",,GEP_Aggreg!G40)</f>
        <v>40.21</v>
      </c>
      <c r="L40" s="114">
        <f>IF(GEP_Aggreg!H40="-",,GEP_Aggreg!H40*(1-0.99))</f>
        <v>1.5848000000000013</v>
      </c>
      <c r="M40" s="114">
        <f>IF(GEP_Aggreg!H40="-",,GEP_Aggreg!H40*0.99)</f>
        <v>156.89519999999999</v>
      </c>
      <c r="N40" s="114">
        <f>IF(GEP_Aggreg!$I40="-",,GEP_Aggreg!$I40*0.75)</f>
        <v>2451.8175000000001</v>
      </c>
      <c r="O40" s="114">
        <f>IF(GEP_Aggreg!$I40="-",,GEP_Aggreg!$I40*0.25)</f>
        <v>817.27250000000004</v>
      </c>
      <c r="P40" s="114">
        <f>IF(GEP_Aggreg!J40="-",,GEP_Aggreg!J40)</f>
        <v>583.85</v>
      </c>
      <c r="Q40" s="114">
        <f>IF(GEP_Aggreg!$M40="-",,GEP_Aggreg!$M40/3)</f>
        <v>144.59</v>
      </c>
      <c r="R40" s="114">
        <f>IF(GEP_Aggreg!$M40="-",,GEP_Aggreg!$M40/3)</f>
        <v>144.59</v>
      </c>
      <c r="S40" s="114">
        <f>IF(GEP_Aggreg!$M40="-",,GEP_Aggreg!$M40/3)</f>
        <v>144.59</v>
      </c>
      <c r="T40" s="114">
        <f>IF(GEP_Aggreg!$N40="-",,GEP_Aggreg!$N40/3)</f>
        <v>768.94999999999993</v>
      </c>
      <c r="U40" s="114">
        <f>IF(GEP_Aggreg!$N40="-",,GEP_Aggreg!$N40/3)</f>
        <v>768.94999999999993</v>
      </c>
      <c r="V40" s="114">
        <f>IF(GEP_Aggreg!$N40="-",,GEP_Aggreg!$N40/3)</f>
        <v>768.94999999999993</v>
      </c>
      <c r="W40" s="114">
        <f>IF(GEP_Aggreg!O40="-",IF(GEP_Aggreg!R40="-",,GEP_Aggreg!R40),IF(GEP_Aggreg!R40="-",GEP_Aggreg!O40,GEP_Aggreg!O40+GEP_Aggreg!R40))</f>
        <v>154.31</v>
      </c>
      <c r="X40" s="556"/>
      <c r="Y40" s="556"/>
      <c r="Z40" s="114">
        <f>IF(GEP_Aggreg!K40="-",,GEP_Aggreg!K40)</f>
        <v>9.93</v>
      </c>
      <c r="AA40" s="114">
        <f>IF(GEP_Aggreg!L40="-",,GEP_Aggreg!L40)</f>
        <v>94.46</v>
      </c>
      <c r="AB40" s="114">
        <f>IF(GEP_Aggreg!P40="-",,GEP_Aggreg!P40)</f>
        <v>9.41</v>
      </c>
      <c r="AC40" s="114">
        <f>IF(GEP_Aggreg!Q40="-",,GEP_Aggreg!Q40)</f>
        <v>53.55</v>
      </c>
      <c r="AD40" s="114"/>
      <c r="AE40" s="114"/>
      <c r="AF40" s="150">
        <f t="shared" si="2"/>
        <v>10718.51</v>
      </c>
      <c r="AG40" s="150">
        <f t="shared" si="3"/>
        <v>10551.160000000002</v>
      </c>
      <c r="AH40" s="107">
        <f>IF(G40='Table 1.1 complete'!C159,AF40-'Table 1.1 complete'!E159,"error")</f>
        <v>1.0000000000218279E-2</v>
      </c>
      <c r="AI40" s="114">
        <f>IF(G40='Table 1.2 complete'!C159,AF40-SUM('Table 1.2 complete'!K159),"error")</f>
        <v>2.0000000000436557E-2</v>
      </c>
      <c r="AJ40" s="107">
        <f>'Table 1.2 complete'!K45-'Table 1.1 complete'!E45</f>
        <v>3.999999999996362E-2</v>
      </c>
    </row>
    <row r="41" spans="1:36" x14ac:dyDescent="0.25">
      <c r="E41" s="514"/>
      <c r="F41" s="229">
        <v>99</v>
      </c>
      <c r="G41" s="230" t="s">
        <v>291</v>
      </c>
      <c r="H41" s="115">
        <f>IF(GEP_Aggreg!E41="-",,GEP_Aggreg!E41)</f>
        <v>2719.06</v>
      </c>
      <c r="I41" s="115">
        <f>IF(GEP_Aggreg!F41="-",,GEP_Aggreg!F41*0.9)</f>
        <v>2845.971</v>
      </c>
      <c r="J41" s="115">
        <f>IF(GEP_Aggreg!F41="-",,GEP_Aggreg!F41*0.1)</f>
        <v>316.21900000000005</v>
      </c>
      <c r="K41" s="115">
        <f>IF(GEP_Aggreg!G41="-",,GEP_Aggreg!G41)</f>
        <v>61.82</v>
      </c>
      <c r="L41" s="115">
        <f>IF(GEP_Aggreg!H41="-",,GEP_Aggreg!H41*(1-0.99))</f>
        <v>1.8402000000000018</v>
      </c>
      <c r="M41" s="115">
        <f>IF(GEP_Aggreg!H41="-",,GEP_Aggreg!H41*0.99)</f>
        <v>182.1798</v>
      </c>
      <c r="N41" s="115">
        <f>IF(GEP_Aggreg!$I41="-",,GEP_Aggreg!$I41*0.75)</f>
        <v>5406.0750000000007</v>
      </c>
      <c r="O41" s="115">
        <f>IF(GEP_Aggreg!$I41="-",,GEP_Aggreg!$I41*0.25)</f>
        <v>1802.0250000000001</v>
      </c>
      <c r="P41" s="115">
        <f>IF(GEP_Aggreg!J41="-",,GEP_Aggreg!J41)</f>
        <v>860.17</v>
      </c>
      <c r="Q41" s="115">
        <f>IF(GEP_Aggreg!$M41="-",,GEP_Aggreg!$M41/3)</f>
        <v>372.56</v>
      </c>
      <c r="R41" s="115">
        <f>IF(GEP_Aggreg!$M41="-",,GEP_Aggreg!$M41/3)</f>
        <v>372.56</v>
      </c>
      <c r="S41" s="115">
        <f>IF(GEP_Aggreg!$M41="-",,GEP_Aggreg!$M41/3)</f>
        <v>372.56</v>
      </c>
      <c r="T41" s="115">
        <f>IF(GEP_Aggreg!$N41="-",,GEP_Aggreg!$N41/3)</f>
        <v>1375.3100000000002</v>
      </c>
      <c r="U41" s="115">
        <f>IF(GEP_Aggreg!$N41="-",,GEP_Aggreg!$N41/3)</f>
        <v>1375.3100000000002</v>
      </c>
      <c r="V41" s="115">
        <f>IF(GEP_Aggreg!$N41="-",,GEP_Aggreg!$N41/3)</f>
        <v>1375.3100000000002</v>
      </c>
      <c r="W41" s="115">
        <f>IF(GEP_Aggreg!O41="-",IF(GEP_Aggreg!R41="-",,GEP_Aggreg!R41),IF(GEP_Aggreg!R41="-",GEP_Aggreg!O41,GEP_Aggreg!O41+GEP_Aggreg!R41))</f>
        <v>190.47</v>
      </c>
      <c r="X41" s="557"/>
      <c r="Y41" s="557"/>
      <c r="Z41" s="115">
        <f>IF(GEP_Aggreg!K41="-",,GEP_Aggreg!K41)</f>
        <v>10.72</v>
      </c>
      <c r="AA41" s="115">
        <f>IF(GEP_Aggreg!L41="-",,GEP_Aggreg!L41)</f>
        <v>136.72999999999999</v>
      </c>
      <c r="AB41" s="115">
        <f>IF(GEP_Aggreg!P41="-",,GEP_Aggreg!P41)</f>
        <v>11.47</v>
      </c>
      <c r="AC41" s="115">
        <f>IF(GEP_Aggreg!Q41="-",,GEP_Aggreg!Q41)</f>
        <v>56.56</v>
      </c>
      <c r="AD41" s="115"/>
      <c r="AE41" s="115"/>
      <c r="AF41" s="151">
        <f>SUM(H41:AC41)</f>
        <v>19844.920000000006</v>
      </c>
      <c r="AG41" s="151">
        <f t="shared" si="3"/>
        <v>19629.440000000002</v>
      </c>
      <c r="AH41" s="108">
        <f>IF(G41='Table 1.1 complete'!C160,AF41-'Table 1.1 complete'!E160,"error")</f>
        <v>2.0000000004074536E-2</v>
      </c>
      <c r="AI41" s="115">
        <f>IF(G41='Table 1.2 complete'!C160,AF41-SUM('Table 1.2 complete'!K160),"error")</f>
        <v>7.2759576141834259E-12</v>
      </c>
      <c r="AJ41" s="108">
        <f>'Table 1.2 complete'!K46-'Table 1.1 complete'!E46</f>
        <v>3.0000000000086402E-2</v>
      </c>
    </row>
    <row r="42" spans="1:36" ht="15" customHeight="1" x14ac:dyDescent="0.25">
      <c r="E42" s="514"/>
      <c r="X42" s="825"/>
      <c r="Y42" s="825"/>
    </row>
    <row r="43" spans="1:36" x14ac:dyDescent="0.25">
      <c r="E43" s="514"/>
      <c r="X43" s="825"/>
      <c r="Y43" s="825"/>
    </row>
    <row r="44" spans="1:36" x14ac:dyDescent="0.25">
      <c r="E44" s="514"/>
      <c r="X44" s="825"/>
      <c r="Y44" s="825"/>
    </row>
    <row r="45" spans="1:36" x14ac:dyDescent="0.25">
      <c r="E45" s="514"/>
      <c r="X45" s="825"/>
      <c r="Y45" s="825"/>
    </row>
    <row r="46" spans="1:36" x14ac:dyDescent="0.25">
      <c r="E46" s="514"/>
      <c r="X46" s="825"/>
      <c r="Y46" s="825"/>
    </row>
    <row r="47" spans="1:36" x14ac:dyDescent="0.25">
      <c r="E47" s="514"/>
      <c r="X47" s="825"/>
      <c r="Y47" s="825"/>
    </row>
    <row r="48" spans="1:36" x14ac:dyDescent="0.25">
      <c r="E48" s="514"/>
      <c r="X48" s="825"/>
      <c r="Y48" s="825"/>
    </row>
    <row r="49" spans="5:25" x14ac:dyDescent="0.25">
      <c r="E49" s="514"/>
      <c r="X49" s="825"/>
      <c r="Y49" s="825"/>
    </row>
    <row r="50" spans="5:25" x14ac:dyDescent="0.25">
      <c r="E50" s="514"/>
      <c r="X50" s="825"/>
      <c r="Y50" s="825"/>
    </row>
    <row r="51" spans="5:25" x14ac:dyDescent="0.25">
      <c r="X51" s="825"/>
      <c r="Y51" s="825"/>
    </row>
    <row r="52" spans="5:25" x14ac:dyDescent="0.25">
      <c r="X52" s="825"/>
      <c r="Y52" s="825"/>
    </row>
  </sheetData>
  <mergeCells count="23">
    <mergeCell ref="X8:Y8"/>
    <mergeCell ref="X42:X52"/>
    <mergeCell ref="Y42:Y52"/>
    <mergeCell ref="AH6:AJ6"/>
    <mergeCell ref="N7:P7"/>
    <mergeCell ref="Q7:V7"/>
    <mergeCell ref="AG7:AG9"/>
    <mergeCell ref="C8:E8"/>
    <mergeCell ref="I8:J8"/>
    <mergeCell ref="L8:M8"/>
    <mergeCell ref="N8:O8"/>
    <mergeCell ref="Q8:S8"/>
    <mergeCell ref="T8:V8"/>
    <mergeCell ref="C1:E2"/>
    <mergeCell ref="H2:AE2"/>
    <mergeCell ref="H3:M3"/>
    <mergeCell ref="N3:AE3"/>
    <mergeCell ref="H4:AE4"/>
    <mergeCell ref="H5:H7"/>
    <mergeCell ref="I5:M7"/>
    <mergeCell ref="N5:AE5"/>
    <mergeCell ref="N6:V6"/>
    <mergeCell ref="W6:AE7"/>
  </mergeCells>
  <conditionalFormatting sqref="AH10:AJ16 AH18:AJ41">
    <cfRule type="cellIs" dxfId="115" priority="65" operator="lessThan">
      <formula>-1</formula>
    </cfRule>
    <cfRule type="cellIs" dxfId="114" priority="66" operator="greaterThan">
      <formula>1</formula>
    </cfRule>
    <cfRule type="cellIs" dxfId="113" priority="72" operator="lessThan">
      <formula>-0.04</formula>
    </cfRule>
    <cfRule type="cellIs" dxfId="112" priority="73" operator="greaterThan">
      <formula>0.04</formula>
    </cfRule>
  </conditionalFormatting>
  <conditionalFormatting sqref="X27:Y41 Z18:AE26 H24:W26 H10:W16 Z10:AE16">
    <cfRule type="cellIs" dxfId="111" priority="71" operator="equal">
      <formula>"error"</formula>
    </cfRule>
  </conditionalFormatting>
  <conditionalFormatting sqref="H10:W13 H27:AJ41 I14:W16 H24:W26 Z18:AJ26 Z10:AJ16">
    <cfRule type="cellIs" dxfId="110" priority="70" operator="equal">
      <formula>0</formula>
    </cfRule>
  </conditionalFormatting>
  <conditionalFormatting sqref="B10:B16 B18:B26">
    <cfRule type="cellIs" dxfId="109" priority="67" operator="equal">
      <formula>0</formula>
    </cfRule>
    <cfRule type="cellIs" dxfId="108" priority="68" operator="lessThan">
      <formula>0</formula>
    </cfRule>
    <cfRule type="cellIs" dxfId="107" priority="69" operator="greaterThan">
      <formula>0</formula>
    </cfRule>
  </conditionalFormatting>
  <conditionalFormatting sqref="H18:Q18 S18:W21 N19:Q21 H19:H21">
    <cfRule type="cellIs" dxfId="106" priority="64" operator="equal">
      <formula>"error"</formula>
    </cfRule>
  </conditionalFormatting>
  <conditionalFormatting sqref="H18:Q18 S18:W21 N19:Q21 H19:H21">
    <cfRule type="cellIs" dxfId="105" priority="63" operator="equal">
      <formula>0</formula>
    </cfRule>
  </conditionalFormatting>
  <conditionalFormatting sqref="R18:R21">
    <cfRule type="cellIs" dxfId="104" priority="62" operator="equal">
      <formula>"error"</formula>
    </cfRule>
  </conditionalFormatting>
  <conditionalFormatting sqref="R18:R21">
    <cfRule type="cellIs" dxfId="103" priority="61" operator="equal">
      <formula>0</formula>
    </cfRule>
  </conditionalFormatting>
  <conditionalFormatting sqref="H23 S23:W23 N23:Q23">
    <cfRule type="cellIs" dxfId="102" priority="60" operator="equal">
      <formula>"error"</formula>
    </cfRule>
  </conditionalFormatting>
  <conditionalFormatting sqref="H23 S23:W23 N23:Q23">
    <cfRule type="cellIs" dxfId="101" priority="59" operator="equal">
      <formula>0</formula>
    </cfRule>
  </conditionalFormatting>
  <conditionalFormatting sqref="R23">
    <cfRule type="cellIs" dxfId="100" priority="58" operator="equal">
      <formula>"error"</formula>
    </cfRule>
  </conditionalFormatting>
  <conditionalFormatting sqref="R23">
    <cfRule type="cellIs" dxfId="99" priority="57" operator="equal">
      <formula>0</formula>
    </cfRule>
  </conditionalFormatting>
  <conditionalFormatting sqref="S22:W22 N22:Q22">
    <cfRule type="cellIs" dxfId="98" priority="56" operator="equal">
      <formula>"error"</formula>
    </cfRule>
  </conditionalFormatting>
  <conditionalFormatting sqref="S22:W22 N22:Q22">
    <cfRule type="cellIs" dxfId="97" priority="55" operator="equal">
      <formula>0</formula>
    </cfRule>
  </conditionalFormatting>
  <conditionalFormatting sqref="R22">
    <cfRule type="cellIs" dxfId="96" priority="54" operator="equal">
      <formula>"error"</formula>
    </cfRule>
  </conditionalFormatting>
  <conditionalFormatting sqref="R22">
    <cfRule type="cellIs" dxfId="95" priority="53" operator="equal">
      <formula>0</formula>
    </cfRule>
  </conditionalFormatting>
  <conditionalFormatting sqref="M20:M22">
    <cfRule type="cellIs" dxfId="94" priority="38" operator="equal">
      <formula>"error"</formula>
    </cfRule>
  </conditionalFormatting>
  <conditionalFormatting sqref="M20:M22">
    <cfRule type="cellIs" dxfId="93" priority="37" operator="equal">
      <formula>0</formula>
    </cfRule>
  </conditionalFormatting>
  <conditionalFormatting sqref="L20:L22">
    <cfRule type="cellIs" dxfId="92" priority="36" operator="equal">
      <formula>"error"</formula>
    </cfRule>
  </conditionalFormatting>
  <conditionalFormatting sqref="L20:L22">
    <cfRule type="cellIs" dxfId="91" priority="35" operator="equal">
      <formula>0</formula>
    </cfRule>
  </conditionalFormatting>
  <conditionalFormatting sqref="I19:M19">
    <cfRule type="cellIs" dxfId="90" priority="52" operator="equal">
      <formula>"error"</formula>
    </cfRule>
  </conditionalFormatting>
  <conditionalFormatting sqref="I19:M19">
    <cfRule type="cellIs" dxfId="89" priority="51" operator="equal">
      <formula>0</formula>
    </cfRule>
  </conditionalFormatting>
  <conditionalFormatting sqref="I23:J23">
    <cfRule type="cellIs" dxfId="88" priority="50" operator="equal">
      <formula>"error"</formula>
    </cfRule>
  </conditionalFormatting>
  <conditionalFormatting sqref="I23:J23">
    <cfRule type="cellIs" dxfId="87" priority="49" operator="equal">
      <formula>0</formula>
    </cfRule>
  </conditionalFormatting>
  <conditionalFormatting sqref="K23">
    <cfRule type="cellIs" dxfId="86" priority="48" operator="equal">
      <formula>"error"</formula>
    </cfRule>
  </conditionalFormatting>
  <conditionalFormatting sqref="K23">
    <cfRule type="cellIs" dxfId="85" priority="47" operator="equal">
      <formula>0</formula>
    </cfRule>
  </conditionalFormatting>
  <conditionalFormatting sqref="M23">
    <cfRule type="cellIs" dxfId="84" priority="46" operator="equal">
      <formula>"error"</formula>
    </cfRule>
  </conditionalFormatting>
  <conditionalFormatting sqref="M23">
    <cfRule type="cellIs" dxfId="83" priority="45" operator="equal">
      <formula>0</formula>
    </cfRule>
  </conditionalFormatting>
  <conditionalFormatting sqref="L23">
    <cfRule type="cellIs" dxfId="82" priority="44" operator="equal">
      <formula>"error"</formula>
    </cfRule>
  </conditionalFormatting>
  <conditionalFormatting sqref="L23">
    <cfRule type="cellIs" dxfId="81" priority="43" operator="equal">
      <formula>0</formula>
    </cfRule>
  </conditionalFormatting>
  <conditionalFormatting sqref="I20:J22 H22">
    <cfRule type="cellIs" dxfId="80" priority="42" operator="equal">
      <formula>"error"</formula>
    </cfRule>
  </conditionalFormatting>
  <conditionalFormatting sqref="I20:J22 H22">
    <cfRule type="cellIs" dxfId="79" priority="41" operator="equal">
      <formula>0</formula>
    </cfRule>
  </conditionalFormatting>
  <conditionalFormatting sqref="K20:K22">
    <cfRule type="cellIs" dxfId="78" priority="40" operator="equal">
      <formula>"error"</formula>
    </cfRule>
  </conditionalFormatting>
  <conditionalFormatting sqref="K20:K22">
    <cfRule type="cellIs" dxfId="77" priority="39" operator="equal">
      <formula>0</formula>
    </cfRule>
  </conditionalFormatting>
  <conditionalFormatting sqref="AH17:AJ17">
    <cfRule type="cellIs" dxfId="76" priority="26" operator="lessThan">
      <formula>-1</formula>
    </cfRule>
    <cfRule type="cellIs" dxfId="75" priority="27" operator="greaterThan">
      <formula>1</formula>
    </cfRule>
    <cfRule type="cellIs" dxfId="74" priority="33" operator="lessThan">
      <formula>-0.04</formula>
    </cfRule>
    <cfRule type="cellIs" dxfId="73" priority="34" operator="greaterThan">
      <formula>0.04</formula>
    </cfRule>
  </conditionalFormatting>
  <conditionalFormatting sqref="Z17:AE17">
    <cfRule type="cellIs" dxfId="72" priority="32" operator="equal">
      <formula>"error"</formula>
    </cfRule>
  </conditionalFormatting>
  <conditionalFormatting sqref="Z17:AJ17">
    <cfRule type="cellIs" dxfId="71" priority="31" operator="equal">
      <formula>0</formula>
    </cfRule>
  </conditionalFormatting>
  <conditionalFormatting sqref="B17">
    <cfRule type="cellIs" dxfId="70" priority="28" operator="equal">
      <formula>0</formula>
    </cfRule>
    <cfRule type="cellIs" dxfId="69" priority="29" operator="lessThan">
      <formula>0</formula>
    </cfRule>
    <cfRule type="cellIs" dxfId="68" priority="30" operator="greaterThan">
      <formula>0</formula>
    </cfRule>
  </conditionalFormatting>
  <conditionalFormatting sqref="N17 Q17:V17">
    <cfRule type="cellIs" dxfId="67" priority="25" operator="equal">
      <formula>"error"</formula>
    </cfRule>
  </conditionalFormatting>
  <conditionalFormatting sqref="N17 Q17:V17">
    <cfRule type="cellIs" dxfId="66" priority="24" operator="equal">
      <formula>0</formula>
    </cfRule>
  </conditionalFormatting>
  <conditionalFormatting sqref="I17:J17">
    <cfRule type="cellIs" dxfId="65" priority="23" operator="equal">
      <formula>"error"</formula>
    </cfRule>
  </conditionalFormatting>
  <conditionalFormatting sqref="I17:J17">
    <cfRule type="cellIs" dxfId="64" priority="22" operator="equal">
      <formula>0</formula>
    </cfRule>
  </conditionalFormatting>
  <conditionalFormatting sqref="K17">
    <cfRule type="cellIs" dxfId="63" priority="21" operator="equal">
      <formula>"error"</formula>
    </cfRule>
  </conditionalFormatting>
  <conditionalFormatting sqref="K17">
    <cfRule type="cellIs" dxfId="62" priority="20" operator="equal">
      <formula>0</formula>
    </cfRule>
  </conditionalFormatting>
  <conditionalFormatting sqref="M17">
    <cfRule type="cellIs" dxfId="61" priority="19" operator="equal">
      <formula>"error"</formula>
    </cfRule>
  </conditionalFormatting>
  <conditionalFormatting sqref="M17">
    <cfRule type="cellIs" dxfId="60" priority="18" operator="equal">
      <formula>0</formula>
    </cfRule>
  </conditionalFormatting>
  <conditionalFormatting sqref="L17">
    <cfRule type="cellIs" dxfId="59" priority="17" operator="equal">
      <formula>"error"</formula>
    </cfRule>
  </conditionalFormatting>
  <conditionalFormatting sqref="L17">
    <cfRule type="cellIs" dxfId="58" priority="16" operator="equal">
      <formula>0</formula>
    </cfRule>
  </conditionalFormatting>
  <conditionalFormatting sqref="O17">
    <cfRule type="cellIs" dxfId="57" priority="15" operator="equal">
      <formula>"error"</formula>
    </cfRule>
  </conditionalFormatting>
  <conditionalFormatting sqref="O17">
    <cfRule type="cellIs" dxfId="56" priority="14" operator="equal">
      <formula>0</formula>
    </cfRule>
  </conditionalFormatting>
  <conditionalFormatting sqref="P17">
    <cfRule type="cellIs" dxfId="55" priority="13" operator="equal">
      <formula>"error"</formula>
    </cfRule>
  </conditionalFormatting>
  <conditionalFormatting sqref="P17">
    <cfRule type="cellIs" dxfId="54" priority="12" operator="equal">
      <formula>0</formula>
    </cfRule>
  </conditionalFormatting>
  <conditionalFormatting sqref="W17">
    <cfRule type="cellIs" dxfId="53" priority="11" operator="equal">
      <formula>"error"</formula>
    </cfRule>
  </conditionalFormatting>
  <conditionalFormatting sqref="W17">
    <cfRule type="cellIs" dxfId="52" priority="10" operator="equal">
      <formula>0</formula>
    </cfRule>
  </conditionalFormatting>
  <conditionalFormatting sqref="H17">
    <cfRule type="cellIs" dxfId="51" priority="9" operator="equal">
      <formula>"error"</formula>
    </cfRule>
  </conditionalFormatting>
  <conditionalFormatting sqref="H17">
    <cfRule type="cellIs" dxfId="50" priority="8" operator="equal">
      <formula>0</formula>
    </cfRule>
  </conditionalFormatting>
  <conditionalFormatting sqref="C10:C26">
    <cfRule type="cellIs" dxfId="49" priority="7" operator="between">
      <formula>0.66</formula>
      <formula>0.74</formula>
    </cfRule>
  </conditionalFormatting>
  <conditionalFormatting sqref="D10:D26">
    <cfRule type="cellIs" dxfId="48" priority="6" operator="between">
      <formula>0.21</formula>
      <formula>0.29</formula>
    </cfRule>
  </conditionalFormatting>
  <conditionalFormatting sqref="E10:E26">
    <cfRule type="cellIs" dxfId="47" priority="5" operator="between">
      <formula>0.04</formula>
      <formula>0.06</formula>
    </cfRule>
  </conditionalFormatting>
  <conditionalFormatting sqref="X10:Y10">
    <cfRule type="cellIs" dxfId="46" priority="4" operator="equal">
      <formula>"error"</formula>
    </cfRule>
  </conditionalFormatting>
  <conditionalFormatting sqref="X10:Y10">
    <cfRule type="cellIs" dxfId="45" priority="3" operator="equal">
      <formula>0</formula>
    </cfRule>
  </conditionalFormatting>
  <conditionalFormatting sqref="X11:Y26">
    <cfRule type="cellIs" dxfId="44" priority="2" operator="equal">
      <formula>"error"</formula>
    </cfRule>
  </conditionalFormatting>
  <conditionalFormatting sqref="X11:Y26">
    <cfRule type="cellIs" dxfId="43" priority="1" operator="equal">
      <formula>0</formula>
    </cfRule>
  </conditionalFormatting>
  <hyperlinks>
    <hyperlink ref="A34" r:id="rId1"/>
    <hyperlink ref="A32" r:id="rId2"/>
    <hyperlink ref="A33" r:id="rId3"/>
    <hyperlink ref="A35" r:id="rId4"/>
    <hyperlink ref="A36" r:id="rId5"/>
    <hyperlink ref="A37" r:id="rId6"/>
  </hyperlinks>
  <pageMargins left="0.7" right="0.7" top="0.78740157499999996" bottom="0.78740157499999996" header="0.3" footer="0.3"/>
  <pageSetup paperSize="9" scale="29" orientation="portrait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J54"/>
  <sheetViews>
    <sheetView zoomScale="80" zoomScaleNormal="80" workbookViewId="0">
      <selection activeCell="C29" sqref="C29"/>
    </sheetView>
  </sheetViews>
  <sheetFormatPr baseColWidth="10" defaultRowHeight="15" x14ac:dyDescent="0.25"/>
  <cols>
    <col min="1" max="1" width="33.28515625" customWidth="1"/>
    <col min="2" max="2" width="5.28515625" customWidth="1"/>
    <col min="3" max="5" width="11.5703125" customWidth="1"/>
    <col min="6" max="6" width="14.42578125" customWidth="1"/>
    <col min="7" max="7" width="9.42578125" style="55" customWidth="1"/>
    <col min="8" max="8" width="10.28515625" bestFit="1" customWidth="1"/>
    <col min="9" max="9" width="8.85546875" bestFit="1" customWidth="1"/>
    <col min="10" max="10" width="9.42578125" bestFit="1" customWidth="1"/>
    <col min="11" max="11" width="7.42578125" customWidth="1"/>
    <col min="12" max="12" width="10.5703125" customWidth="1"/>
    <col min="13" max="13" width="10" customWidth="1"/>
    <col min="14" max="14" width="10.85546875" bestFit="1" customWidth="1"/>
    <col min="15" max="15" width="8.7109375" bestFit="1" customWidth="1"/>
    <col min="16" max="16" width="9.7109375" customWidth="1"/>
    <col min="17" max="18" width="7.140625" bestFit="1" customWidth="1"/>
    <col min="19" max="19" width="7.5703125" customWidth="1"/>
    <col min="20" max="20" width="8.7109375" bestFit="1" customWidth="1"/>
    <col min="21" max="22" width="8.42578125" bestFit="1" customWidth="1"/>
    <col min="23" max="23" width="9.7109375" customWidth="1"/>
    <col min="24" max="24" width="8.42578125" customWidth="1"/>
    <col min="25" max="26" width="5.85546875" customWidth="1"/>
    <col min="27" max="27" width="7.140625" bestFit="1" customWidth="1"/>
    <col min="28" max="31" width="5.85546875" customWidth="1"/>
    <col min="32" max="32" width="13.5703125" style="152" bestFit="1" customWidth="1"/>
    <col min="33" max="33" width="13.42578125" style="152" customWidth="1"/>
    <col min="34" max="35" width="17.7109375" bestFit="1" customWidth="1"/>
    <col min="36" max="36" width="20.5703125" customWidth="1"/>
  </cols>
  <sheetData>
    <row r="1" spans="1:36" s="86" customFormat="1" ht="18.75" customHeight="1" x14ac:dyDescent="0.25">
      <c r="A1" s="537"/>
      <c r="B1" s="537"/>
      <c r="C1" s="826"/>
      <c r="D1" s="826"/>
      <c r="E1" s="827"/>
      <c r="G1" s="153"/>
      <c r="H1" s="540"/>
      <c r="M1" s="567"/>
      <c r="N1" s="568"/>
      <c r="O1" s="568"/>
      <c r="P1" s="568"/>
      <c r="Q1" s="568"/>
      <c r="R1" s="569"/>
      <c r="S1" s="566"/>
      <c r="T1" s="570"/>
      <c r="U1" s="570"/>
      <c r="V1" s="570"/>
      <c r="W1" s="570"/>
      <c r="X1" s="571"/>
      <c r="Y1" s="566"/>
      <c r="Z1" s="537"/>
      <c r="AF1" s="146"/>
      <c r="AG1" s="146"/>
    </row>
    <row r="2" spans="1:36" ht="15.75" thickBot="1" x14ac:dyDescent="0.3">
      <c r="A2" s="537"/>
      <c r="B2" s="537"/>
      <c r="C2" s="826"/>
      <c r="D2" s="826"/>
      <c r="E2" s="827"/>
      <c r="F2" s="154"/>
      <c r="G2" s="153"/>
      <c r="H2" s="790" t="s">
        <v>269</v>
      </c>
      <c r="I2" s="790"/>
      <c r="J2" s="790"/>
      <c r="K2" s="790"/>
      <c r="L2" s="790"/>
      <c r="M2" s="790"/>
      <c r="N2" s="790"/>
      <c r="O2" s="790"/>
      <c r="P2" s="790"/>
      <c r="Q2" s="790"/>
      <c r="R2" s="790"/>
      <c r="S2" s="790"/>
      <c r="T2" s="790"/>
      <c r="U2" s="790"/>
      <c r="V2" s="790"/>
      <c r="W2" s="790"/>
      <c r="X2" s="790"/>
      <c r="Y2" s="790"/>
      <c r="Z2" s="790"/>
      <c r="AA2" s="790"/>
      <c r="AB2" s="790"/>
      <c r="AC2" s="790"/>
      <c r="AD2" s="790"/>
      <c r="AE2" s="790"/>
      <c r="AF2" s="146"/>
      <c r="AG2" s="146"/>
      <c r="AH2" s="270" t="s">
        <v>309</v>
      </c>
      <c r="AI2" s="86"/>
      <c r="AJ2" s="86"/>
    </row>
    <row r="3" spans="1:36" ht="15" customHeight="1" x14ac:dyDescent="0.25">
      <c r="A3" s="980" t="s">
        <v>437</v>
      </c>
      <c r="B3" s="981"/>
      <c r="C3" s="981"/>
      <c r="D3" s="981"/>
      <c r="E3" s="982"/>
      <c r="F3" s="154"/>
      <c r="G3" s="153"/>
      <c r="H3" s="792" t="s">
        <v>267</v>
      </c>
      <c r="I3" s="792"/>
      <c r="J3" s="792"/>
      <c r="K3" s="792"/>
      <c r="L3" s="792"/>
      <c r="M3" s="792"/>
      <c r="N3" s="792" t="s">
        <v>268</v>
      </c>
      <c r="O3" s="792"/>
      <c r="P3" s="792"/>
      <c r="Q3" s="792"/>
      <c r="R3" s="792"/>
      <c r="S3" s="792"/>
      <c r="T3" s="792"/>
      <c r="U3" s="792"/>
      <c r="V3" s="792"/>
      <c r="W3" s="792"/>
      <c r="X3" s="792"/>
      <c r="Y3" s="792"/>
      <c r="Z3" s="792"/>
      <c r="AA3" s="792"/>
      <c r="AB3" s="792"/>
      <c r="AC3" s="792"/>
      <c r="AD3" s="792"/>
      <c r="AE3" s="792"/>
      <c r="AF3" s="146"/>
      <c r="AG3" s="146"/>
      <c r="AH3" s="86"/>
      <c r="AI3" s="86"/>
      <c r="AJ3" s="86"/>
    </row>
    <row r="4" spans="1:36" ht="21.75" customHeight="1" thickBot="1" x14ac:dyDescent="0.3">
      <c r="A4" s="983"/>
      <c r="B4" s="984"/>
      <c r="C4" s="984"/>
      <c r="D4" s="984"/>
      <c r="E4" s="985"/>
      <c r="F4" s="154"/>
      <c r="G4" s="153"/>
      <c r="H4" s="816" t="s">
        <v>272</v>
      </c>
      <c r="I4" s="793"/>
      <c r="J4" s="793"/>
      <c r="K4" s="793"/>
      <c r="L4" s="793"/>
      <c r="M4" s="793"/>
      <c r="N4" s="793"/>
      <c r="O4" s="793"/>
      <c r="P4" s="793"/>
      <c r="Q4" s="793"/>
      <c r="R4" s="793"/>
      <c r="S4" s="793"/>
      <c r="T4" s="793"/>
      <c r="U4" s="793"/>
      <c r="V4" s="793"/>
      <c r="W4" s="793"/>
      <c r="X4" s="793"/>
      <c r="Y4" s="793"/>
      <c r="Z4" s="793"/>
      <c r="AA4" s="793"/>
      <c r="AB4" s="793"/>
      <c r="AC4" s="793"/>
      <c r="AD4" s="793"/>
      <c r="AE4" s="794"/>
      <c r="AF4" s="146"/>
      <c r="AG4" s="146"/>
      <c r="AH4" s="86"/>
      <c r="AI4" s="86"/>
      <c r="AJ4" s="86"/>
    </row>
    <row r="5" spans="1:36" ht="18" customHeight="1" x14ac:dyDescent="0.25">
      <c r="C5" s="377"/>
      <c r="D5" s="377"/>
      <c r="E5" s="379"/>
      <c r="F5" s="154" t="s">
        <v>52</v>
      </c>
      <c r="G5" s="153"/>
      <c r="H5" s="817" t="s">
        <v>257</v>
      </c>
      <c r="I5" s="795" t="s">
        <v>256</v>
      </c>
      <c r="J5" s="796"/>
      <c r="K5" s="796"/>
      <c r="L5" s="796"/>
      <c r="M5" s="797"/>
      <c r="N5" s="804" t="s">
        <v>258</v>
      </c>
      <c r="O5" s="805"/>
      <c r="P5" s="805"/>
      <c r="Q5" s="805"/>
      <c r="R5" s="805"/>
      <c r="S5" s="805"/>
      <c r="T5" s="805"/>
      <c r="U5" s="805"/>
      <c r="V5" s="805"/>
      <c r="W5" s="805"/>
      <c r="X5" s="805"/>
      <c r="Y5" s="805"/>
      <c r="Z5" s="805"/>
      <c r="AA5" s="805"/>
      <c r="AB5" s="805"/>
      <c r="AC5" s="805"/>
      <c r="AD5" s="805"/>
      <c r="AE5" s="806"/>
      <c r="AF5" s="146"/>
      <c r="AG5" s="146"/>
      <c r="AH5" s="86"/>
      <c r="AI5" s="86"/>
      <c r="AJ5" s="86"/>
    </row>
    <row r="6" spans="1:36" ht="18" customHeight="1" x14ac:dyDescent="0.25">
      <c r="A6" s="537"/>
      <c r="C6" s="378"/>
      <c r="D6" s="377"/>
      <c r="E6" s="379"/>
      <c r="F6" s="154"/>
      <c r="G6" s="153"/>
      <c r="H6" s="818"/>
      <c r="I6" s="798"/>
      <c r="J6" s="799"/>
      <c r="K6" s="799"/>
      <c r="L6" s="799"/>
      <c r="M6" s="800"/>
      <c r="N6" s="807" t="s">
        <v>342</v>
      </c>
      <c r="O6" s="808"/>
      <c r="P6" s="808"/>
      <c r="Q6" s="808"/>
      <c r="R6" s="808"/>
      <c r="S6" s="808"/>
      <c r="T6" s="808"/>
      <c r="U6" s="808"/>
      <c r="V6" s="809"/>
      <c r="W6" s="807" t="s">
        <v>343</v>
      </c>
      <c r="X6" s="808"/>
      <c r="Y6" s="808"/>
      <c r="Z6" s="808"/>
      <c r="AA6" s="808"/>
      <c r="AB6" s="808"/>
      <c r="AC6" s="808"/>
      <c r="AD6" s="808"/>
      <c r="AE6" s="809"/>
      <c r="AF6" s="146"/>
      <c r="AG6" s="146"/>
      <c r="AH6" s="729" t="s">
        <v>276</v>
      </c>
      <c r="AI6" s="730"/>
      <c r="AJ6" s="731"/>
    </row>
    <row r="7" spans="1:36" ht="17.25" customHeight="1" x14ac:dyDescent="0.25">
      <c r="A7" s="377"/>
      <c r="B7" s="377"/>
      <c r="C7" s="377"/>
      <c r="D7" s="377"/>
      <c r="E7" s="379"/>
      <c r="F7" s="154"/>
      <c r="G7" s="153"/>
      <c r="H7" s="819"/>
      <c r="I7" s="801"/>
      <c r="J7" s="802"/>
      <c r="K7" s="802"/>
      <c r="L7" s="802"/>
      <c r="M7" s="803"/>
      <c r="N7" s="813" t="s">
        <v>253</v>
      </c>
      <c r="O7" s="814"/>
      <c r="P7" s="814"/>
      <c r="Q7" s="810"/>
      <c r="R7" s="811"/>
      <c r="S7" s="811"/>
      <c r="T7" s="811"/>
      <c r="U7" s="811"/>
      <c r="V7" s="812"/>
      <c r="W7" s="810"/>
      <c r="X7" s="811"/>
      <c r="Y7" s="811"/>
      <c r="Z7" s="811"/>
      <c r="AA7" s="811"/>
      <c r="AB7" s="811"/>
      <c r="AC7" s="811"/>
      <c r="AD7" s="811"/>
      <c r="AE7" s="812"/>
      <c r="AF7" s="147"/>
      <c r="AG7" s="783" t="s">
        <v>350</v>
      </c>
      <c r="AH7" s="232" t="s">
        <v>303</v>
      </c>
      <c r="AI7" s="233" t="s">
        <v>304</v>
      </c>
      <c r="AJ7" s="144"/>
    </row>
    <row r="8" spans="1:36" ht="17.25" customHeight="1" thickBot="1" x14ac:dyDescent="0.3">
      <c r="A8" s="372"/>
      <c r="B8" s="372"/>
      <c r="C8" s="822" t="s">
        <v>415</v>
      </c>
      <c r="D8" s="823"/>
      <c r="E8" s="824"/>
      <c r="F8" s="325" t="s">
        <v>275</v>
      </c>
      <c r="G8" s="277" t="s">
        <v>262</v>
      </c>
      <c r="H8" s="278" t="s">
        <v>186</v>
      </c>
      <c r="I8" s="776" t="s">
        <v>187</v>
      </c>
      <c r="J8" s="777"/>
      <c r="K8" s="278" t="s">
        <v>188</v>
      </c>
      <c r="L8" s="776" t="s">
        <v>385</v>
      </c>
      <c r="M8" s="777"/>
      <c r="N8" s="776" t="s">
        <v>386</v>
      </c>
      <c r="O8" s="777"/>
      <c r="P8" s="278" t="s">
        <v>202</v>
      </c>
      <c r="Q8" s="776" t="s">
        <v>387</v>
      </c>
      <c r="R8" s="815"/>
      <c r="S8" s="777"/>
      <c r="T8" s="776" t="s">
        <v>388</v>
      </c>
      <c r="U8" s="815"/>
      <c r="V8" s="777"/>
      <c r="W8" s="279" t="str">
        <f>CONCATENATE(AD8," + ",AE8)</f>
        <v>Wood + Biogas liq. Biof.</v>
      </c>
      <c r="X8" s="774" t="s">
        <v>315</v>
      </c>
      <c r="Y8" s="775"/>
      <c r="Z8" s="265" t="s">
        <v>203</v>
      </c>
      <c r="AA8" s="265" t="s">
        <v>204</v>
      </c>
      <c r="AB8" s="265" t="s">
        <v>208</v>
      </c>
      <c r="AC8" s="265" t="s">
        <v>209</v>
      </c>
      <c r="AD8" s="265" t="s">
        <v>207</v>
      </c>
      <c r="AE8" s="265" t="s">
        <v>210</v>
      </c>
      <c r="AF8" s="148" t="s">
        <v>250</v>
      </c>
      <c r="AG8" s="784"/>
      <c r="AH8" s="112" t="s">
        <v>270</v>
      </c>
      <c r="AI8" s="112" t="s">
        <v>270</v>
      </c>
      <c r="AJ8" s="145" t="s">
        <v>271</v>
      </c>
    </row>
    <row r="9" spans="1:36" ht="17.25" customHeight="1" x14ac:dyDescent="0.25">
      <c r="A9" s="375" t="s">
        <v>353</v>
      </c>
      <c r="B9" s="375" t="s">
        <v>351</v>
      </c>
      <c r="C9" s="544" t="s">
        <v>414</v>
      </c>
      <c r="D9" s="544" t="s">
        <v>413</v>
      </c>
      <c r="E9" s="544" t="s">
        <v>412</v>
      </c>
      <c r="F9" s="326"/>
      <c r="G9" s="280"/>
      <c r="H9" s="281" t="s">
        <v>292</v>
      </c>
      <c r="I9" s="281" t="s">
        <v>310</v>
      </c>
      <c r="J9" s="281" t="s">
        <v>332</v>
      </c>
      <c r="K9" s="281" t="s">
        <v>294</v>
      </c>
      <c r="L9" s="281" t="s">
        <v>312</v>
      </c>
      <c r="M9" s="281" t="s">
        <v>313</v>
      </c>
      <c r="N9" s="281" t="s">
        <v>318</v>
      </c>
      <c r="O9" s="281" t="s">
        <v>314</v>
      </c>
      <c r="P9" s="281" t="s">
        <v>296</v>
      </c>
      <c r="Q9" s="281" t="s">
        <v>324</v>
      </c>
      <c r="R9" s="281" t="s">
        <v>319</v>
      </c>
      <c r="S9" s="281" t="s">
        <v>320</v>
      </c>
      <c r="T9" s="281" t="s">
        <v>321</v>
      </c>
      <c r="U9" s="281" t="s">
        <v>322</v>
      </c>
      <c r="V9" s="281" t="s">
        <v>323</v>
      </c>
      <c r="W9" s="561" t="s">
        <v>299</v>
      </c>
      <c r="X9" s="562" t="s">
        <v>316</v>
      </c>
      <c r="Y9" s="563" t="s">
        <v>317</v>
      </c>
      <c r="Z9" s="715" t="s">
        <v>308</v>
      </c>
      <c r="AA9" s="716" t="s">
        <v>307</v>
      </c>
      <c r="AB9" s="716" t="s">
        <v>301</v>
      </c>
      <c r="AC9" s="716" t="s">
        <v>301</v>
      </c>
      <c r="AD9" s="265" t="s">
        <v>299</v>
      </c>
      <c r="AE9" s="265" t="s">
        <v>299</v>
      </c>
      <c r="AF9" s="148" t="s">
        <v>325</v>
      </c>
      <c r="AG9" s="785"/>
      <c r="AH9" s="112" t="s">
        <v>270</v>
      </c>
      <c r="AI9" s="112" t="s">
        <v>270</v>
      </c>
      <c r="AJ9" s="145" t="s">
        <v>271</v>
      </c>
    </row>
    <row r="10" spans="1:36" ht="15" customHeight="1" x14ac:dyDescent="0.25">
      <c r="A10" s="604"/>
      <c r="B10" s="385"/>
      <c r="C10" s="605"/>
      <c r="D10" s="605"/>
      <c r="E10" s="605"/>
      <c r="F10" s="327">
        <v>1</v>
      </c>
      <c r="G10" s="283" t="s">
        <v>238</v>
      </c>
      <c r="H10" s="267">
        <f>NEWAGE_CCS!H10-[1]NEWAGE_detailed_CCS!H10</f>
        <v>0</v>
      </c>
      <c r="I10" s="384">
        <f>NEWAGE_CCS!I10-[1]NEWAGE_detailed_CCS!I10</f>
        <v>0</v>
      </c>
      <c r="J10" s="384">
        <f>NEWAGE_CCS!J10-[1]NEWAGE_detailed_CCS!J10</f>
        <v>0</v>
      </c>
      <c r="K10" s="267">
        <f>NEWAGE_CCS!K10-[1]NEWAGE_detailed_CCS!K10</f>
        <v>0</v>
      </c>
      <c r="L10" s="384">
        <f>NEWAGE_CCS!L10-[1]NEWAGE_detailed_CCS!L10</f>
        <v>0</v>
      </c>
      <c r="M10" s="384">
        <f>NEWAGE_CCS!M10-[1]NEWAGE_detailed_CCS!M10</f>
        <v>0</v>
      </c>
      <c r="N10" s="558">
        <f>NEWAGE_CCS!N10-[1]NEWAGE_detailed_CCS!N10</f>
        <v>0</v>
      </c>
      <c r="O10" s="558">
        <f>NEWAGE_CCS!O10-[1]NEWAGE_detailed_CCS!O10</f>
        <v>0</v>
      </c>
      <c r="P10" s="558">
        <f>NEWAGE_CCS!P10-[1]NEWAGE_detailed_CCS!P10</f>
        <v>0</v>
      </c>
      <c r="Q10" s="384">
        <f>NEWAGE_CCS!Q10-[1]NEWAGE_detailed_CCS!Q10</f>
        <v>0</v>
      </c>
      <c r="R10" s="384">
        <f>NEWAGE_CCS!R10-[1]NEWAGE_detailed_CCS!R10</f>
        <v>0</v>
      </c>
      <c r="S10" s="384">
        <f>NEWAGE_CCS!S10-[1]NEWAGE_detailed_CCS!S10</f>
        <v>0</v>
      </c>
      <c r="T10" s="558">
        <f>NEWAGE_CCS!T10-[1]NEWAGE_detailed_CCS!T10</f>
        <v>0</v>
      </c>
      <c r="U10" s="558">
        <f>NEWAGE_CCS!U10-[1]NEWAGE_detailed_CCS!U10</f>
        <v>0</v>
      </c>
      <c r="V10" s="384">
        <f>NEWAGE_CCS!V10-[1]NEWAGE_detailed_CCS!V10</f>
        <v>0</v>
      </c>
      <c r="W10" s="267">
        <f>NEWAGE_CCS!W10-[1]NEWAGE_detailed_CCS!W10</f>
        <v>0</v>
      </c>
      <c r="X10" s="552">
        <f>NEWAGE_CCS!X10-[1]NEWAGE_detailed_CCS!X10</f>
        <v>0</v>
      </c>
      <c r="Y10" s="564">
        <f>NEWAGE_CCS!Y10-[1]NEWAGE_detailed_CCS!Y10</f>
        <v>0</v>
      </c>
      <c r="Z10" s="560"/>
      <c r="AA10" s="301"/>
      <c r="AB10" s="301"/>
      <c r="AC10" s="301"/>
      <c r="AD10" s="113"/>
      <c r="AE10" s="113"/>
      <c r="AF10" s="149">
        <f>SUM(H10:AC10)</f>
        <v>0</v>
      </c>
      <c r="AG10" s="149">
        <f>SUM(H10:Y10)</f>
        <v>0</v>
      </c>
      <c r="AH10" s="106"/>
      <c r="AI10" s="113"/>
      <c r="AJ10" s="106">
        <f>'Table 1.2 complete'!K6-'Table 1.1 complete'!E6</f>
        <v>0</v>
      </c>
    </row>
    <row r="11" spans="1:36" x14ac:dyDescent="0.25">
      <c r="A11" s="606"/>
      <c r="B11" s="109"/>
      <c r="C11" s="546"/>
      <c r="D11" s="546"/>
      <c r="E11" s="545"/>
      <c r="F11" s="328">
        <v>2</v>
      </c>
      <c r="G11" s="284" t="s">
        <v>249</v>
      </c>
      <c r="H11" s="267">
        <f>NEWAGE_CCS!H11-[1]NEWAGE_detailed_CCS!H11</f>
        <v>0</v>
      </c>
      <c r="I11" s="384">
        <f>NEWAGE_CCS!I11-[1]NEWAGE_detailed_CCS!I11</f>
        <v>0</v>
      </c>
      <c r="J11" s="384">
        <f>NEWAGE_CCS!J11-[1]NEWAGE_detailed_CCS!J11</f>
        <v>0</v>
      </c>
      <c r="K11" s="267">
        <f>NEWAGE_CCS!K11-[1]NEWAGE_detailed_CCS!K11</f>
        <v>0</v>
      </c>
      <c r="L11" s="384">
        <f>NEWAGE_CCS!L11-[1]NEWAGE_detailed_CCS!L11</f>
        <v>0</v>
      </c>
      <c r="M11" s="384">
        <f>NEWAGE_CCS!M11-[1]NEWAGE_detailed_CCS!M11</f>
        <v>0</v>
      </c>
      <c r="N11" s="558">
        <f>NEWAGE_CCS!N11-[1]NEWAGE_detailed_CCS!N11</f>
        <v>0</v>
      </c>
      <c r="O11" s="558">
        <f>NEWAGE_CCS!O11-[1]NEWAGE_detailed_CCS!O11</f>
        <v>0</v>
      </c>
      <c r="P11" s="558">
        <f>NEWAGE_CCS!P11-[1]NEWAGE_detailed_CCS!P11</f>
        <v>0</v>
      </c>
      <c r="Q11" s="384">
        <f>NEWAGE_CCS!Q11-[1]NEWAGE_detailed_CCS!Q11</f>
        <v>0</v>
      </c>
      <c r="R11" s="384">
        <f>NEWAGE_CCS!R11-[1]NEWAGE_detailed_CCS!R11</f>
        <v>0</v>
      </c>
      <c r="S11" s="384">
        <f>NEWAGE_CCS!S11-[1]NEWAGE_detailed_CCS!S11</f>
        <v>0</v>
      </c>
      <c r="T11" s="558">
        <f>NEWAGE_CCS!T11-[1]NEWAGE_detailed_CCS!T11</f>
        <v>0</v>
      </c>
      <c r="U11" s="558">
        <f>NEWAGE_CCS!U11-[1]NEWAGE_detailed_CCS!U11</f>
        <v>0</v>
      </c>
      <c r="V11" s="384">
        <f>NEWAGE_CCS!V11-[1]NEWAGE_detailed_CCS!V11</f>
        <v>0</v>
      </c>
      <c r="W11" s="267">
        <f>NEWAGE_CCS!W11-[1]NEWAGE_detailed_CCS!W11</f>
        <v>0</v>
      </c>
      <c r="X11" s="552">
        <f>NEWAGE_CCS!X11-[1]NEWAGE_detailed_CCS!X11</f>
        <v>0</v>
      </c>
      <c r="Y11" s="564">
        <f>NEWAGE_CCS!Y11-[1]NEWAGE_detailed_CCS!Y11</f>
        <v>0</v>
      </c>
      <c r="Z11" s="275"/>
      <c r="AA11" s="113"/>
      <c r="AB11" s="113"/>
      <c r="AC11" s="113"/>
      <c r="AD11" s="113"/>
      <c r="AE11" s="113"/>
      <c r="AF11" s="149">
        <f t="shared" ref="AF11:AF40" si="0">SUM(H11:AC11)</f>
        <v>0</v>
      </c>
      <c r="AG11" s="149">
        <f t="shared" ref="AG11:AG41" si="1">SUM(H11:Y11)</f>
        <v>0</v>
      </c>
      <c r="AH11" s="106"/>
      <c r="AI11" s="113"/>
      <c r="AJ11" s="106">
        <f>'Table 1.2 complete'!K7-'Table 1.1 complete'!E7</f>
        <v>4.0000000000077307E-2</v>
      </c>
    </row>
    <row r="12" spans="1:36" x14ac:dyDescent="0.25">
      <c r="A12" s="606"/>
      <c r="B12" s="109"/>
      <c r="C12" s="546"/>
      <c r="D12" s="546"/>
      <c r="E12" s="547"/>
      <c r="F12" s="329">
        <v>3</v>
      </c>
      <c r="G12" s="285" t="s">
        <v>229</v>
      </c>
      <c r="H12" s="267">
        <f>NEWAGE_CCS!H12-[1]NEWAGE_detailed_CCS!H12</f>
        <v>0</v>
      </c>
      <c r="I12" s="384">
        <f>NEWAGE_CCS!I12-[1]NEWAGE_detailed_CCS!I12</f>
        <v>0</v>
      </c>
      <c r="J12" s="384">
        <f>NEWAGE_CCS!J12-[1]NEWAGE_detailed_CCS!J12</f>
        <v>0</v>
      </c>
      <c r="K12" s="267">
        <f>NEWAGE_CCS!K12-[1]NEWAGE_detailed_CCS!K12</f>
        <v>0</v>
      </c>
      <c r="L12" s="384">
        <f>NEWAGE_CCS!L12-[1]NEWAGE_detailed_CCS!L12</f>
        <v>0</v>
      </c>
      <c r="M12" s="384">
        <f>NEWAGE_CCS!M12-[1]NEWAGE_detailed_CCS!M12</f>
        <v>0</v>
      </c>
      <c r="N12" s="558">
        <f>NEWAGE_CCS!N12-[1]NEWAGE_detailed_CCS!N12</f>
        <v>0</v>
      </c>
      <c r="O12" s="558">
        <f>NEWAGE_CCS!O12-[1]NEWAGE_detailed_CCS!O12</f>
        <v>0</v>
      </c>
      <c r="P12" s="558">
        <f>NEWAGE_CCS!P12-[1]NEWAGE_detailed_CCS!P12</f>
        <v>0</v>
      </c>
      <c r="Q12" s="384">
        <f>NEWAGE_CCS!Q12-[1]NEWAGE_detailed_CCS!Q12</f>
        <v>0</v>
      </c>
      <c r="R12" s="384">
        <f>NEWAGE_CCS!R12-[1]NEWAGE_detailed_CCS!R12</f>
        <v>0</v>
      </c>
      <c r="S12" s="384">
        <f>NEWAGE_CCS!S12-[1]NEWAGE_detailed_CCS!S12</f>
        <v>0</v>
      </c>
      <c r="T12" s="558">
        <f>NEWAGE_CCS!T12-[1]NEWAGE_detailed_CCS!T12</f>
        <v>0</v>
      </c>
      <c r="U12" s="558">
        <f>NEWAGE_CCS!U12-[1]NEWAGE_detailed_CCS!U12</f>
        <v>0</v>
      </c>
      <c r="V12" s="384">
        <f>NEWAGE_CCS!V12-[1]NEWAGE_detailed_CCS!V12</f>
        <v>0</v>
      </c>
      <c r="W12" s="267">
        <f>NEWAGE_CCS!W12-[1]NEWAGE_detailed_CCS!W12</f>
        <v>0</v>
      </c>
      <c r="X12" s="552">
        <f>NEWAGE_CCS!X12-[1]NEWAGE_detailed_CCS!X12</f>
        <v>0</v>
      </c>
      <c r="Y12" s="564">
        <f>NEWAGE_CCS!Y12-[1]NEWAGE_detailed_CCS!Y12</f>
        <v>0</v>
      </c>
      <c r="Z12" s="275"/>
      <c r="AA12" s="113"/>
      <c r="AB12" s="113"/>
      <c r="AC12" s="113"/>
      <c r="AD12" s="113"/>
      <c r="AE12" s="113"/>
      <c r="AF12" s="149">
        <f t="shared" si="0"/>
        <v>0</v>
      </c>
      <c r="AG12" s="149">
        <f t="shared" si="1"/>
        <v>0</v>
      </c>
      <c r="AH12" s="106"/>
      <c r="AI12" s="113"/>
      <c r="AJ12" s="106">
        <f>'Table 1.2 complete'!K8-'Table 1.1 complete'!E8</f>
        <v>3.0000000000001137E-2</v>
      </c>
    </row>
    <row r="13" spans="1:36" x14ac:dyDescent="0.25">
      <c r="A13" s="606"/>
      <c r="B13" s="109"/>
      <c r="C13" s="546"/>
      <c r="D13" s="546"/>
      <c r="E13" s="546"/>
      <c r="F13" s="330">
        <v>4</v>
      </c>
      <c r="G13" s="286" t="s">
        <v>246</v>
      </c>
      <c r="H13" s="267">
        <f>NEWAGE_CCS!H13-[1]NEWAGE_detailed_CCS!H13</f>
        <v>0</v>
      </c>
      <c r="I13" s="384">
        <f>NEWAGE_CCS!I13-[1]NEWAGE_detailed_CCS!I13</f>
        <v>0</v>
      </c>
      <c r="J13" s="384">
        <f>NEWAGE_CCS!J13-[1]NEWAGE_detailed_CCS!J13</f>
        <v>0</v>
      </c>
      <c r="K13" s="267">
        <f>NEWAGE_CCS!K13-[1]NEWAGE_detailed_CCS!K13</f>
        <v>0</v>
      </c>
      <c r="L13" s="384">
        <f>NEWAGE_CCS!L13-[1]NEWAGE_detailed_CCS!L13</f>
        <v>0</v>
      </c>
      <c r="M13" s="384">
        <f>NEWAGE_CCS!M13-[1]NEWAGE_detailed_CCS!M13</f>
        <v>0</v>
      </c>
      <c r="N13" s="558">
        <f>NEWAGE_CCS!N13-[1]NEWAGE_detailed_CCS!N13</f>
        <v>0</v>
      </c>
      <c r="O13" s="558">
        <f>NEWAGE_CCS!O13-[1]NEWAGE_detailed_CCS!O13</f>
        <v>0</v>
      </c>
      <c r="P13" s="558">
        <f>NEWAGE_CCS!P13-[1]NEWAGE_detailed_CCS!P13</f>
        <v>0</v>
      </c>
      <c r="Q13" s="384">
        <f>NEWAGE_CCS!Q13-[1]NEWAGE_detailed_CCS!Q13</f>
        <v>0</v>
      </c>
      <c r="R13" s="384">
        <f>NEWAGE_CCS!R13-[1]NEWAGE_detailed_CCS!R13</f>
        <v>0</v>
      </c>
      <c r="S13" s="384">
        <f>NEWAGE_CCS!S13-[1]NEWAGE_detailed_CCS!S13</f>
        <v>0</v>
      </c>
      <c r="T13" s="558">
        <f>NEWAGE_CCS!T13-[1]NEWAGE_detailed_CCS!T13</f>
        <v>0</v>
      </c>
      <c r="U13" s="558">
        <f>NEWAGE_CCS!U13-[1]NEWAGE_detailed_CCS!U13</f>
        <v>0</v>
      </c>
      <c r="V13" s="384">
        <f>NEWAGE_CCS!V13-[1]NEWAGE_detailed_CCS!V13</f>
        <v>0</v>
      </c>
      <c r="W13" s="267">
        <f>NEWAGE_CCS!W13-[1]NEWAGE_detailed_CCS!W13</f>
        <v>0</v>
      </c>
      <c r="X13" s="552">
        <f>NEWAGE_CCS!X13-[1]NEWAGE_detailed_CCS!X13</f>
        <v>0</v>
      </c>
      <c r="Y13" s="564">
        <f>NEWAGE_CCS!Y13-[1]NEWAGE_detailed_CCS!Y13</f>
        <v>0</v>
      </c>
      <c r="Z13" s="275"/>
      <c r="AA13" s="113"/>
      <c r="AB13" s="113"/>
      <c r="AC13" s="113"/>
      <c r="AD13" s="113"/>
      <c r="AE13" s="113"/>
      <c r="AF13" s="149">
        <f t="shared" si="0"/>
        <v>0</v>
      </c>
      <c r="AG13" s="149">
        <f t="shared" si="1"/>
        <v>0</v>
      </c>
      <c r="AH13" s="106"/>
      <c r="AI13" s="113"/>
      <c r="AJ13" s="106">
        <f>'Table 1.2 complete'!K9-'Table 1.1 complete'!E9</f>
        <v>-4.9999999999997158E-2</v>
      </c>
    </row>
    <row r="14" spans="1:36" x14ac:dyDescent="0.25">
      <c r="A14" s="606"/>
      <c r="B14" s="109"/>
      <c r="C14" s="545"/>
      <c r="D14" s="545"/>
      <c r="E14" s="545"/>
      <c r="F14" s="331">
        <v>5</v>
      </c>
      <c r="G14" s="287" t="s">
        <v>236</v>
      </c>
      <c r="H14" s="719">
        <f>NEWAGE_CCS!H14-[1]NEWAGE_detailed_CCS!H16</f>
        <v>115.46000000000001</v>
      </c>
      <c r="I14" s="720">
        <f>NEWAGE_CCS!I14-[1]NEWAGE_detailed_CCS!I16</f>
        <v>6.3800000000000097</v>
      </c>
      <c r="J14" s="720">
        <f>NEWAGE_CCS!J14-[1]NEWAGE_detailed_CCS!J16</f>
        <v>6.3000000000000007</v>
      </c>
      <c r="K14" s="719">
        <f>NEWAGE_CCS!K14-[1]NEWAGE_detailed_CCS!K16</f>
        <v>0</v>
      </c>
      <c r="L14" s="720">
        <f>NEWAGE_CCS!L14-[1]NEWAGE_detailed_CCS!L16</f>
        <v>0.48000000000000043</v>
      </c>
      <c r="M14" s="720">
        <f>NEWAGE_CCS!M14-[1]NEWAGE_detailed_CCS!M16</f>
        <v>11.250000000000002</v>
      </c>
      <c r="N14" s="720">
        <f>NEWAGE_CCS!N14-[1]NEWAGE_detailed_CCS!N16</f>
        <v>181.827855</v>
      </c>
      <c r="O14" s="720">
        <f>NEWAGE_CCS!O14-[1]NEWAGE_detailed_CCS!O16</f>
        <v>-9.9836550000000095</v>
      </c>
      <c r="P14" s="720">
        <f>NEWAGE_CCS!P14-[1]NEWAGE_detailed_CCS!P16</f>
        <v>0</v>
      </c>
      <c r="Q14" s="720">
        <f>NEWAGE_CCS!Q14-[1]NEWAGE_detailed_CCS!Q16</f>
        <v>7.1349999999999998</v>
      </c>
      <c r="R14" s="720">
        <f>NEWAGE_CCS!R14-[1]NEWAGE_detailed_CCS!R16</f>
        <v>0</v>
      </c>
      <c r="S14" s="720">
        <f>NEWAGE_CCS!S14-[1]NEWAGE_detailed_CCS!S16</f>
        <v>2.7250000000000023</v>
      </c>
      <c r="T14" s="720">
        <f>NEWAGE_CCS!T14-[1]NEWAGE_detailed_CCS!T16</f>
        <v>90.570149999999998</v>
      </c>
      <c r="U14" s="720">
        <f>NEWAGE_CCS!U14-[1]NEWAGE_detailed_CCS!U16</f>
        <v>155.60622000000001</v>
      </c>
      <c r="V14" s="720">
        <f>NEWAGE_CCS!V14-[1]NEWAGE_detailed_CCS!V16</f>
        <v>18.607000000000006</v>
      </c>
      <c r="W14" s="719">
        <f>NEWAGE_CCS!W14-[1]NEWAGE_detailed_CCS!W16</f>
        <v>13.2</v>
      </c>
      <c r="X14" s="721">
        <f>NEWAGE_CCS!X14-[1]NEWAGE_detailed_CCS!X16</f>
        <v>2.7514950000000056</v>
      </c>
      <c r="Y14" s="722">
        <f>NEWAGE_CCS!Y14-[1]NEWAGE_detailed_CCS!Y16</f>
        <v>1.4709350000000043</v>
      </c>
      <c r="Z14" s="970"/>
      <c r="AA14" s="970"/>
      <c r="AB14" s="970"/>
      <c r="AC14" s="970"/>
      <c r="AD14" s="970"/>
      <c r="AE14" s="971" t="s">
        <v>430</v>
      </c>
      <c r="AF14" s="969">
        <f t="shared" si="0"/>
        <v>603.78000000000009</v>
      </c>
      <c r="AG14" s="149">
        <f t="shared" si="1"/>
        <v>603.78000000000009</v>
      </c>
      <c r="AH14" s="106"/>
      <c r="AI14" s="113"/>
      <c r="AJ14" s="106">
        <f>'Table 1.2 complete'!K10-'Table 1.1 complete'!E10</f>
        <v>1.9999999999996021E-2</v>
      </c>
    </row>
    <row r="15" spans="1:36" x14ac:dyDescent="0.25">
      <c r="A15" s="606"/>
      <c r="B15" s="109"/>
      <c r="C15" s="547"/>
      <c r="D15" s="547"/>
      <c r="E15" s="545"/>
      <c r="F15" s="333">
        <v>6</v>
      </c>
      <c r="G15" s="289" t="s">
        <v>235</v>
      </c>
      <c r="H15" s="719">
        <f>NEWAGE_CCS!H15-[1]NEWAGE_detailed_CCS!H17</f>
        <v>5.7000000000000028</v>
      </c>
      <c r="I15" s="720">
        <f>NEWAGE_CCS!I15-[1]NEWAGE_detailed_CCS!I17</f>
        <v>7.4835999999999956</v>
      </c>
      <c r="J15" s="720">
        <f>NEWAGE_CCS!J15-[1]NEWAGE_detailed_CCS!J17</f>
        <v>0.18640000000000079</v>
      </c>
      <c r="K15" s="719">
        <f>NEWAGE_CCS!K15-[1]NEWAGE_detailed_CCS!K17</f>
        <v>0</v>
      </c>
      <c r="L15" s="720">
        <f>NEWAGE_CCS!L15-[1]NEWAGE_detailed_CCS!L17</f>
        <v>3.9999999998485691E-5</v>
      </c>
      <c r="M15" s="720">
        <f>NEWAGE_CCS!M15-[1]NEWAGE_detailed_CCS!M17</f>
        <v>3.9960000000000662E-2</v>
      </c>
      <c r="N15" s="720">
        <f>NEWAGE_CCS!N15-[1]NEWAGE_detailed_CCS!N17</f>
        <v>23.831279999999992</v>
      </c>
      <c r="O15" s="720">
        <f>NEWAGE_CCS!O15-[1]NEWAGE_detailed_CCS!O17</f>
        <v>-20.92067999999999</v>
      </c>
      <c r="P15" s="720">
        <f>NEWAGE_CCS!P15-[1]NEWAGE_detailed_CCS!P17</f>
        <v>4.9104000000000028</v>
      </c>
      <c r="Q15" s="720">
        <f>NEWAGE_CCS!Q15-[1]NEWAGE_detailed_CCS!Q17</f>
        <v>14.730000000000004</v>
      </c>
      <c r="R15" s="720">
        <f>NEWAGE_CCS!R15-[1]NEWAGE_detailed_CCS!R17</f>
        <v>-12.732500000000007</v>
      </c>
      <c r="S15" s="720">
        <f>NEWAGE_CCS!S15-[1]NEWAGE_detailed_CCS!S17</f>
        <v>0.35249999999999737</v>
      </c>
      <c r="T15" s="720">
        <f>NEWAGE_CCS!T15-[1]NEWAGE_detailed_CCS!T17</f>
        <v>-40.813739999999996</v>
      </c>
      <c r="U15" s="720">
        <f>NEWAGE_CCS!U15-[1]NEWAGE_detailed_CCS!U17</f>
        <v>44.11489499999999</v>
      </c>
      <c r="V15" s="720">
        <f>NEWAGE_CCS!V15-[1]NEWAGE_detailed_CCS!V17</f>
        <v>0.17549999999999955</v>
      </c>
      <c r="W15" s="719">
        <f>NEWAGE_CCS!W15-[1]NEWAGE_detailed_CCS!W17</f>
        <v>0.12000000000000099</v>
      </c>
      <c r="X15" s="721">
        <f>NEWAGE_CCS!X15-[1]NEWAGE_detailed_CCS!X17</f>
        <v>-0.12193999999999505</v>
      </c>
      <c r="Y15" s="722">
        <f>NEWAGE_CCS!Y15-[1]NEWAGE_detailed_CCS!Y17</f>
        <v>0.23428499999999985</v>
      </c>
      <c r="Z15" s="972"/>
      <c r="AA15" s="972"/>
      <c r="AB15" s="972"/>
      <c r="AC15" s="972"/>
      <c r="AD15" s="977"/>
      <c r="AE15" s="978" t="s">
        <v>432</v>
      </c>
      <c r="AF15" s="969">
        <f t="shared" si="0"/>
        <v>27.289999999999996</v>
      </c>
      <c r="AG15" s="149">
        <f t="shared" si="1"/>
        <v>27.289999999999996</v>
      </c>
      <c r="AH15" s="106"/>
      <c r="AI15" s="113"/>
      <c r="AJ15" s="106">
        <f>'Table 1.2 complete'!K11-'Table 1.1 complete'!E11</f>
        <v>-5.0000000000004263E-2</v>
      </c>
    </row>
    <row r="16" spans="1:36" x14ac:dyDescent="0.25">
      <c r="A16" s="606"/>
      <c r="B16" s="109"/>
      <c r="C16" s="546"/>
      <c r="D16" s="546"/>
      <c r="E16" s="547"/>
      <c r="F16" s="707">
        <v>7</v>
      </c>
      <c r="G16" s="291" t="s">
        <v>233</v>
      </c>
      <c r="H16" s="719">
        <f>NEWAGE_CCS!H16-[1]NEWAGE_detailed_CCS!H18</f>
        <v>-5.7000000000000028</v>
      </c>
      <c r="I16" s="720">
        <f>NEWAGE_CCS!I16-[1]NEWAGE_detailed_CCS!I18</f>
        <v>-7.4835999999999991</v>
      </c>
      <c r="J16" s="720">
        <f>NEWAGE_CCS!J16-[1]NEWAGE_detailed_CCS!J18</f>
        <v>-0.1863999999999999</v>
      </c>
      <c r="K16" s="719">
        <f>NEWAGE_CCS!K16-[1]NEWAGE_detailed_CCS!K18</f>
        <v>0</v>
      </c>
      <c r="L16" s="720">
        <f>NEWAGE_CCS!L16-[1]NEWAGE_detailed_CCS!L18</f>
        <v>-4.0000000000040004E-5</v>
      </c>
      <c r="M16" s="720">
        <f>NEWAGE_CCS!M16-[1]NEWAGE_detailed_CCS!M18</f>
        <v>-3.9959999999999996E-2</v>
      </c>
      <c r="N16" s="720">
        <f>NEWAGE_CCS!N16-[1]NEWAGE_detailed_CCS!N18</f>
        <v>-1.1879999999999988</v>
      </c>
      <c r="O16" s="720">
        <f>NEWAGE_CCS!O16-[1]NEWAGE_detailed_CCS!O18</f>
        <v>-1.7225999999999999</v>
      </c>
      <c r="P16" s="720">
        <f>NEWAGE_CCS!P16-[1]NEWAGE_detailed_CCS!P18</f>
        <v>-4.9104000000000099</v>
      </c>
      <c r="Q16" s="720">
        <f>NEWAGE_CCS!Q16-[1]NEWAGE_detailed_CCS!Q18</f>
        <v>0</v>
      </c>
      <c r="R16" s="720">
        <f>NEWAGE_CCS!R16-[1]NEWAGE_detailed_CCS!R18</f>
        <v>-1.1749999999999994</v>
      </c>
      <c r="S16" s="720">
        <f>NEWAGE_CCS!S16-[1]NEWAGE_detailed_CCS!S18</f>
        <v>-1.1750000000000003</v>
      </c>
      <c r="T16" s="720">
        <f>NEWAGE_CCS!T16-[1]NEWAGE_detailed_CCS!T18</f>
        <v>-3.960000000000008E-2</v>
      </c>
      <c r="U16" s="720">
        <f>NEWAGE_CCS!U16-[1]NEWAGE_detailed_CCS!U18</f>
        <v>-1.6978500000000043</v>
      </c>
      <c r="V16" s="720">
        <f>NEWAGE_CCS!V16-[1]NEWAGE_detailed_CCS!V18</f>
        <v>-1.7550000000000026</v>
      </c>
      <c r="W16" s="719">
        <f>NEWAGE_CCS!W16-[1]NEWAGE_detailed_CCS!W18</f>
        <v>-0.11999999999999922</v>
      </c>
      <c r="X16" s="721">
        <f>NEWAGE_CCS!X16-[1]NEWAGE_detailed_CCS!X18</f>
        <v>-6.2000000000011823E-2</v>
      </c>
      <c r="Y16" s="722">
        <f>NEWAGE_CCS!Y16-[1]NEWAGE_detailed_CCS!Y18</f>
        <v>-3.4549999999995862E-2</v>
      </c>
      <c r="Z16" s="972"/>
      <c r="AA16" s="972"/>
      <c r="AB16" s="972"/>
      <c r="AC16" s="972"/>
      <c r="AD16" s="977"/>
      <c r="AE16" s="978" t="s">
        <v>431</v>
      </c>
      <c r="AF16" s="969">
        <f t="shared" si="0"/>
        <v>-27.29000000000002</v>
      </c>
      <c r="AG16" s="149">
        <f t="shared" si="1"/>
        <v>-27.29000000000002</v>
      </c>
      <c r="AH16" s="106"/>
      <c r="AI16" s="113"/>
      <c r="AJ16" s="106">
        <f>'Table 1.2 complete'!K12-'Table 1.1 complete'!E12</f>
        <v>-9.9999999999997868E-3</v>
      </c>
    </row>
    <row r="17" spans="1:36" x14ac:dyDescent="0.25">
      <c r="A17" s="606"/>
      <c r="B17" s="109"/>
      <c r="C17" s="547"/>
      <c r="D17" s="547"/>
      <c r="E17" s="547"/>
      <c r="F17" s="708">
        <v>8</v>
      </c>
      <c r="G17" s="292" t="s">
        <v>247</v>
      </c>
      <c r="H17" s="267">
        <f>NEWAGE_CCS!H18-[1]NEWAGE_detailed_CCS!H20</f>
        <v>0</v>
      </c>
      <c r="I17" s="384">
        <f>NEWAGE_CCS!I18-[1]NEWAGE_detailed_CCS!I20</f>
        <v>0</v>
      </c>
      <c r="J17" s="384">
        <f>NEWAGE_CCS!J18-[1]NEWAGE_detailed_CCS!J20</f>
        <v>0</v>
      </c>
      <c r="K17" s="267">
        <f>NEWAGE_CCS!K18-[1]NEWAGE_detailed_CCS!K20</f>
        <v>0</v>
      </c>
      <c r="L17" s="384">
        <f>NEWAGE_CCS!L18-[1]NEWAGE_detailed_CCS!L20</f>
        <v>0</v>
      </c>
      <c r="M17" s="384">
        <f>NEWAGE_CCS!M18-[1]NEWAGE_detailed_CCS!M20</f>
        <v>0</v>
      </c>
      <c r="N17" s="558">
        <f>NEWAGE_CCS!N18-[1]NEWAGE_detailed_CCS!N20</f>
        <v>0</v>
      </c>
      <c r="O17" s="558">
        <f>NEWAGE_CCS!O18-[1]NEWAGE_detailed_CCS!O20</f>
        <v>0</v>
      </c>
      <c r="P17" s="558">
        <f>NEWAGE_CCS!P18-[1]NEWAGE_detailed_CCS!P20</f>
        <v>0</v>
      </c>
      <c r="Q17" s="384">
        <f>NEWAGE_CCS!Q18-[1]NEWAGE_detailed_CCS!Q20</f>
        <v>0</v>
      </c>
      <c r="R17" s="384">
        <f>NEWAGE_CCS!R18-[1]NEWAGE_detailed_CCS!R20</f>
        <v>0</v>
      </c>
      <c r="S17" s="384">
        <f>NEWAGE_CCS!S18-[1]NEWAGE_detailed_CCS!S20</f>
        <v>0</v>
      </c>
      <c r="T17" s="558">
        <f>NEWAGE_CCS!T18-[1]NEWAGE_detailed_CCS!T20</f>
        <v>0</v>
      </c>
      <c r="U17" s="558">
        <f>NEWAGE_CCS!U18-[1]NEWAGE_detailed_CCS!U20</f>
        <v>0</v>
      </c>
      <c r="V17" s="384">
        <f>NEWAGE_CCS!V18-[1]NEWAGE_detailed_CCS!V20</f>
        <v>0</v>
      </c>
      <c r="W17" s="267">
        <f>NEWAGE_CCS!W18-[1]NEWAGE_detailed_CCS!W20</f>
        <v>0</v>
      </c>
      <c r="X17" s="552">
        <f>NEWAGE_CCS!X18-[1]NEWAGE_detailed_CCS!X20</f>
        <v>0</v>
      </c>
      <c r="Y17" s="564">
        <f>NEWAGE_CCS!Y18-[1]NEWAGE_detailed_CCS!Y20</f>
        <v>-2.2737367544323206E-13</v>
      </c>
      <c r="Z17" s="972"/>
      <c r="AA17" s="972"/>
      <c r="AB17" s="972"/>
      <c r="AC17" s="972"/>
      <c r="AD17" s="972"/>
      <c r="AE17" s="974"/>
      <c r="AF17" s="969">
        <f t="shared" si="0"/>
        <v>-2.2737367544323206E-13</v>
      </c>
      <c r="AG17" s="149">
        <f t="shared" si="1"/>
        <v>-2.2737367544323206E-13</v>
      </c>
      <c r="AH17" s="106"/>
      <c r="AI17" s="113"/>
      <c r="AJ17" s="106">
        <f>'Table 1.2 complete'!K13-'Table 1.1 complete'!E13</f>
        <v>4.9999999999997158E-2</v>
      </c>
    </row>
    <row r="18" spans="1:36" x14ac:dyDescent="0.25">
      <c r="A18" s="606"/>
      <c r="B18" s="109"/>
      <c r="C18" s="547"/>
      <c r="D18" s="547"/>
      <c r="E18" s="547"/>
      <c r="F18" s="709">
        <v>9</v>
      </c>
      <c r="G18" s="298" t="s">
        <v>420</v>
      </c>
      <c r="H18" s="719">
        <f>NEWAGE_CCS!H17-SUM([1]NEWAGE_detailed_CCS!H26:H28)-[1]NEWAGE_detailed_CCS!H19</f>
        <v>5.6843418860808015E-14</v>
      </c>
      <c r="I18" s="720">
        <f>NEWAGE_CCS!I17-SUM([1]NEWAGE_detailed_CCS!I26:I28)-[1]NEWAGE_detailed_CCS!I19</f>
        <v>-6.4899999999999523</v>
      </c>
      <c r="J18" s="720">
        <f>NEWAGE_CCS!J17-SUM([1]NEWAGE_detailed_CCS!J26:J28)-[1]NEWAGE_detailed_CCS!J19</f>
        <v>-4.7999999999999989</v>
      </c>
      <c r="K18" s="719">
        <f>NEWAGE_CCS!K17-SUM([1]NEWAGE_detailed_CCS!K26:K28)-[1]NEWAGE_detailed_CCS!K19</f>
        <v>-7.0200000000000014</v>
      </c>
      <c r="L18" s="720">
        <f>NEWAGE_CCS!L17-SUM([1]NEWAGE_detailed_CCS!L26:L28)-[1]NEWAGE_detailed_CCS!L19</f>
        <v>-1.6653345369377348E-15</v>
      </c>
      <c r="M18" s="720">
        <f>NEWAGE_CCS!M17-SUM([1]NEWAGE_detailed_CCS!M26:M28)-[1]NEWAGE_detailed_CCS!M19</f>
        <v>0</v>
      </c>
      <c r="N18" s="720">
        <f>NEWAGE_CCS!N17-SUM([1]NEWAGE_detailed_CCS!N26:N28)-[1]NEWAGE_detailed_CCS!N19</f>
        <v>94.249962741679951</v>
      </c>
      <c r="O18" s="720">
        <f>NEWAGE_CCS!O17-SUM([1]NEWAGE_detailed_CCS!O26:O28)-[1]NEWAGE_detailed_CCS!O19</f>
        <v>-94.249962741679923</v>
      </c>
      <c r="P18" s="720">
        <f>NEWAGE_CCS!P17-SUM([1]NEWAGE_detailed_CCS!P26:P28)-[1]NEWAGE_detailed_CCS!P19</f>
        <v>-63.191699999999997</v>
      </c>
      <c r="Q18" s="720">
        <f>NEWAGE_CCS!Q17-SUM([1]NEWAGE_detailed_CCS!Q26:Q28)-[1]NEWAGE_detailed_CCS!Q19</f>
        <v>-0.39880000000000138</v>
      </c>
      <c r="R18" s="720">
        <f>NEWAGE_CCS!R17-SUM([1]NEWAGE_detailed_CCS!R26:R28)-[1]NEWAGE_detailed_CCS!R19</f>
        <v>13.148799999999994</v>
      </c>
      <c r="S18" s="720">
        <f>NEWAGE_CCS!S17-SUM([1]NEWAGE_detailed_CCS!S26:S28)-[1]NEWAGE_detailed_CCS!S19</f>
        <v>-50.45000000000001</v>
      </c>
      <c r="T18" s="720">
        <f>NEWAGE_CCS!T17-SUM([1]NEWAGE_detailed_CCS!T26:T28)-[1]NEWAGE_detailed_CCS!T19</f>
        <v>-176.81692768819818</v>
      </c>
      <c r="U18" s="720">
        <f>NEWAGE_CCS!U17-SUM([1]NEWAGE_detailed_CCS!U26:U28)-[1]NEWAGE_detailed_CCS!U19</f>
        <v>128.2826726881982</v>
      </c>
      <c r="V18" s="720">
        <f>NEWAGE_CCS!V17-SUM([1]NEWAGE_detailed_CCS!V26:V28)-[1]NEWAGE_detailed_CCS!V19</f>
        <v>26.624500000000001</v>
      </c>
      <c r="W18" s="719">
        <f>NEWAGE_CCS!W17-SUM([1]NEWAGE_detailed_CCS!W26:W28)-[1]NEWAGE_detailed_CCS!W19</f>
        <v>7.382983113757291E-15</v>
      </c>
      <c r="X18" s="721">
        <f>NEWAGE_CCS!X17-SUM([1]NEWAGE_detailed_CCS!X26:X28)-[1]NEWAGE_detailed_CCS!X19</f>
        <v>-1.472309746934414</v>
      </c>
      <c r="Y18" s="722">
        <f>NEWAGE_CCS!Y17-SUM([1]NEWAGE_detailed_CCS!Y26:Y28)-[1]NEWAGE_detailed_CCS!Y19</f>
        <v>0.34376474693466957</v>
      </c>
      <c r="Z18" s="972"/>
      <c r="AA18" s="972"/>
      <c r="AB18" s="972"/>
      <c r="AC18" s="972"/>
      <c r="AD18" s="972"/>
      <c r="AE18" s="979" t="s">
        <v>433</v>
      </c>
      <c r="AF18" s="969">
        <f t="shared" si="0"/>
        <v>-142.23999999999958</v>
      </c>
      <c r="AG18" s="149">
        <f t="shared" si="1"/>
        <v>-142.23999999999958</v>
      </c>
      <c r="AH18" s="106"/>
      <c r="AI18" s="113"/>
      <c r="AJ18" s="106">
        <f>'Table 1.2 complete'!K14-'Table 1.1 complete'!E14</f>
        <v>-4.0000000000000008E-2</v>
      </c>
    </row>
    <row r="19" spans="1:36" s="372" customFormat="1" x14ac:dyDescent="0.25">
      <c r="A19" s="374"/>
      <c r="B19" s="109"/>
      <c r="C19" s="546"/>
      <c r="D19" s="546"/>
      <c r="E19" s="547"/>
      <c r="F19" s="335">
        <v>10</v>
      </c>
      <c r="G19" s="293" t="s">
        <v>232</v>
      </c>
      <c r="H19" s="267">
        <f>NEWAGE_CCS!H19-[1]NEWAGE_detailed_CCS!H21</f>
        <v>0</v>
      </c>
      <c r="I19" s="384">
        <f>NEWAGE_CCS!I19-[1]NEWAGE_detailed_CCS!I21</f>
        <v>0</v>
      </c>
      <c r="J19" s="384">
        <f>NEWAGE_CCS!J19-[1]NEWAGE_detailed_CCS!J21</f>
        <v>0</v>
      </c>
      <c r="K19" s="267">
        <f>NEWAGE_CCS!K19-[1]NEWAGE_detailed_CCS!K21</f>
        <v>0</v>
      </c>
      <c r="L19" s="384">
        <f>NEWAGE_CCS!L19-[1]NEWAGE_detailed_CCS!L21</f>
        <v>0</v>
      </c>
      <c r="M19" s="384">
        <f>NEWAGE_CCS!M19-[1]NEWAGE_detailed_CCS!M21</f>
        <v>0</v>
      </c>
      <c r="N19" s="558">
        <f>NEWAGE_CCS!N19-[1]NEWAGE_detailed_CCS!N21</f>
        <v>0</v>
      </c>
      <c r="O19" s="558">
        <f>NEWAGE_CCS!O19-[1]NEWAGE_detailed_CCS!O21</f>
        <v>0</v>
      </c>
      <c r="P19" s="558">
        <f>NEWAGE_CCS!P19-[1]NEWAGE_detailed_CCS!P21</f>
        <v>0</v>
      </c>
      <c r="Q19" s="384">
        <f>NEWAGE_CCS!Q19-[1]NEWAGE_detailed_CCS!Q21</f>
        <v>0</v>
      </c>
      <c r="R19" s="384">
        <f>NEWAGE_CCS!R19-[1]NEWAGE_detailed_CCS!R21</f>
        <v>0</v>
      </c>
      <c r="S19" s="384">
        <f>NEWAGE_CCS!S19-[1]NEWAGE_detailed_CCS!S21</f>
        <v>0</v>
      </c>
      <c r="T19" s="558">
        <f>NEWAGE_CCS!T19-[1]NEWAGE_detailed_CCS!T21</f>
        <v>0</v>
      </c>
      <c r="U19" s="558">
        <f>NEWAGE_CCS!U19-[1]NEWAGE_detailed_CCS!U21</f>
        <v>0</v>
      </c>
      <c r="V19" s="384">
        <f>NEWAGE_CCS!V19-[1]NEWAGE_detailed_CCS!V21</f>
        <v>0</v>
      </c>
      <c r="W19" s="267">
        <f>NEWAGE_CCS!W19-[1]NEWAGE_detailed_CCS!W21</f>
        <v>0</v>
      </c>
      <c r="X19" s="552">
        <f>NEWAGE_CCS!X19-[1]NEWAGE_detailed_CCS!X21</f>
        <v>0</v>
      </c>
      <c r="Y19" s="564">
        <f>NEWAGE_CCS!Y19-[1]NEWAGE_detailed_CCS!Y21</f>
        <v>3.5527136788005009E-15</v>
      </c>
      <c r="Z19" s="972"/>
      <c r="AA19" s="972"/>
      <c r="AB19" s="972"/>
      <c r="AC19" s="972"/>
      <c r="AD19" s="972"/>
      <c r="AE19" s="974"/>
      <c r="AF19" s="969">
        <f t="shared" si="0"/>
        <v>3.5527136788005009E-15</v>
      </c>
      <c r="AG19" s="149">
        <f t="shared" si="1"/>
        <v>3.5527136788005009E-15</v>
      </c>
      <c r="AH19" s="106"/>
      <c r="AI19" s="113"/>
      <c r="AJ19" s="106">
        <f>'Table 1.2 complete'!K15-'Table 1.1 complete'!E15</f>
        <v>3.0000000000001137E-2</v>
      </c>
    </row>
    <row r="20" spans="1:36" s="522" customFormat="1" x14ac:dyDescent="0.25">
      <c r="A20" s="606"/>
      <c r="B20" s="109"/>
      <c r="C20" s="547"/>
      <c r="D20" s="547"/>
      <c r="E20" s="547"/>
      <c r="F20" s="336">
        <v>11</v>
      </c>
      <c r="G20" s="294" t="s">
        <v>244</v>
      </c>
      <c r="H20" s="267">
        <f>NEWAGE_CCS!H20-[1]NEWAGE_detailed_CCS!H22</f>
        <v>0</v>
      </c>
      <c r="I20" s="384">
        <f>NEWAGE_CCS!I20-[1]NEWAGE_detailed_CCS!I22</f>
        <v>0</v>
      </c>
      <c r="J20" s="384">
        <f>NEWAGE_CCS!J20-[1]NEWAGE_detailed_CCS!J22</f>
        <v>0</v>
      </c>
      <c r="K20" s="267">
        <f>NEWAGE_CCS!K20-[1]NEWAGE_detailed_CCS!K22</f>
        <v>0</v>
      </c>
      <c r="L20" s="384">
        <f>NEWAGE_CCS!L20-[1]NEWAGE_detailed_CCS!L22</f>
        <v>0</v>
      </c>
      <c r="M20" s="384">
        <f>NEWAGE_CCS!M20-[1]NEWAGE_detailed_CCS!M22</f>
        <v>0</v>
      </c>
      <c r="N20" s="558">
        <f>NEWAGE_CCS!N20-[1]NEWAGE_detailed_CCS!N22</f>
        <v>0</v>
      </c>
      <c r="O20" s="558">
        <f>NEWAGE_CCS!O20-[1]NEWAGE_detailed_CCS!O22</f>
        <v>0</v>
      </c>
      <c r="P20" s="558">
        <f>NEWAGE_CCS!P20-[1]NEWAGE_detailed_CCS!P22</f>
        <v>0</v>
      </c>
      <c r="Q20" s="384">
        <f>NEWAGE_CCS!Q20-[1]NEWAGE_detailed_CCS!Q22</f>
        <v>0</v>
      </c>
      <c r="R20" s="384">
        <f>NEWAGE_CCS!R20-[1]NEWAGE_detailed_CCS!R22</f>
        <v>0</v>
      </c>
      <c r="S20" s="384">
        <f>NEWAGE_CCS!S20-[1]NEWAGE_detailed_CCS!S22</f>
        <v>0</v>
      </c>
      <c r="T20" s="558">
        <f>NEWAGE_CCS!T20-[1]NEWAGE_detailed_CCS!T22</f>
        <v>0</v>
      </c>
      <c r="U20" s="558">
        <f>NEWAGE_CCS!U20-[1]NEWAGE_detailed_CCS!U22</f>
        <v>0</v>
      </c>
      <c r="V20" s="384">
        <f>NEWAGE_CCS!V20-[1]NEWAGE_detailed_CCS!V22</f>
        <v>0</v>
      </c>
      <c r="W20" s="267">
        <f>NEWAGE_CCS!W20-[1]NEWAGE_detailed_CCS!W22</f>
        <v>0</v>
      </c>
      <c r="X20" s="552">
        <f>NEWAGE_CCS!X20-[1]NEWAGE_detailed_CCS!X22</f>
        <v>0</v>
      </c>
      <c r="Y20" s="564">
        <f>NEWAGE_CCS!Y20-[1]NEWAGE_detailed_CCS!Y22</f>
        <v>0</v>
      </c>
      <c r="Z20" s="972"/>
      <c r="AA20" s="972"/>
      <c r="AB20" s="972"/>
      <c r="AC20" s="972"/>
      <c r="AD20" s="972"/>
      <c r="AE20" s="974"/>
      <c r="AF20" s="969">
        <f t="shared" si="0"/>
        <v>0</v>
      </c>
      <c r="AG20" s="149">
        <f t="shared" si="1"/>
        <v>0</v>
      </c>
      <c r="AH20" s="106"/>
      <c r="AI20" s="113"/>
      <c r="AJ20" s="106">
        <f>'Table 1.2 complete'!K16-'Table 1.1 complete'!E16</f>
        <v>-3.0000000000000249E-2</v>
      </c>
    </row>
    <row r="21" spans="1:36" x14ac:dyDescent="0.25">
      <c r="A21" s="607"/>
      <c r="B21" s="109"/>
      <c r="C21" s="546"/>
      <c r="D21" s="546"/>
      <c r="E21" s="547"/>
      <c r="F21" s="337">
        <v>12</v>
      </c>
      <c r="G21" s="295" t="s">
        <v>241</v>
      </c>
      <c r="H21" s="267">
        <f>NEWAGE_CCS!H21-[1]NEWAGE_detailed_CCS!H23</f>
        <v>0</v>
      </c>
      <c r="I21" s="384">
        <f>NEWAGE_CCS!I21-[1]NEWAGE_detailed_CCS!I23</f>
        <v>0</v>
      </c>
      <c r="J21" s="384">
        <f>NEWAGE_CCS!J21-[1]NEWAGE_detailed_CCS!J23</f>
        <v>0</v>
      </c>
      <c r="K21" s="267">
        <f>NEWAGE_CCS!K21-[1]NEWAGE_detailed_CCS!K23</f>
        <v>0</v>
      </c>
      <c r="L21" s="384">
        <f>NEWAGE_CCS!L21-[1]NEWAGE_detailed_CCS!L23</f>
        <v>0</v>
      </c>
      <c r="M21" s="384">
        <f>NEWAGE_CCS!M21-[1]NEWAGE_detailed_CCS!M23</f>
        <v>0</v>
      </c>
      <c r="N21" s="558">
        <f>NEWAGE_CCS!N21-[1]NEWAGE_detailed_CCS!N23</f>
        <v>0</v>
      </c>
      <c r="O21" s="558">
        <f>NEWAGE_CCS!O21-[1]NEWAGE_detailed_CCS!O23</f>
        <v>0</v>
      </c>
      <c r="P21" s="558">
        <f>NEWAGE_CCS!P21-[1]NEWAGE_detailed_CCS!P23</f>
        <v>0</v>
      </c>
      <c r="Q21" s="384">
        <f>NEWAGE_CCS!Q21-[1]NEWAGE_detailed_CCS!Q23</f>
        <v>0</v>
      </c>
      <c r="R21" s="384">
        <f>NEWAGE_CCS!R21-[1]NEWAGE_detailed_CCS!R23</f>
        <v>0</v>
      </c>
      <c r="S21" s="384">
        <f>NEWAGE_CCS!S21-[1]NEWAGE_detailed_CCS!S23</f>
        <v>0</v>
      </c>
      <c r="T21" s="558">
        <f>NEWAGE_CCS!T21-[1]NEWAGE_detailed_CCS!T23</f>
        <v>0</v>
      </c>
      <c r="U21" s="558">
        <f>NEWAGE_CCS!U21-[1]NEWAGE_detailed_CCS!U23</f>
        <v>0</v>
      </c>
      <c r="V21" s="384">
        <f>NEWAGE_CCS!V21-[1]NEWAGE_detailed_CCS!V23</f>
        <v>0</v>
      </c>
      <c r="W21" s="267">
        <f>NEWAGE_CCS!W21-[1]NEWAGE_detailed_CCS!W23</f>
        <v>0</v>
      </c>
      <c r="X21" s="552">
        <f>NEWAGE_CCS!X21-[1]NEWAGE_detailed_CCS!X23</f>
        <v>0</v>
      </c>
      <c r="Y21" s="564">
        <f>NEWAGE_CCS!Y21-[1]NEWAGE_detailed_CCS!Y23</f>
        <v>0</v>
      </c>
      <c r="Z21" s="972"/>
      <c r="AA21" s="972"/>
      <c r="AB21" s="972"/>
      <c r="AC21" s="972"/>
      <c r="AD21" s="972"/>
      <c r="AE21" s="974"/>
      <c r="AF21" s="969">
        <f t="shared" si="0"/>
        <v>0</v>
      </c>
      <c r="AG21" s="149">
        <f t="shared" si="1"/>
        <v>0</v>
      </c>
      <c r="AH21" s="106"/>
      <c r="AI21" s="113"/>
      <c r="AJ21" s="106">
        <f>'Table 1.2 complete'!K17-'Table 1.1 complete'!E17</f>
        <v>9.9999999999997868E-3</v>
      </c>
    </row>
    <row r="22" spans="1:36" x14ac:dyDescent="0.25">
      <c r="A22" s="607"/>
      <c r="B22" s="109"/>
      <c r="C22" s="547"/>
      <c r="D22" s="547"/>
      <c r="E22" s="547"/>
      <c r="F22" s="338">
        <v>13</v>
      </c>
      <c r="G22" s="296" t="s">
        <v>239</v>
      </c>
      <c r="H22" s="267">
        <f>NEWAGE_CCS!H22-[1]NEWAGE_detailed_CCS!H24</f>
        <v>0</v>
      </c>
      <c r="I22" s="384">
        <f>NEWAGE_CCS!I22-[1]NEWAGE_detailed_CCS!I24</f>
        <v>0</v>
      </c>
      <c r="J22" s="384">
        <f>NEWAGE_CCS!J22-[1]NEWAGE_detailed_CCS!J24</f>
        <v>0</v>
      </c>
      <c r="K22" s="267">
        <f>NEWAGE_CCS!K22-[1]NEWAGE_detailed_CCS!K24</f>
        <v>0</v>
      </c>
      <c r="L22" s="384">
        <f>NEWAGE_CCS!L22-[1]NEWAGE_detailed_CCS!L24</f>
        <v>0</v>
      </c>
      <c r="M22" s="384">
        <f>NEWAGE_CCS!M22-[1]NEWAGE_detailed_CCS!M24</f>
        <v>0</v>
      </c>
      <c r="N22" s="558">
        <f>NEWAGE_CCS!N22-[1]NEWAGE_detailed_CCS!N24</f>
        <v>0</v>
      </c>
      <c r="O22" s="558">
        <f>NEWAGE_CCS!O22-[1]NEWAGE_detailed_CCS!O24</f>
        <v>0</v>
      </c>
      <c r="P22" s="558">
        <f>NEWAGE_CCS!P22-[1]NEWAGE_detailed_CCS!P24</f>
        <v>0</v>
      </c>
      <c r="Q22" s="384">
        <f>NEWAGE_CCS!Q22-[1]NEWAGE_detailed_CCS!Q24</f>
        <v>0</v>
      </c>
      <c r="R22" s="384">
        <f>NEWAGE_CCS!R22-[1]NEWAGE_detailed_CCS!R24</f>
        <v>0</v>
      </c>
      <c r="S22" s="384">
        <f>NEWAGE_CCS!S22-[1]NEWAGE_detailed_CCS!S24</f>
        <v>0</v>
      </c>
      <c r="T22" s="558">
        <f>NEWAGE_CCS!T22-[1]NEWAGE_detailed_CCS!T24</f>
        <v>0</v>
      </c>
      <c r="U22" s="558">
        <f>NEWAGE_CCS!U22-[1]NEWAGE_detailed_CCS!U24</f>
        <v>0</v>
      </c>
      <c r="V22" s="384">
        <f>NEWAGE_CCS!V22-[1]NEWAGE_detailed_CCS!V24</f>
        <v>0</v>
      </c>
      <c r="W22" s="267">
        <f>NEWAGE_CCS!W22-[1]NEWAGE_detailed_CCS!W24</f>
        <v>0</v>
      </c>
      <c r="X22" s="552">
        <f>NEWAGE_CCS!X22-[1]NEWAGE_detailed_CCS!X24</f>
        <v>0</v>
      </c>
      <c r="Y22" s="564">
        <f>NEWAGE_CCS!Y22-[1]NEWAGE_detailed_CCS!Y24</f>
        <v>0</v>
      </c>
      <c r="Z22" s="972"/>
      <c r="AA22" s="972"/>
      <c r="AB22" s="972"/>
      <c r="AC22" s="972"/>
      <c r="AD22" s="972"/>
      <c r="AE22" s="974"/>
      <c r="AF22" s="969">
        <f t="shared" si="0"/>
        <v>0</v>
      </c>
      <c r="AG22" s="149">
        <f t="shared" si="1"/>
        <v>0</v>
      </c>
      <c r="AH22" s="106"/>
      <c r="AI22" s="113"/>
      <c r="AJ22" s="106">
        <f>'Table 1.2 complete'!K18-'Table 1.1 complete'!E18</f>
        <v>0</v>
      </c>
    </row>
    <row r="23" spans="1:36" x14ac:dyDescent="0.25">
      <c r="A23" s="607"/>
      <c r="B23" s="109"/>
      <c r="C23" s="547"/>
      <c r="D23" s="547"/>
      <c r="E23" s="547"/>
      <c r="F23" s="710">
        <v>14</v>
      </c>
      <c r="G23" s="297" t="s">
        <v>245</v>
      </c>
      <c r="H23" s="267">
        <f>NEWAGE_CCS!H23-[1]NEWAGE_detailed_CCS!H25</f>
        <v>0</v>
      </c>
      <c r="I23" s="384">
        <f>NEWAGE_CCS!I23-[1]NEWAGE_detailed_CCS!I25</f>
        <v>0</v>
      </c>
      <c r="J23" s="384">
        <f>NEWAGE_CCS!J23-[1]NEWAGE_detailed_CCS!J25</f>
        <v>0</v>
      </c>
      <c r="K23" s="267">
        <f>NEWAGE_CCS!K23-[1]NEWAGE_detailed_CCS!K25</f>
        <v>0</v>
      </c>
      <c r="L23" s="384">
        <f>NEWAGE_CCS!L23-[1]NEWAGE_detailed_CCS!L25</f>
        <v>0</v>
      </c>
      <c r="M23" s="384">
        <f>NEWAGE_CCS!M23-[1]NEWAGE_detailed_CCS!M25</f>
        <v>0</v>
      </c>
      <c r="N23" s="558">
        <f>NEWAGE_CCS!N23-[1]NEWAGE_detailed_CCS!N25</f>
        <v>0</v>
      </c>
      <c r="O23" s="558">
        <f>NEWAGE_CCS!O23-[1]NEWAGE_detailed_CCS!O25</f>
        <v>0</v>
      </c>
      <c r="P23" s="558">
        <f>NEWAGE_CCS!P23-[1]NEWAGE_detailed_CCS!P25</f>
        <v>0</v>
      </c>
      <c r="Q23" s="384">
        <f>NEWAGE_CCS!Q23-[1]NEWAGE_detailed_CCS!Q25</f>
        <v>0</v>
      </c>
      <c r="R23" s="384">
        <f>NEWAGE_CCS!R23-[1]NEWAGE_detailed_CCS!R25</f>
        <v>0</v>
      </c>
      <c r="S23" s="384">
        <f>NEWAGE_CCS!S23-[1]NEWAGE_detailed_CCS!S25</f>
        <v>0</v>
      </c>
      <c r="T23" s="558">
        <f>NEWAGE_CCS!T23-[1]NEWAGE_detailed_CCS!T25</f>
        <v>0</v>
      </c>
      <c r="U23" s="558">
        <f>NEWAGE_CCS!U23-[1]NEWAGE_detailed_CCS!U25</f>
        <v>0</v>
      </c>
      <c r="V23" s="384">
        <f>NEWAGE_CCS!V23-[1]NEWAGE_detailed_CCS!V25</f>
        <v>0</v>
      </c>
      <c r="W23" s="267">
        <f>NEWAGE_CCS!W23-[1]NEWAGE_detailed_CCS!W25</f>
        <v>0</v>
      </c>
      <c r="X23" s="552">
        <f>NEWAGE_CCS!X23-[1]NEWAGE_detailed_CCS!X25</f>
        <v>0</v>
      </c>
      <c r="Y23" s="564">
        <f>NEWAGE_CCS!Y23-[1]NEWAGE_detailed_CCS!Y25</f>
        <v>0</v>
      </c>
      <c r="Z23" s="972"/>
      <c r="AA23" s="972"/>
      <c r="AB23" s="972"/>
      <c r="AC23" s="972"/>
      <c r="AD23" s="972"/>
      <c r="AE23" s="974"/>
      <c r="AF23" s="969">
        <f t="shared" si="0"/>
        <v>0</v>
      </c>
      <c r="AG23" s="149">
        <f t="shared" si="1"/>
        <v>0</v>
      </c>
      <c r="AH23" s="106"/>
      <c r="AI23" s="113"/>
      <c r="AJ23" s="106">
        <f>'Table 1.2 complete'!K19-'Table 1.1 complete'!E19</f>
        <v>3.9999999999992042E-2</v>
      </c>
    </row>
    <row r="24" spans="1:36" x14ac:dyDescent="0.25">
      <c r="A24" s="607"/>
      <c r="B24" s="109"/>
      <c r="C24" s="547"/>
      <c r="D24" s="547"/>
      <c r="E24" s="547"/>
      <c r="F24" s="339">
        <v>15</v>
      </c>
      <c r="G24" s="299" t="s">
        <v>422</v>
      </c>
      <c r="H24" s="719">
        <f>NEWAGE_CCS!H24-SUM([1]NEWAGE_detailed_CCS!H29:H30)</f>
        <v>0</v>
      </c>
      <c r="I24" s="720">
        <f>NEWAGE_CCS!I24-SUM([1]NEWAGE_detailed_CCS!I29:I30)</f>
        <v>0</v>
      </c>
      <c r="J24" s="720">
        <f>NEWAGE_CCS!J24-SUM([1]NEWAGE_detailed_CCS!J29:J30)</f>
        <v>0</v>
      </c>
      <c r="K24" s="719">
        <f>NEWAGE_CCS!K24-SUM([1]NEWAGE_detailed_CCS!K29:K30)</f>
        <v>0</v>
      </c>
      <c r="L24" s="720">
        <f>NEWAGE_CCS!L24-SUM([1]NEWAGE_detailed_CCS!L29:L30)</f>
        <v>0</v>
      </c>
      <c r="M24" s="720">
        <f>NEWAGE_CCS!M24-SUM([1]NEWAGE_detailed_CCS!M29:M30)</f>
        <v>0</v>
      </c>
      <c r="N24" s="720">
        <f>NEWAGE_CCS!N24-SUM([1]NEWAGE_detailed_CCS!N29:N30)</f>
        <v>0</v>
      </c>
      <c r="O24" s="720">
        <f>NEWAGE_CCS!O24-SUM([1]NEWAGE_detailed_CCS!O29:O30)</f>
        <v>0</v>
      </c>
      <c r="P24" s="720">
        <f>NEWAGE_CCS!P24-SUM([1]NEWAGE_detailed_CCS!P29:P30)</f>
        <v>0</v>
      </c>
      <c r="Q24" s="720">
        <f>NEWAGE_CCS!Q24-SUM([1]NEWAGE_detailed_CCS!Q29:Q30)</f>
        <v>0</v>
      </c>
      <c r="R24" s="720">
        <f>NEWAGE_CCS!R24-SUM([1]NEWAGE_detailed_CCS!R29:R30)</f>
        <v>0</v>
      </c>
      <c r="S24" s="720">
        <f>NEWAGE_CCS!S24-SUM([1]NEWAGE_detailed_CCS!S29:S30)</f>
        <v>0</v>
      </c>
      <c r="T24" s="720">
        <f>NEWAGE_CCS!T24-SUM([1]NEWAGE_detailed_CCS!T29:T30)</f>
        <v>0</v>
      </c>
      <c r="U24" s="720">
        <f>NEWAGE_CCS!U24-SUM([1]NEWAGE_detailed_CCS!U29:U30)</f>
        <v>0</v>
      </c>
      <c r="V24" s="720">
        <f>NEWAGE_CCS!V24-SUM([1]NEWAGE_detailed_CCS!V29:V30)</f>
        <v>0</v>
      </c>
      <c r="W24" s="719">
        <f>NEWAGE_CCS!W24-SUM([1]NEWAGE_detailed_CCS!W29:W30)</f>
        <v>0</v>
      </c>
      <c r="X24" s="721">
        <f>NEWAGE_CCS!X24-SUM([1]NEWAGE_detailed_CCS!X29:X30)</f>
        <v>2.8421709430404007E-14</v>
      </c>
      <c r="Y24" s="722">
        <f>NEWAGE_CCS!Y24-SUM([1]NEWAGE_detailed_CCS!Y29:Y30)</f>
        <v>1.4210854715202004E-14</v>
      </c>
      <c r="Z24" s="972"/>
      <c r="AA24" s="972"/>
      <c r="AB24" s="972"/>
      <c r="AC24" s="972"/>
      <c r="AD24" s="972"/>
      <c r="AE24" s="973" t="s">
        <v>435</v>
      </c>
      <c r="AF24" s="969">
        <f>SUM(H24:AC24)</f>
        <v>4.2632564145606011E-14</v>
      </c>
      <c r="AG24" s="149">
        <f>SUM(H24:Y24)</f>
        <v>4.2632564145606011E-14</v>
      </c>
      <c r="AH24" s="106"/>
      <c r="AI24" s="113"/>
      <c r="AJ24" s="106">
        <f>'Table 1.2 complete'!K20-'Table 1.1 complete'!E20</f>
        <v>4.9999999999982947E-2</v>
      </c>
    </row>
    <row r="25" spans="1:36" s="372" customFormat="1" x14ac:dyDescent="0.25">
      <c r="A25" s="607"/>
      <c r="B25" s="109"/>
      <c r="C25" s="547"/>
      <c r="D25" s="545"/>
      <c r="E25" s="546"/>
      <c r="F25" s="711">
        <v>16</v>
      </c>
      <c r="G25" s="712" t="s">
        <v>421</v>
      </c>
      <c r="H25" s="719">
        <f>NEWAGE_CCS!H25-[1]NEWAGE_detailed_CCS!H31</f>
        <v>0</v>
      </c>
      <c r="I25" s="720">
        <f>NEWAGE_CCS!I25-[1]NEWAGE_detailed_CCS!I31</f>
        <v>11.17710000000001</v>
      </c>
      <c r="J25" s="720">
        <f>NEWAGE_CCS!J25-[1]NEWAGE_detailed_CCS!J31</f>
        <v>0.1129</v>
      </c>
      <c r="K25" s="719">
        <f>NEWAGE_CCS!K25-[1]NEWAGE_detailed_CCS!K31</f>
        <v>7.02</v>
      </c>
      <c r="L25" s="720">
        <f>NEWAGE_CCS!L25-[1]NEWAGE_detailed_CCS!L31</f>
        <v>0</v>
      </c>
      <c r="M25" s="720">
        <f>NEWAGE_CCS!M25-[1]NEWAGE_detailed_CCS!M31</f>
        <v>0</v>
      </c>
      <c r="N25" s="720">
        <f>NEWAGE_CCS!N25-[1]NEWAGE_detailed_CCS!N31</f>
        <v>0</v>
      </c>
      <c r="O25" s="720">
        <f>NEWAGE_CCS!O25-[1]NEWAGE_detailed_CCS!O31</f>
        <v>0</v>
      </c>
      <c r="P25" s="720">
        <f>NEWAGE_CCS!P25-[1]NEWAGE_detailed_CCS!P31</f>
        <v>63.191699999999997</v>
      </c>
      <c r="Q25" s="720">
        <f>NEWAGE_CCS!Q25-[1]NEWAGE_detailed_CCS!Q31</f>
        <v>7.54</v>
      </c>
      <c r="R25" s="720">
        <f>NEWAGE_CCS!R25-[1]NEWAGE_detailed_CCS!R31</f>
        <v>26.390000000000008</v>
      </c>
      <c r="S25" s="720">
        <f>NEWAGE_CCS!S25-[1]NEWAGE_detailed_CCS!S31</f>
        <v>3.77</v>
      </c>
      <c r="T25" s="720">
        <f>NEWAGE_CCS!T25-[1]NEWAGE_detailed_CCS!T31</f>
        <v>4.4351999999999991</v>
      </c>
      <c r="U25" s="720">
        <f>NEWAGE_CCS!U25-[1]NEWAGE_detailed_CCS!U31</f>
        <v>14.414399999999997</v>
      </c>
      <c r="V25" s="720">
        <f>NEWAGE_CCS!V25-[1]NEWAGE_detailed_CCS!V31</f>
        <v>3.3599999999999985</v>
      </c>
      <c r="W25" s="719">
        <f>NEWAGE_CCS!W25-[1]NEWAGE_detailed_CCS!W31</f>
        <v>0</v>
      </c>
      <c r="X25" s="721">
        <f>NEWAGE_CCS!X25-[1]NEWAGE_detailed_CCS!X31</f>
        <v>0.68310000000000137</v>
      </c>
      <c r="Y25" s="722">
        <f>NEWAGE_CCS!Y25-[1]NEWAGE_detailed_CCS!Y31</f>
        <v>0.14559999999999462</v>
      </c>
      <c r="Z25" s="972"/>
      <c r="AA25" s="972"/>
      <c r="AB25" s="972"/>
      <c r="AC25" s="972"/>
      <c r="AD25" s="972"/>
      <c r="AE25" s="979" t="s">
        <v>434</v>
      </c>
      <c r="AF25" s="969">
        <f t="shared" si="0"/>
        <v>142.23999999999998</v>
      </c>
      <c r="AG25" s="149">
        <f t="shared" si="1"/>
        <v>142.23999999999998</v>
      </c>
      <c r="AH25" s="106"/>
      <c r="AI25" s="113"/>
      <c r="AJ25" s="106">
        <f>'Table 1.2 complete'!K21-'Table 1.1 complete'!E21</f>
        <v>3.999999999996362E-2</v>
      </c>
    </row>
    <row r="26" spans="1:36" ht="15.75" thickBot="1" x14ac:dyDescent="0.3">
      <c r="A26" s="608"/>
      <c r="B26" s="222"/>
      <c r="C26" s="548"/>
      <c r="D26" s="548"/>
      <c r="E26" s="548"/>
      <c r="F26" s="340">
        <v>17</v>
      </c>
      <c r="G26" s="713" t="s">
        <v>423</v>
      </c>
      <c r="H26" s="723">
        <f>NEWAGE_CCS!H26-SUM([1]NEWAGE_detailed_CCS!H32:H35)</f>
        <v>0</v>
      </c>
      <c r="I26" s="724">
        <f>NEWAGE_CCS!I26-SUM([1]NEWAGE_detailed_CCS!I32:I35)</f>
        <v>-5.4087999999999852</v>
      </c>
      <c r="J26" s="724">
        <f>NEWAGE_CCS!J26-SUM([1]NEWAGE_detailed_CCS!J32:J35)</f>
        <v>5.4088000000000029</v>
      </c>
      <c r="K26" s="723">
        <f>NEWAGE_CCS!K26-SUM([1]NEWAGE_detailed_CCS!K32:K35)</f>
        <v>0</v>
      </c>
      <c r="L26" s="724">
        <f>NEWAGE_CCS!L26-SUM([1]NEWAGE_detailed_CCS!L32:L35)</f>
        <v>0</v>
      </c>
      <c r="M26" s="724">
        <f>NEWAGE_CCS!M26-SUM([1]NEWAGE_detailed_CCS!M32:M35)</f>
        <v>0</v>
      </c>
      <c r="N26" s="724">
        <f>NEWAGE_CCS!N26-SUM([1]NEWAGE_detailed_CCS!N32:N35)</f>
        <v>37.574955000000045</v>
      </c>
      <c r="O26" s="724">
        <f>NEWAGE_CCS!O26-SUM([1]NEWAGE_detailed_CCS!O32:O35)</f>
        <v>-37.574955000000031</v>
      </c>
      <c r="P26" s="724">
        <f>NEWAGE_CCS!P26-SUM([1]NEWAGE_detailed_CCS!P32:P35)</f>
        <v>0</v>
      </c>
      <c r="Q26" s="724">
        <f>NEWAGE_CCS!Q26-SUM([1]NEWAGE_detailed_CCS!Q32:Q35)</f>
        <v>-36.973499999999994</v>
      </c>
      <c r="R26" s="724">
        <f>NEWAGE_CCS!R26-SUM([1]NEWAGE_detailed_CCS!R32:R35)</f>
        <v>22.036000000000058</v>
      </c>
      <c r="S26" s="724">
        <f>NEWAGE_CCS!S26-SUM([1]NEWAGE_detailed_CCS!S32:S35)</f>
        <v>14.937500000000014</v>
      </c>
      <c r="T26" s="724">
        <f>NEWAGE_CCS!T26-SUM([1]NEWAGE_detailed_CCS!T32:T35)</f>
        <v>73.28870999999998</v>
      </c>
      <c r="U26" s="724">
        <f>NEWAGE_CCS!U26-SUM([1]NEWAGE_detailed_CCS!U32:U35)</f>
        <v>-64.651949999999943</v>
      </c>
      <c r="V26" s="724">
        <f>NEWAGE_CCS!V26-SUM([1]NEWAGE_detailed_CCS!V32:V35)</f>
        <v>-8.7240000000000109</v>
      </c>
      <c r="W26" s="723">
        <f>NEWAGE_CCS!W26-SUM([1]NEWAGE_detailed_CCS!W32:W35)</f>
        <v>0</v>
      </c>
      <c r="X26" s="725">
        <f>NEWAGE_CCS!X26-SUM([1]NEWAGE_detailed_CCS!X32:X35)</f>
        <v>1.1198349999999699</v>
      </c>
      <c r="Y26" s="726">
        <f>NEWAGE_CCS!Y26-SUM([1]NEWAGE_detailed_CCS!Y32:Y35)</f>
        <v>-1.0325949999999828</v>
      </c>
      <c r="Z26" s="975"/>
      <c r="AA26" s="975"/>
      <c r="AB26" s="975"/>
      <c r="AC26" s="975"/>
      <c r="AD26" s="975"/>
      <c r="AE26" s="976" t="s">
        <v>436</v>
      </c>
      <c r="AF26" s="969">
        <f t="shared" si="0"/>
        <v>1.2789769243681803E-13</v>
      </c>
      <c r="AG26" s="149">
        <f t="shared" si="1"/>
        <v>1.2789769243681803E-13</v>
      </c>
      <c r="AH26" s="106"/>
      <c r="AI26" s="113"/>
      <c r="AJ26" s="106">
        <f>'Table 1.2 complete'!K22-'Table 1.1 complete'!E22</f>
        <v>5.0000000000000711E-2</v>
      </c>
    </row>
    <row r="27" spans="1:36" x14ac:dyDescent="0.25">
      <c r="F27" s="543"/>
      <c r="G27" s="227"/>
      <c r="H27" s="114"/>
      <c r="I27" s="114"/>
      <c r="J27" s="114"/>
      <c r="K27" s="114"/>
      <c r="L27" s="114"/>
      <c r="M27" s="114"/>
      <c r="N27" s="114"/>
      <c r="O27" s="114"/>
      <c r="P27" s="114"/>
      <c r="Q27" s="114"/>
      <c r="R27" s="114"/>
      <c r="S27" s="114"/>
      <c r="T27" s="114"/>
      <c r="U27" s="114"/>
      <c r="V27" s="114"/>
      <c r="W27" s="114"/>
      <c r="X27" s="556"/>
      <c r="Y27" s="556"/>
      <c r="Z27" s="114"/>
      <c r="AA27" s="114"/>
      <c r="AB27" s="114"/>
      <c r="AC27" s="114"/>
      <c r="AD27" s="114"/>
      <c r="AE27" s="114"/>
      <c r="AF27" s="150">
        <f t="shared" si="0"/>
        <v>0</v>
      </c>
      <c r="AG27" s="150">
        <f t="shared" si="1"/>
        <v>0</v>
      </c>
      <c r="AH27" s="107"/>
      <c r="AI27" s="114"/>
      <c r="AJ27" s="107">
        <f>'Table 1.2 complete'!K32-'Table 1.1 complete'!E32</f>
        <v>-3.9999999999999147E-2</v>
      </c>
    </row>
    <row r="28" spans="1:36" x14ac:dyDescent="0.25">
      <c r="C28" s="519"/>
      <c r="D28" s="514"/>
      <c r="F28" s="226"/>
      <c r="G28" s="228"/>
      <c r="H28" s="114"/>
      <c r="I28" s="114"/>
      <c r="J28" s="114"/>
      <c r="K28" s="114"/>
      <c r="L28" s="114"/>
      <c r="M28" s="114"/>
      <c r="N28" s="114"/>
      <c r="O28" s="114"/>
      <c r="P28" s="114"/>
      <c r="Q28" s="114"/>
      <c r="R28" s="114"/>
      <c r="S28" s="114"/>
      <c r="T28" s="114"/>
      <c r="U28" s="114"/>
      <c r="V28" s="114"/>
      <c r="W28" s="114"/>
      <c r="X28" s="556"/>
      <c r="Y28" s="556"/>
      <c r="Z28" s="114"/>
      <c r="AA28" s="114"/>
      <c r="AB28" s="114"/>
      <c r="AC28" s="114"/>
      <c r="AD28" s="114"/>
      <c r="AE28" s="114"/>
      <c r="AF28" s="150">
        <f t="shared" si="0"/>
        <v>0</v>
      </c>
      <c r="AG28" s="150">
        <f t="shared" si="1"/>
        <v>0</v>
      </c>
      <c r="AH28" s="107"/>
      <c r="AI28" s="114"/>
      <c r="AJ28" s="107">
        <f>'Table 1.2 complete'!K33-'Table 1.1 complete'!E33</f>
        <v>4.9999999999982947E-2</v>
      </c>
    </row>
    <row r="29" spans="1:36" x14ac:dyDescent="0.25">
      <c r="F29" s="226"/>
      <c r="G29" s="228"/>
      <c r="H29" s="114"/>
      <c r="I29" s="114"/>
      <c r="J29" s="114"/>
      <c r="K29" s="114"/>
      <c r="L29" s="114"/>
      <c r="M29" s="114"/>
      <c r="N29" s="114"/>
      <c r="O29" s="114"/>
      <c r="P29" s="114"/>
      <c r="Q29" s="114"/>
      <c r="R29" s="114"/>
      <c r="S29" s="114"/>
      <c r="T29" s="114"/>
      <c r="U29" s="114"/>
      <c r="V29" s="114"/>
      <c r="W29" s="114"/>
      <c r="X29" s="556"/>
      <c r="Y29" s="556"/>
      <c r="Z29" s="114"/>
      <c r="AA29" s="114"/>
      <c r="AB29" s="114"/>
      <c r="AC29" s="114"/>
      <c r="AD29" s="114"/>
      <c r="AE29" s="114"/>
      <c r="AF29" s="150">
        <f t="shared" si="0"/>
        <v>0</v>
      </c>
      <c r="AG29" s="150">
        <f t="shared" si="1"/>
        <v>0</v>
      </c>
      <c r="AH29" s="107"/>
      <c r="AI29" s="114"/>
      <c r="AJ29" s="107">
        <f>'Table 1.2 complete'!K34-'Table 1.1 complete'!E34</f>
        <v>-3.0000000000001137E-2</v>
      </c>
    </row>
    <row r="30" spans="1:36" x14ac:dyDescent="0.25">
      <c r="F30" s="226"/>
      <c r="G30" s="228"/>
      <c r="H30" s="114"/>
      <c r="I30" s="114"/>
      <c r="J30" s="114"/>
      <c r="K30" s="114"/>
      <c r="L30" s="114"/>
      <c r="M30" s="114"/>
      <c r="N30" s="114"/>
      <c r="O30" s="114"/>
      <c r="P30" s="114"/>
      <c r="Q30" s="114"/>
      <c r="R30" s="114"/>
      <c r="S30" s="114"/>
      <c r="T30" s="114"/>
      <c r="U30" s="114"/>
      <c r="V30" s="114"/>
      <c r="W30" s="114"/>
      <c r="X30" s="556"/>
      <c r="Y30" s="556"/>
      <c r="Z30" s="114"/>
      <c r="AA30" s="114"/>
      <c r="AB30" s="114"/>
      <c r="AC30" s="114"/>
      <c r="AD30" s="114"/>
      <c r="AE30" s="114"/>
      <c r="AF30" s="150">
        <f t="shared" si="0"/>
        <v>0</v>
      </c>
      <c r="AG30" s="150">
        <f t="shared" si="1"/>
        <v>0</v>
      </c>
      <c r="AH30" s="107"/>
      <c r="AI30" s="114"/>
      <c r="AJ30" s="107">
        <f>'Table 1.2 complete'!K35-'Table 1.1 complete'!E35</f>
        <v>-4.00000000000027E-2</v>
      </c>
    </row>
    <row r="31" spans="1:36" x14ac:dyDescent="0.25">
      <c r="A31" s="542" t="s">
        <v>409</v>
      </c>
      <c r="F31" s="226"/>
      <c r="G31" s="228"/>
      <c r="H31" s="114"/>
      <c r="I31" s="114"/>
      <c r="J31" s="114"/>
      <c r="K31" s="114"/>
      <c r="L31" s="114"/>
      <c r="M31" s="114"/>
      <c r="N31" s="114"/>
      <c r="O31" s="114"/>
      <c r="P31" s="114"/>
      <c r="Q31" s="114"/>
      <c r="R31" s="114"/>
      <c r="S31" s="114"/>
      <c r="T31" s="114"/>
      <c r="U31" s="114"/>
      <c r="V31" s="114"/>
      <c r="W31" s="114"/>
      <c r="X31" s="556"/>
      <c r="Y31" s="556"/>
      <c r="Z31" s="114"/>
      <c r="AA31" s="114"/>
      <c r="AB31" s="114"/>
      <c r="AC31" s="114"/>
      <c r="AD31" s="114"/>
      <c r="AE31" s="114"/>
      <c r="AF31" s="150">
        <f t="shared" si="0"/>
        <v>0</v>
      </c>
      <c r="AG31" s="150">
        <f t="shared" si="1"/>
        <v>0</v>
      </c>
      <c r="AH31" s="107"/>
      <c r="AI31" s="114"/>
      <c r="AJ31" s="107">
        <f>'Table 1.2 complete'!K36-'Table 1.1 complete'!E36</f>
        <v>-3.0000000000001137E-2</v>
      </c>
    </row>
    <row r="32" spans="1:36" x14ac:dyDescent="0.25">
      <c r="A32" s="541" t="s">
        <v>404</v>
      </c>
      <c r="E32" s="535"/>
      <c r="F32" s="226"/>
      <c r="G32" s="227"/>
      <c r="H32" s="114"/>
      <c r="I32" s="114"/>
      <c r="J32" s="114"/>
      <c r="K32" s="114"/>
      <c r="L32" s="114"/>
      <c r="M32" s="114"/>
      <c r="N32" s="114"/>
      <c r="O32" s="114"/>
      <c r="P32" s="114"/>
      <c r="Q32" s="114"/>
      <c r="R32" s="114"/>
      <c r="S32" s="114"/>
      <c r="T32" s="114"/>
      <c r="U32" s="114"/>
      <c r="V32" s="114"/>
      <c r="W32" s="114"/>
      <c r="X32" s="556"/>
      <c r="Y32" s="556"/>
      <c r="Z32" s="114"/>
      <c r="AA32" s="114"/>
      <c r="AB32" s="114"/>
      <c r="AC32" s="114"/>
      <c r="AD32" s="114"/>
      <c r="AE32" s="114"/>
      <c r="AF32" s="150">
        <f t="shared" si="0"/>
        <v>0</v>
      </c>
      <c r="AG32" s="150">
        <f t="shared" si="1"/>
        <v>0</v>
      </c>
      <c r="AH32" s="107"/>
      <c r="AI32" s="114"/>
      <c r="AJ32" s="107">
        <f>'Table 1.2 complete'!K37-'Table 1.1 complete'!E37</f>
        <v>4.0000000000077307E-2</v>
      </c>
    </row>
    <row r="33" spans="1:36" x14ac:dyDescent="0.25">
      <c r="A33" s="541" t="s">
        <v>405</v>
      </c>
      <c r="F33" s="226"/>
      <c r="G33" s="228"/>
      <c r="H33" s="114"/>
      <c r="I33" s="114"/>
      <c r="J33" s="114"/>
      <c r="K33" s="114"/>
      <c r="L33" s="114"/>
      <c r="M33" s="114"/>
      <c r="N33" s="114"/>
      <c r="O33" s="114"/>
      <c r="P33" s="114"/>
      <c r="Q33" s="114"/>
      <c r="R33" s="114"/>
      <c r="S33" s="114"/>
      <c r="T33" s="114"/>
      <c r="U33" s="114"/>
      <c r="V33" s="114"/>
      <c r="W33" s="114"/>
      <c r="X33" s="556"/>
      <c r="Y33" s="556"/>
      <c r="Z33" s="114"/>
      <c r="AA33" s="114"/>
      <c r="AB33" s="114"/>
      <c r="AC33" s="114"/>
      <c r="AD33" s="114"/>
      <c r="AE33" s="114"/>
      <c r="AF33" s="150">
        <f t="shared" si="0"/>
        <v>0</v>
      </c>
      <c r="AG33" s="150">
        <f t="shared" si="1"/>
        <v>0</v>
      </c>
      <c r="AH33" s="107"/>
      <c r="AI33" s="114"/>
      <c r="AJ33" s="107">
        <f>'Table 1.2 complete'!K38-'Table 1.1 complete'!E38</f>
        <v>-1.9999999999999574E-2</v>
      </c>
    </row>
    <row r="34" spans="1:36" x14ac:dyDescent="0.25">
      <c r="A34" s="541" t="s">
        <v>375</v>
      </c>
      <c r="F34" s="226"/>
      <c r="G34" s="228"/>
      <c r="H34" s="114"/>
      <c r="I34" s="114"/>
      <c r="J34" s="114"/>
      <c r="K34" s="114"/>
      <c r="L34" s="114"/>
      <c r="M34" s="114"/>
      <c r="N34" s="114"/>
      <c r="O34" s="114"/>
      <c r="P34" s="114"/>
      <c r="Q34" s="114"/>
      <c r="R34" s="114"/>
      <c r="S34" s="114"/>
      <c r="T34" s="114"/>
      <c r="U34" s="114"/>
      <c r="V34" s="114"/>
      <c r="W34" s="114"/>
      <c r="X34" s="556"/>
      <c r="Y34" s="556"/>
      <c r="Z34" s="114"/>
      <c r="AA34" s="114"/>
      <c r="AB34" s="114"/>
      <c r="AC34" s="114"/>
      <c r="AD34" s="114"/>
      <c r="AE34" s="114"/>
      <c r="AF34" s="150">
        <f t="shared" si="0"/>
        <v>0</v>
      </c>
      <c r="AG34" s="150">
        <f t="shared" si="1"/>
        <v>0</v>
      </c>
      <c r="AH34" s="107"/>
      <c r="AI34" s="114"/>
      <c r="AJ34" s="107">
        <f>'Table 1.2 complete'!K39-'Table 1.1 complete'!E39</f>
        <v>9.9999999999909051E-3</v>
      </c>
    </row>
    <row r="35" spans="1:36" x14ac:dyDescent="0.25">
      <c r="A35" s="541" t="s">
        <v>335</v>
      </c>
      <c r="F35" s="226"/>
      <c r="G35" s="228"/>
      <c r="H35" s="114"/>
      <c r="I35" s="114"/>
      <c r="J35" s="114"/>
      <c r="K35" s="114"/>
      <c r="L35" s="114"/>
      <c r="M35" s="114"/>
      <c r="N35" s="114"/>
      <c r="O35" s="114"/>
      <c r="P35" s="114"/>
      <c r="Q35" s="114"/>
      <c r="R35" s="114"/>
      <c r="S35" s="114"/>
      <c r="T35" s="114"/>
      <c r="U35" s="114"/>
      <c r="V35" s="114"/>
      <c r="W35" s="114"/>
      <c r="X35" s="556"/>
      <c r="Y35" s="556"/>
      <c r="Z35" s="114"/>
      <c r="AA35" s="114"/>
      <c r="AB35" s="114"/>
      <c r="AC35" s="114"/>
      <c r="AD35" s="114"/>
      <c r="AE35" s="114"/>
      <c r="AF35" s="150">
        <f t="shared" si="0"/>
        <v>0</v>
      </c>
      <c r="AG35" s="150">
        <f t="shared" si="1"/>
        <v>0</v>
      </c>
      <c r="AH35" s="107"/>
      <c r="AI35" s="114"/>
      <c r="AJ35" s="107">
        <f>'Table 1.2 complete'!K40-'Table 1.1 complete'!E40</f>
        <v>1.999999999998181E-2</v>
      </c>
    </row>
    <row r="36" spans="1:36" x14ac:dyDescent="0.25">
      <c r="A36" s="541" t="s">
        <v>410</v>
      </c>
      <c r="E36" s="514"/>
      <c r="F36" s="226"/>
      <c r="G36" s="228"/>
      <c r="H36" s="114"/>
      <c r="I36" s="114"/>
      <c r="J36" s="114"/>
      <c r="K36" s="114"/>
      <c r="L36" s="114"/>
      <c r="M36" s="114"/>
      <c r="N36" s="114"/>
      <c r="O36" s="114"/>
      <c r="P36" s="114"/>
      <c r="Q36" s="114"/>
      <c r="R36" s="114"/>
      <c r="S36" s="114"/>
      <c r="T36" s="114"/>
      <c r="U36" s="114"/>
      <c r="V36" s="114"/>
      <c r="W36" s="114"/>
      <c r="X36" s="556"/>
      <c r="Y36" s="556"/>
      <c r="Z36" s="114"/>
      <c r="AA36" s="114"/>
      <c r="AB36" s="114"/>
      <c r="AC36" s="114"/>
      <c r="AD36" s="114"/>
      <c r="AE36" s="114"/>
      <c r="AF36" s="150">
        <f t="shared" si="0"/>
        <v>0</v>
      </c>
      <c r="AG36" s="150">
        <f t="shared" si="1"/>
        <v>0</v>
      </c>
      <c r="AH36" s="107"/>
      <c r="AI36" s="114"/>
      <c r="AJ36" s="107">
        <f>'Table 1.2 complete'!K41-'Table 1.1 complete'!E41</f>
        <v>-4.0000000000020464E-2</v>
      </c>
    </row>
    <row r="37" spans="1:36" x14ac:dyDescent="0.25">
      <c r="A37" s="387" t="s">
        <v>411</v>
      </c>
      <c r="D37" s="536"/>
      <c r="E37" s="514"/>
      <c r="F37" s="226"/>
      <c r="G37" s="227"/>
      <c r="H37" s="114"/>
      <c r="I37" s="114"/>
      <c r="J37" s="114"/>
      <c r="K37" s="114"/>
      <c r="L37" s="114"/>
      <c r="M37" s="114"/>
      <c r="N37" s="114"/>
      <c r="O37" s="114"/>
      <c r="P37" s="114"/>
      <c r="Q37" s="114"/>
      <c r="R37" s="114"/>
      <c r="S37" s="114"/>
      <c r="T37" s="114"/>
      <c r="U37" s="114"/>
      <c r="V37" s="114"/>
      <c r="W37" s="114"/>
      <c r="X37" s="556"/>
      <c r="Y37" s="556"/>
      <c r="Z37" s="114"/>
      <c r="AA37" s="114"/>
      <c r="AB37" s="114"/>
      <c r="AC37" s="114"/>
      <c r="AD37" s="114"/>
      <c r="AE37" s="114"/>
      <c r="AF37" s="150">
        <f t="shared" si="0"/>
        <v>0</v>
      </c>
      <c r="AG37" s="150">
        <f t="shared" si="1"/>
        <v>0</v>
      </c>
      <c r="AH37" s="107"/>
      <c r="AI37" s="114"/>
      <c r="AJ37" s="107">
        <f>'Table 1.2 complete'!K42-'Table 1.1 complete'!E42</f>
        <v>5.0000000000004263E-2</v>
      </c>
    </row>
    <row r="38" spans="1:36" x14ac:dyDescent="0.25">
      <c r="E38" s="514"/>
      <c r="F38" s="226"/>
      <c r="G38" s="228"/>
      <c r="H38" s="114"/>
      <c r="I38" s="114"/>
      <c r="J38" s="114"/>
      <c r="K38" s="114"/>
      <c r="L38" s="114"/>
      <c r="M38" s="114"/>
      <c r="N38" s="114"/>
      <c r="O38" s="114"/>
      <c r="P38" s="114"/>
      <c r="Q38" s="114"/>
      <c r="R38" s="114"/>
      <c r="S38" s="114"/>
      <c r="T38" s="114"/>
      <c r="U38" s="114"/>
      <c r="V38" s="114"/>
      <c r="W38" s="114"/>
      <c r="X38" s="556"/>
      <c r="Y38" s="556"/>
      <c r="Z38" s="114"/>
      <c r="AA38" s="114"/>
      <c r="AB38" s="114"/>
      <c r="AC38" s="114"/>
      <c r="AD38" s="114"/>
      <c r="AE38" s="114"/>
      <c r="AF38" s="150">
        <f t="shared" si="0"/>
        <v>0</v>
      </c>
      <c r="AG38" s="150">
        <f t="shared" si="1"/>
        <v>0</v>
      </c>
      <c r="AH38" s="107"/>
      <c r="AI38" s="114"/>
      <c r="AJ38" s="107">
        <f>'Table 1.2 complete'!K43-'Table 1.1 complete'!E43</f>
        <v>-3.0000000000001137E-2</v>
      </c>
    </row>
    <row r="39" spans="1:36" x14ac:dyDescent="0.25">
      <c r="E39" s="514"/>
      <c r="F39" s="226"/>
      <c r="G39" s="228"/>
      <c r="H39" s="114"/>
      <c r="I39" s="114"/>
      <c r="J39" s="114"/>
      <c r="K39" s="114"/>
      <c r="L39" s="114"/>
      <c r="M39" s="114"/>
      <c r="N39" s="114"/>
      <c r="O39" s="114"/>
      <c r="P39" s="114"/>
      <c r="Q39" s="114"/>
      <c r="R39" s="114"/>
      <c r="S39" s="114"/>
      <c r="T39" s="114"/>
      <c r="U39" s="114"/>
      <c r="V39" s="114"/>
      <c r="W39" s="114"/>
      <c r="X39" s="556"/>
      <c r="Y39" s="556"/>
      <c r="Z39" s="114"/>
      <c r="AA39" s="114"/>
      <c r="AB39" s="114"/>
      <c r="AC39" s="114"/>
      <c r="AD39" s="114"/>
      <c r="AE39" s="114"/>
      <c r="AF39" s="150">
        <f t="shared" si="0"/>
        <v>0</v>
      </c>
      <c r="AG39" s="150">
        <f t="shared" si="1"/>
        <v>0</v>
      </c>
      <c r="AH39" s="107"/>
      <c r="AI39" s="114"/>
      <c r="AJ39" s="107">
        <f>'Table 1.2 complete'!K44-'Table 1.1 complete'!E44</f>
        <v>-3.999999999996362E-2</v>
      </c>
    </row>
    <row r="40" spans="1:36" x14ac:dyDescent="0.25">
      <c r="E40" s="514"/>
      <c r="F40" s="226"/>
      <c r="G40" s="228"/>
      <c r="H40" s="114"/>
      <c r="I40" s="114"/>
      <c r="J40" s="114"/>
      <c r="K40" s="114"/>
      <c r="L40" s="114"/>
      <c r="M40" s="114"/>
      <c r="N40" s="114"/>
      <c r="O40" s="114"/>
      <c r="P40" s="114"/>
      <c r="Q40" s="114"/>
      <c r="R40" s="114"/>
      <c r="S40" s="114"/>
      <c r="T40" s="114"/>
      <c r="U40" s="114"/>
      <c r="V40" s="114"/>
      <c r="W40" s="114"/>
      <c r="X40" s="556"/>
      <c r="Y40" s="556"/>
      <c r="Z40" s="114"/>
      <c r="AA40" s="114"/>
      <c r="AB40" s="114"/>
      <c r="AC40" s="114"/>
      <c r="AD40" s="114"/>
      <c r="AE40" s="114"/>
      <c r="AF40" s="150">
        <f t="shared" si="0"/>
        <v>0</v>
      </c>
      <c r="AG40" s="150">
        <f t="shared" si="1"/>
        <v>0</v>
      </c>
      <c r="AH40" s="107"/>
      <c r="AI40" s="114"/>
      <c r="AJ40" s="107">
        <f>'Table 1.2 complete'!K45-'Table 1.1 complete'!E45</f>
        <v>3.999999999996362E-2</v>
      </c>
    </row>
    <row r="41" spans="1:36" x14ac:dyDescent="0.25">
      <c r="E41" s="514"/>
      <c r="F41" s="229"/>
      <c r="G41" s="230"/>
      <c r="H41" s="115"/>
      <c r="I41" s="115"/>
      <c r="J41" s="115"/>
      <c r="K41" s="115"/>
      <c r="L41" s="115"/>
      <c r="M41" s="115"/>
      <c r="N41" s="115"/>
      <c r="O41" s="115"/>
      <c r="P41" s="115"/>
      <c r="Q41" s="115"/>
      <c r="R41" s="115"/>
      <c r="S41" s="115"/>
      <c r="T41" s="115"/>
      <c r="U41" s="115"/>
      <c r="V41" s="115"/>
      <c r="W41" s="115"/>
      <c r="X41" s="557"/>
      <c r="Y41" s="557"/>
      <c r="Z41" s="115"/>
      <c r="AA41" s="115"/>
      <c r="AB41" s="115"/>
      <c r="AC41" s="115"/>
      <c r="AD41" s="115"/>
      <c r="AE41" s="115"/>
      <c r="AF41" s="151">
        <f>SUM(H41:AC41)</f>
        <v>0</v>
      </c>
      <c r="AG41" s="151">
        <f t="shared" si="1"/>
        <v>0</v>
      </c>
      <c r="AH41" s="108"/>
      <c r="AI41" s="115"/>
      <c r="AJ41" s="108">
        <f>'Table 1.2 complete'!K46-'Table 1.1 complete'!E46</f>
        <v>3.0000000000086402E-2</v>
      </c>
    </row>
    <row r="42" spans="1:36" ht="15" customHeight="1" x14ac:dyDescent="0.25">
      <c r="E42" s="514"/>
      <c r="X42" s="825" t="s">
        <v>416</v>
      </c>
      <c r="Y42" s="825" t="s">
        <v>417</v>
      </c>
    </row>
    <row r="43" spans="1:36" x14ac:dyDescent="0.25">
      <c r="E43" s="514"/>
      <c r="H43" s="268"/>
      <c r="I43" s="268"/>
      <c r="J43" s="268"/>
      <c r="K43" s="268"/>
      <c r="L43" s="268"/>
      <c r="M43" s="268"/>
      <c r="N43" s="268"/>
      <c r="O43" s="268"/>
      <c r="P43" s="268"/>
      <c r="Q43" s="268"/>
      <c r="R43" s="268"/>
      <c r="S43" s="268"/>
      <c r="T43" s="268"/>
      <c r="U43" s="268"/>
      <c r="V43" s="268"/>
      <c r="W43" s="268"/>
      <c r="X43" s="825"/>
      <c r="Y43" s="825"/>
    </row>
    <row r="44" spans="1:36" ht="26.25" x14ac:dyDescent="0.4">
      <c r="E44" s="514"/>
      <c r="X44" s="825"/>
      <c r="Y44" s="825"/>
      <c r="AA44" s="714"/>
    </row>
    <row r="45" spans="1:36" x14ac:dyDescent="0.25">
      <c r="E45" s="514"/>
      <c r="X45" s="825"/>
      <c r="Y45" s="825"/>
    </row>
    <row r="46" spans="1:36" x14ac:dyDescent="0.25">
      <c r="E46" s="514"/>
      <c r="X46" s="825"/>
      <c r="Y46" s="825"/>
    </row>
    <row r="47" spans="1:36" x14ac:dyDescent="0.25">
      <c r="E47" s="514"/>
      <c r="X47" s="825"/>
      <c r="Y47" s="825"/>
    </row>
    <row r="48" spans="1:36" x14ac:dyDescent="0.25">
      <c r="E48" s="514"/>
      <c r="X48" s="825"/>
      <c r="Y48" s="825"/>
    </row>
    <row r="49" spans="5:25" x14ac:dyDescent="0.25">
      <c r="E49" s="514"/>
      <c r="X49" s="825"/>
      <c r="Y49" s="825"/>
    </row>
    <row r="50" spans="5:25" x14ac:dyDescent="0.25">
      <c r="E50" s="514"/>
      <c r="X50" s="825"/>
      <c r="Y50" s="825"/>
    </row>
    <row r="51" spans="5:25" x14ac:dyDescent="0.25">
      <c r="X51" s="825"/>
      <c r="Y51" s="825"/>
    </row>
    <row r="52" spans="5:25" ht="29.25" customHeight="1" x14ac:dyDescent="0.25">
      <c r="X52" s="825"/>
      <c r="Y52" s="825"/>
    </row>
    <row r="53" spans="5:25" x14ac:dyDescent="0.25">
      <c r="X53" s="268" t="e">
        <f>X20-#REF!</f>
        <v>#REF!</v>
      </c>
      <c r="Y53" s="268" t="e">
        <f>Y20-#REF!</f>
        <v>#REF!</v>
      </c>
    </row>
    <row r="54" spans="5:25" x14ac:dyDescent="0.25">
      <c r="X54" t="e">
        <f>X53/#REF!</f>
        <v>#REF!</v>
      </c>
      <c r="Y54" t="e">
        <f>Y53/#REF!</f>
        <v>#REF!</v>
      </c>
    </row>
  </sheetData>
  <mergeCells count="24">
    <mergeCell ref="A3:E4"/>
    <mergeCell ref="H5:H7"/>
    <mergeCell ref="I5:M7"/>
    <mergeCell ref="N5:AE5"/>
    <mergeCell ref="N6:V6"/>
    <mergeCell ref="W6:AE7"/>
    <mergeCell ref="C1:E2"/>
    <mergeCell ref="H2:AE2"/>
    <mergeCell ref="H3:M3"/>
    <mergeCell ref="N3:AE3"/>
    <mergeCell ref="H4:AE4"/>
    <mergeCell ref="C8:E8"/>
    <mergeCell ref="I8:J8"/>
    <mergeCell ref="L8:M8"/>
    <mergeCell ref="N8:O8"/>
    <mergeCell ref="Q8:S8"/>
    <mergeCell ref="X8:Y8"/>
    <mergeCell ref="X42:X52"/>
    <mergeCell ref="Y42:Y52"/>
    <mergeCell ref="AH6:AJ6"/>
    <mergeCell ref="N7:P7"/>
    <mergeCell ref="Q7:V7"/>
    <mergeCell ref="AG7:AG9"/>
    <mergeCell ref="T8:V8"/>
  </mergeCells>
  <conditionalFormatting sqref="AH10:AJ41">
    <cfRule type="cellIs" dxfId="40" priority="7" operator="lessThan">
      <formula>-1</formula>
    </cfRule>
    <cfRule type="cellIs" dxfId="39" priority="8" operator="greaterThan">
      <formula>1</formula>
    </cfRule>
    <cfRule type="cellIs" dxfId="38" priority="14" operator="lessThan">
      <formula>-0.04</formula>
    </cfRule>
    <cfRule type="cellIs" dxfId="37" priority="15" operator="greaterThan">
      <formula>0.04</formula>
    </cfRule>
  </conditionalFormatting>
  <conditionalFormatting sqref="H10:AE10 X27:Y41 AD11:AE26">
    <cfRule type="cellIs" dxfId="36" priority="13" operator="equal">
      <formula>"error"</formula>
    </cfRule>
  </conditionalFormatting>
  <conditionalFormatting sqref="H27:AJ41 H10:AJ10 AD11:AJ26">
    <cfRule type="cellIs" dxfId="35" priority="12" operator="equal">
      <formula>0</formula>
    </cfRule>
  </conditionalFormatting>
  <conditionalFormatting sqref="B10:B26">
    <cfRule type="cellIs" dxfId="34" priority="9" operator="equal">
      <formula>0</formula>
    </cfRule>
    <cfRule type="cellIs" dxfId="33" priority="10" operator="lessThan">
      <formula>0</formula>
    </cfRule>
    <cfRule type="cellIs" dxfId="32" priority="11" operator="greaterThan">
      <formula>0</formula>
    </cfRule>
  </conditionalFormatting>
  <conditionalFormatting sqref="H43:W43">
    <cfRule type="cellIs" dxfId="31" priority="6" operator="equal">
      <formula>"error"</formula>
    </cfRule>
  </conditionalFormatting>
  <conditionalFormatting sqref="H43:W43">
    <cfRule type="cellIs" dxfId="30" priority="5" operator="equal">
      <formula>0</formula>
    </cfRule>
  </conditionalFormatting>
  <conditionalFormatting sqref="X53:Y53">
    <cfRule type="cellIs" dxfId="29" priority="4" operator="equal">
      <formula>"error"</formula>
    </cfRule>
  </conditionalFormatting>
  <conditionalFormatting sqref="X53:Y53">
    <cfRule type="cellIs" dxfId="28" priority="3" operator="equal">
      <formula>0</formula>
    </cfRule>
  </conditionalFormatting>
  <conditionalFormatting sqref="H11:AC26">
    <cfRule type="cellIs" dxfId="27" priority="2" operator="equal">
      <formula>"error"</formula>
    </cfRule>
  </conditionalFormatting>
  <conditionalFormatting sqref="H11:AC26">
    <cfRule type="cellIs" dxfId="26" priority="1" operator="equal">
      <formula>0</formula>
    </cfRule>
  </conditionalFormatting>
  <hyperlinks>
    <hyperlink ref="A34" r:id="rId1"/>
    <hyperlink ref="A32" r:id="rId2"/>
    <hyperlink ref="A33" r:id="rId3"/>
    <hyperlink ref="A35" r:id="rId4"/>
    <hyperlink ref="A36" r:id="rId5"/>
    <hyperlink ref="A37" r:id="rId6"/>
  </hyperlinks>
  <pageMargins left="0.7" right="0.7" top="0.78740157499999996" bottom="0.78740157499999996" header="0.3" footer="0.3"/>
  <pageSetup paperSize="9" scale="29" orientation="portrait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32</vt:i4>
      </vt:variant>
      <vt:variant>
        <vt:lpstr>Benannte Bereiche</vt:lpstr>
      </vt:variant>
      <vt:variant>
        <vt:i4>7</vt:i4>
      </vt:variant>
    </vt:vector>
  </HeadingPairs>
  <TitlesOfParts>
    <vt:vector size="39" baseType="lpstr">
      <vt:lpstr>IEA Electricity Information 09</vt:lpstr>
      <vt:lpstr>--------  </vt:lpstr>
      <vt:lpstr>GEP</vt:lpstr>
      <vt:lpstr>GEP_add1</vt:lpstr>
      <vt:lpstr>GEP_Aggtech</vt:lpstr>
      <vt:lpstr>GEP_Aggreg</vt:lpstr>
      <vt:lpstr>NEWAGE</vt:lpstr>
      <vt:lpstr>NEWAGE_CCS</vt:lpstr>
      <vt:lpstr>NEWAGE_CCS_new_diff</vt:lpstr>
      <vt:lpstr>NEWAGE_read</vt:lpstr>
      <vt:lpstr>NEWAGE_read_old</vt:lpstr>
      <vt:lpstr>-------- </vt:lpstr>
      <vt:lpstr>Table 1.1 complete</vt:lpstr>
      <vt:lpstr>Table 1.2 complete</vt:lpstr>
      <vt:lpstr>Table 1.3 complete</vt:lpstr>
      <vt:lpstr>--------</vt:lpstr>
      <vt:lpstr>Table 1.1 II.4</vt:lpstr>
      <vt:lpstr>Table 1.1 II.5</vt:lpstr>
      <vt:lpstr>Table 1.1 II.6</vt:lpstr>
      <vt:lpstr>Table 1.1 II.7</vt:lpstr>
      <vt:lpstr>Table 1.2 II.8</vt:lpstr>
      <vt:lpstr>Table 1.2 II.9</vt:lpstr>
      <vt:lpstr>Table 1.2 II.10</vt:lpstr>
      <vt:lpstr>Table 1.2 II.11</vt:lpstr>
      <vt:lpstr>Table 1.3 II.12</vt:lpstr>
      <vt:lpstr>Table 1.3 II.13</vt:lpstr>
      <vt:lpstr>Table 1.3 II.14</vt:lpstr>
      <vt:lpstr>Table 1.3 II.15</vt:lpstr>
      <vt:lpstr> --------</vt:lpstr>
      <vt:lpstr>CHP</vt:lpstr>
      <vt:lpstr>Pumps</vt:lpstr>
      <vt:lpstr>Wind</vt:lpstr>
      <vt:lpstr>GEP!Druckbereich</vt:lpstr>
      <vt:lpstr>GEP_add1!Druckbereich</vt:lpstr>
      <vt:lpstr>GEP_Aggreg!Druckbereich</vt:lpstr>
      <vt:lpstr>GEP_Aggtech!Druckbereich</vt:lpstr>
      <vt:lpstr>NEWAGE!Druckbereich</vt:lpstr>
      <vt:lpstr>NEWAGE_CCS!Druckbereich</vt:lpstr>
      <vt:lpstr>NEWAGE_CCS_new_diff!Druckbereich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Beestermöller</dc:creator>
  <cp:lastModifiedBy>Robert Beestermöller</cp:lastModifiedBy>
  <cp:lastPrinted>2013-03-13T16:55:59Z</cp:lastPrinted>
  <dcterms:created xsi:type="dcterms:W3CDTF">2013-03-12T13:32:45Z</dcterms:created>
  <dcterms:modified xsi:type="dcterms:W3CDTF">2014-05-14T13:46:08Z</dcterms:modified>
</cp:coreProperties>
</file>