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ga\450 Kopernikus ENavi\AP 3 Ökonomie\Szenarien\"/>
    </mc:Choice>
  </mc:AlternateContent>
  <bookViews>
    <workbookView xWindow="0" yWindow="0" windowWidth="28800" windowHeight="12345" activeTab="1"/>
  </bookViews>
  <sheets>
    <sheet name="Sheet1" sheetId="1" r:id="rId1"/>
    <sheet name="Minderungserfordernisse" sheetId="2" r:id="rId2"/>
    <sheet name="Minderungserfordernisse_Paris" sheetId="5" r:id="rId3"/>
    <sheet name="Sheet3" sheetId="3" r:id="rId4"/>
    <sheet name="Sheet4" sheetId="4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W55" i="5" l="1"/>
  <c r="X52" i="5"/>
  <c r="W52" i="5"/>
  <c r="U52" i="5" s="1"/>
  <c r="V52" i="5" s="1"/>
  <c r="W51" i="5"/>
  <c r="S55" i="5"/>
  <c r="T52" i="5"/>
  <c r="S52" i="5"/>
  <c r="S51" i="5"/>
  <c r="Q52" i="5"/>
  <c r="R52" i="5" s="1"/>
  <c r="O55" i="5"/>
  <c r="P52" i="5"/>
  <c r="O52" i="5"/>
  <c r="O51" i="5"/>
  <c r="M52" i="5"/>
  <c r="N52" i="5" s="1"/>
  <c r="M52" i="2"/>
  <c r="M51" i="5"/>
  <c r="K55" i="5"/>
  <c r="L52" i="5"/>
  <c r="K52" i="5"/>
  <c r="K51" i="5"/>
  <c r="I55" i="5"/>
  <c r="J52" i="5"/>
  <c r="I52" i="5"/>
  <c r="I51" i="5"/>
  <c r="G55" i="5"/>
  <c r="H52" i="5"/>
  <c r="G52" i="5"/>
  <c r="G51" i="5"/>
  <c r="F52" i="5"/>
  <c r="E55" i="5"/>
  <c r="E52" i="5"/>
  <c r="E51" i="5"/>
  <c r="D52" i="5"/>
  <c r="C55" i="5"/>
  <c r="C52" i="5"/>
  <c r="C51" i="5"/>
  <c r="B55" i="5"/>
  <c r="B51" i="5"/>
  <c r="B52" i="5"/>
  <c r="X52" i="2"/>
  <c r="V52" i="2"/>
  <c r="T52" i="2"/>
  <c r="R52" i="2"/>
  <c r="P52" i="2"/>
  <c r="N52" i="2"/>
  <c r="L52" i="2"/>
  <c r="J52" i="2"/>
  <c r="H52" i="2"/>
  <c r="F52" i="2"/>
  <c r="D52" i="2"/>
  <c r="W55" i="2"/>
  <c r="U55" i="2"/>
  <c r="S55" i="2"/>
  <c r="Q55" i="2"/>
  <c r="O55" i="2"/>
  <c r="M55" i="2"/>
  <c r="W52" i="2"/>
  <c r="W51" i="2"/>
  <c r="U52" i="2"/>
  <c r="S52" i="2"/>
  <c r="S51" i="2"/>
  <c r="Q52" i="2"/>
  <c r="M51" i="2"/>
  <c r="O52" i="2"/>
  <c r="O51" i="2"/>
  <c r="K55" i="2"/>
  <c r="K52" i="2"/>
  <c r="K51" i="2"/>
  <c r="I55" i="2"/>
  <c r="I52" i="2"/>
  <c r="I51" i="2"/>
  <c r="G55" i="2"/>
  <c r="G52" i="2"/>
  <c r="G51" i="2"/>
  <c r="E55" i="2"/>
  <c r="E52" i="2"/>
  <c r="E51" i="2"/>
  <c r="C55" i="2"/>
  <c r="C52" i="2"/>
  <c r="C51" i="2"/>
  <c r="B55" i="2"/>
  <c r="B51" i="2"/>
  <c r="B52" i="2"/>
  <c r="M55" i="5" l="1"/>
  <c r="Q11" i="5"/>
  <c r="A73" i="5"/>
  <c r="A72" i="5"/>
  <c r="A71" i="5"/>
  <c r="A70" i="5"/>
  <c r="A69" i="5"/>
  <c r="K63" i="5"/>
  <c r="I63" i="5"/>
  <c r="G63" i="5"/>
  <c r="H71" i="5" s="1"/>
  <c r="E63" i="5"/>
  <c r="C63" i="5"/>
  <c r="D63" i="5" s="1"/>
  <c r="B63" i="5"/>
  <c r="M54" i="5"/>
  <c r="L44" i="5"/>
  <c r="J44" i="5"/>
  <c r="H44" i="5"/>
  <c r="F44" i="5"/>
  <c r="D44" i="5"/>
  <c r="K34" i="5"/>
  <c r="I34" i="5"/>
  <c r="G34" i="5"/>
  <c r="E34" i="5"/>
  <c r="C34" i="5"/>
  <c r="B34" i="5"/>
  <c r="K33" i="5"/>
  <c r="I33" i="5"/>
  <c r="G33" i="5"/>
  <c r="E33" i="5"/>
  <c r="C33" i="5"/>
  <c r="B33" i="5"/>
  <c r="K32" i="5"/>
  <c r="K64" i="5" s="1"/>
  <c r="I72" i="5" s="1"/>
  <c r="I32" i="5"/>
  <c r="I64" i="5" s="1"/>
  <c r="G32" i="5"/>
  <c r="G64" i="5" s="1"/>
  <c r="E32" i="5"/>
  <c r="E64" i="5" s="1"/>
  <c r="C32" i="5"/>
  <c r="C64" i="5" s="1"/>
  <c r="B32" i="5"/>
  <c r="B64" i="5" s="1"/>
  <c r="K31" i="5"/>
  <c r="I31" i="5"/>
  <c r="G31" i="5"/>
  <c r="E31" i="5"/>
  <c r="C31" i="5"/>
  <c r="B31" i="5"/>
  <c r="B30" i="5"/>
  <c r="K29" i="5"/>
  <c r="L29" i="5" s="1"/>
  <c r="I29" i="5"/>
  <c r="G29" i="5"/>
  <c r="E29" i="5"/>
  <c r="F29" i="5" s="1"/>
  <c r="C29" i="5"/>
  <c r="D29" i="5" s="1"/>
  <c r="B29" i="5"/>
  <c r="K28" i="5"/>
  <c r="I28" i="5"/>
  <c r="J28" i="5" s="1"/>
  <c r="G28" i="5"/>
  <c r="E28" i="5"/>
  <c r="F28" i="5" s="1"/>
  <c r="C28" i="5"/>
  <c r="B28" i="5"/>
  <c r="K27" i="5"/>
  <c r="L27" i="5" s="1"/>
  <c r="I27" i="5"/>
  <c r="G27" i="5"/>
  <c r="E27" i="5"/>
  <c r="C27" i="5"/>
  <c r="B27" i="5"/>
  <c r="B61" i="5" s="1"/>
  <c r="O17" i="5"/>
  <c r="K17" i="5"/>
  <c r="I17" i="5"/>
  <c r="G17" i="5"/>
  <c r="E17" i="5"/>
  <c r="F17" i="5" s="1"/>
  <c r="C17" i="5"/>
  <c r="B17" i="5"/>
  <c r="P17" i="5" s="1"/>
  <c r="K14" i="5"/>
  <c r="I14" i="5"/>
  <c r="G14" i="5"/>
  <c r="E14" i="5"/>
  <c r="C14" i="5"/>
  <c r="D14" i="5" s="1"/>
  <c r="B14" i="5"/>
  <c r="O13" i="5"/>
  <c r="O14" i="5" s="1"/>
  <c r="O34" i="5" s="1"/>
  <c r="K13" i="5"/>
  <c r="K15" i="5" s="1"/>
  <c r="I13" i="5"/>
  <c r="I15" i="5" s="1"/>
  <c r="G13" i="5"/>
  <c r="G15" i="5" s="1"/>
  <c r="E13" i="5"/>
  <c r="E15" i="5" s="1"/>
  <c r="C13" i="5"/>
  <c r="C15" i="5" s="1"/>
  <c r="B13" i="5"/>
  <c r="K12" i="5"/>
  <c r="J12" i="5"/>
  <c r="I12" i="5"/>
  <c r="G12" i="5"/>
  <c r="E12" i="5"/>
  <c r="F12" i="5" s="1"/>
  <c r="C12" i="5"/>
  <c r="D12" i="5" s="1"/>
  <c r="B12" i="5"/>
  <c r="K11" i="5"/>
  <c r="I11" i="5"/>
  <c r="I10" i="5" s="1"/>
  <c r="I54" i="5" s="1"/>
  <c r="G11" i="5"/>
  <c r="E11" i="5"/>
  <c r="C11" i="5"/>
  <c r="B11" i="5"/>
  <c r="F11" i="5" s="1"/>
  <c r="O10" i="5"/>
  <c r="O54" i="5" s="1"/>
  <c r="G10" i="5"/>
  <c r="G54" i="5" s="1"/>
  <c r="E10" i="5"/>
  <c r="C10" i="5"/>
  <c r="C54" i="5" s="1"/>
  <c r="O9" i="5"/>
  <c r="O53" i="5" s="1"/>
  <c r="K9" i="5"/>
  <c r="K53" i="5" s="1"/>
  <c r="I9" i="5"/>
  <c r="I53" i="5" s="1"/>
  <c r="G9" i="5"/>
  <c r="G53" i="5" s="1"/>
  <c r="E9" i="5"/>
  <c r="E53" i="5" s="1"/>
  <c r="C9" i="5"/>
  <c r="C53" i="5" s="1"/>
  <c r="B9" i="5"/>
  <c r="B53" i="5" s="1"/>
  <c r="D53" i="5" s="1"/>
  <c r="O8" i="5"/>
  <c r="K8" i="5"/>
  <c r="I8" i="5"/>
  <c r="G8" i="5"/>
  <c r="E8" i="5"/>
  <c r="C8" i="5"/>
  <c r="B8" i="5"/>
  <c r="F51" i="5" s="1"/>
  <c r="K7" i="5"/>
  <c r="L7" i="5" s="1"/>
  <c r="I7" i="5"/>
  <c r="G7" i="5"/>
  <c r="E7" i="5"/>
  <c r="C7" i="5"/>
  <c r="B7" i="5"/>
  <c r="G16" i="5" l="1"/>
  <c r="J17" i="5"/>
  <c r="L32" i="5"/>
  <c r="H33" i="5"/>
  <c r="F63" i="5"/>
  <c r="I71" i="5"/>
  <c r="J53" i="5"/>
  <c r="H32" i="5"/>
  <c r="J33" i="5"/>
  <c r="G35" i="5"/>
  <c r="L63" i="5"/>
  <c r="L12" i="5"/>
  <c r="F14" i="5"/>
  <c r="E40" i="5"/>
  <c r="H29" i="5"/>
  <c r="D32" i="5"/>
  <c r="H63" i="5"/>
  <c r="F53" i="5"/>
  <c r="F13" i="5"/>
  <c r="J29" i="5"/>
  <c r="F64" i="5"/>
  <c r="F33" i="5"/>
  <c r="F34" i="5"/>
  <c r="J63" i="5"/>
  <c r="G18" i="5"/>
  <c r="P53" i="5"/>
  <c r="M53" i="5"/>
  <c r="N53" i="5" s="1"/>
  <c r="C50" i="5"/>
  <c r="C21" i="5"/>
  <c r="C20" i="5"/>
  <c r="G21" i="5"/>
  <c r="G20" i="5"/>
  <c r="H51" i="5"/>
  <c r="H8" i="5"/>
  <c r="O28" i="5"/>
  <c r="P28" i="5" s="1"/>
  <c r="D7" i="5"/>
  <c r="D51" i="5"/>
  <c r="D8" i="5"/>
  <c r="D11" i="5"/>
  <c r="R11" i="5"/>
  <c r="H13" i="5"/>
  <c r="C16" i="5"/>
  <c r="I21" i="5"/>
  <c r="O29" i="5"/>
  <c r="J31" i="5"/>
  <c r="I30" i="5"/>
  <c r="J30" i="5" s="1"/>
  <c r="E50" i="5"/>
  <c r="E21" i="5"/>
  <c r="I50" i="5"/>
  <c r="I20" i="5"/>
  <c r="J8" i="5"/>
  <c r="H53" i="5"/>
  <c r="L53" i="5"/>
  <c r="E16" i="5"/>
  <c r="J11" i="5"/>
  <c r="H12" i="5"/>
  <c r="D13" i="5"/>
  <c r="P13" i="5"/>
  <c r="J14" i="5"/>
  <c r="B15" i="5"/>
  <c r="T15" i="5" s="1"/>
  <c r="O15" i="5"/>
  <c r="G61" i="5"/>
  <c r="G40" i="5"/>
  <c r="H27" i="5"/>
  <c r="L28" i="5"/>
  <c r="H28" i="5"/>
  <c r="D28" i="5"/>
  <c r="J34" i="5"/>
  <c r="K21" i="5"/>
  <c r="K50" i="5"/>
  <c r="H7" i="5"/>
  <c r="J51" i="5"/>
  <c r="P8" i="5"/>
  <c r="F9" i="5"/>
  <c r="J9" i="5"/>
  <c r="P9" i="5"/>
  <c r="P34" i="5"/>
  <c r="J15" i="5"/>
  <c r="E20" i="5"/>
  <c r="B21" i="5"/>
  <c r="B50" i="5"/>
  <c r="F7" i="5"/>
  <c r="J7" i="5"/>
  <c r="F8" i="5"/>
  <c r="L51" i="5"/>
  <c r="L8" i="5"/>
  <c r="D9" i="5"/>
  <c r="H9" i="5"/>
  <c r="L9" i="5"/>
  <c r="E54" i="5"/>
  <c r="K10" i="5"/>
  <c r="O31" i="5"/>
  <c r="L11" i="5"/>
  <c r="F15" i="5"/>
  <c r="J13" i="5"/>
  <c r="L14" i="5"/>
  <c r="D15" i="5"/>
  <c r="I16" i="5"/>
  <c r="L17" i="5"/>
  <c r="H17" i="5"/>
  <c r="D17" i="5"/>
  <c r="B39" i="5"/>
  <c r="D33" i="5"/>
  <c r="C35" i="5"/>
  <c r="L33" i="5"/>
  <c r="K35" i="5"/>
  <c r="B40" i="5"/>
  <c r="B62" i="5" s="1"/>
  <c r="B65" i="5" s="1"/>
  <c r="G50" i="5"/>
  <c r="P11" i="5"/>
  <c r="B10" i="5"/>
  <c r="B54" i="5" s="1"/>
  <c r="J54" i="5" s="1"/>
  <c r="H11" i="5"/>
  <c r="Q31" i="5"/>
  <c r="L15" i="5"/>
  <c r="H14" i="5"/>
  <c r="P14" i="5"/>
  <c r="H15" i="5"/>
  <c r="L34" i="5"/>
  <c r="H34" i="5"/>
  <c r="D34" i="5"/>
  <c r="C61" i="5"/>
  <c r="C40" i="5"/>
  <c r="C30" i="5"/>
  <c r="D30" i="5" s="1"/>
  <c r="D31" i="5"/>
  <c r="K30" i="5"/>
  <c r="L30" i="5" s="1"/>
  <c r="L31" i="5"/>
  <c r="F32" i="5"/>
  <c r="J32" i="5"/>
  <c r="I35" i="5"/>
  <c r="B36" i="5"/>
  <c r="B38" i="5" s="1"/>
  <c r="P10" i="5"/>
  <c r="O12" i="5"/>
  <c r="L13" i="5"/>
  <c r="D27" i="5"/>
  <c r="I61" i="5"/>
  <c r="I39" i="5"/>
  <c r="J39" i="5" s="1"/>
  <c r="J27" i="5"/>
  <c r="I40" i="5"/>
  <c r="F31" i="5"/>
  <c r="E30" i="5"/>
  <c r="F30" i="5" s="1"/>
  <c r="H72" i="5"/>
  <c r="H64" i="5"/>
  <c r="L64" i="5"/>
  <c r="E36" i="5"/>
  <c r="D64" i="5"/>
  <c r="E61" i="5"/>
  <c r="E62" i="5" s="1"/>
  <c r="F62" i="5" s="1"/>
  <c r="E39" i="5"/>
  <c r="F39" i="5" s="1"/>
  <c r="F27" i="5"/>
  <c r="K61" i="5"/>
  <c r="K40" i="5"/>
  <c r="G30" i="5"/>
  <c r="H30" i="5" s="1"/>
  <c r="H31" i="5"/>
  <c r="B35" i="5"/>
  <c r="H35" i="5" s="1"/>
  <c r="E35" i="5"/>
  <c r="F35" i="5" s="1"/>
  <c r="J64" i="5"/>
  <c r="H8" i="4"/>
  <c r="H7" i="4"/>
  <c r="H6" i="4"/>
  <c r="D11" i="4"/>
  <c r="C11" i="4"/>
  <c r="E34" i="2"/>
  <c r="E33" i="2"/>
  <c r="E32" i="2"/>
  <c r="E31" i="2"/>
  <c r="E29" i="2"/>
  <c r="E28" i="2"/>
  <c r="E27" i="2"/>
  <c r="E61" i="2" s="1"/>
  <c r="E17" i="2"/>
  <c r="E14" i="2"/>
  <c r="E13" i="2"/>
  <c r="E12" i="2"/>
  <c r="E11" i="2"/>
  <c r="E9" i="2"/>
  <c r="D7" i="4" s="1"/>
  <c r="E8" i="2"/>
  <c r="E7" i="2"/>
  <c r="E50" i="2" s="1"/>
  <c r="E63" i="2"/>
  <c r="F44" i="2"/>
  <c r="C36" i="5" l="1"/>
  <c r="C38" i="5" s="1"/>
  <c r="D38" i="5" s="1"/>
  <c r="C39" i="5"/>
  <c r="D39" i="5" s="1"/>
  <c r="J35" i="5"/>
  <c r="L21" i="5"/>
  <c r="E15" i="2"/>
  <c r="D36" i="5"/>
  <c r="P31" i="5"/>
  <c r="B20" i="5"/>
  <c r="H20" i="5" s="1"/>
  <c r="H40" i="5"/>
  <c r="G62" i="5"/>
  <c r="D10" i="5"/>
  <c r="J20" i="5"/>
  <c r="O63" i="5"/>
  <c r="P29" i="5"/>
  <c r="C18" i="5"/>
  <c r="D54" i="5"/>
  <c r="N51" i="5"/>
  <c r="P51" i="5"/>
  <c r="D50" i="5"/>
  <c r="D55" i="5"/>
  <c r="I62" i="5"/>
  <c r="J62" i="5" s="1"/>
  <c r="J40" i="5"/>
  <c r="J10" i="5"/>
  <c r="K36" i="5"/>
  <c r="D40" i="5"/>
  <c r="C62" i="5"/>
  <c r="D62" i="5" s="1"/>
  <c r="T11" i="5"/>
  <c r="S31" i="5"/>
  <c r="L35" i="5"/>
  <c r="I18" i="5"/>
  <c r="K54" i="5"/>
  <c r="L54" i="5" s="1"/>
  <c r="L10" i="5"/>
  <c r="H69" i="5"/>
  <c r="H61" i="5"/>
  <c r="J55" i="5"/>
  <c r="J50" i="5"/>
  <c r="H21" i="5"/>
  <c r="S35" i="5"/>
  <c r="T35" i="5" s="1"/>
  <c r="L61" i="5"/>
  <c r="I69" i="5"/>
  <c r="B16" i="5"/>
  <c r="F16" i="5" s="1"/>
  <c r="G36" i="5"/>
  <c r="E38" i="5"/>
  <c r="F38" i="5" s="1"/>
  <c r="F36" i="5"/>
  <c r="P54" i="5"/>
  <c r="C65" i="5"/>
  <c r="D65" i="5" s="1"/>
  <c r="D61" i="5"/>
  <c r="R31" i="5"/>
  <c r="H54" i="5"/>
  <c r="F54" i="5"/>
  <c r="K20" i="5"/>
  <c r="L20" i="5" s="1"/>
  <c r="N54" i="5"/>
  <c r="G39" i="5"/>
  <c r="H39" i="5" s="1"/>
  <c r="E18" i="5"/>
  <c r="F21" i="5"/>
  <c r="F40" i="5"/>
  <c r="D20" i="5"/>
  <c r="I65" i="5"/>
  <c r="J65" i="5" s="1"/>
  <c r="J61" i="5"/>
  <c r="L40" i="5"/>
  <c r="K62" i="5"/>
  <c r="K65" i="5" s="1"/>
  <c r="E65" i="5"/>
  <c r="F65" i="5" s="1"/>
  <c r="F61" i="5"/>
  <c r="O32" i="5"/>
  <c r="O30" i="5" s="1"/>
  <c r="P30" i="5" s="1"/>
  <c r="P12" i="5"/>
  <c r="K39" i="5"/>
  <c r="L39" i="5" s="1"/>
  <c r="H50" i="5"/>
  <c r="D35" i="5"/>
  <c r="K16" i="5"/>
  <c r="F10" i="5"/>
  <c r="F20" i="5"/>
  <c r="H10" i="5"/>
  <c r="L50" i="5"/>
  <c r="L55" i="5"/>
  <c r="O35" i="5"/>
  <c r="Q15" i="5"/>
  <c r="P15" i="5"/>
  <c r="F55" i="5"/>
  <c r="F50" i="5"/>
  <c r="I36" i="5"/>
  <c r="J21" i="5"/>
  <c r="D21" i="5"/>
  <c r="E35" i="2"/>
  <c r="E40" i="2"/>
  <c r="D6" i="4"/>
  <c r="D5" i="4"/>
  <c r="E64" i="2"/>
  <c r="E30" i="2"/>
  <c r="E39" i="2" s="1"/>
  <c r="E10" i="2"/>
  <c r="E16" i="2" s="1"/>
  <c r="E53" i="2"/>
  <c r="E21" i="2"/>
  <c r="A73" i="2"/>
  <c r="A72" i="2"/>
  <c r="A71" i="2"/>
  <c r="A70" i="2"/>
  <c r="A69" i="2"/>
  <c r="B63" i="2"/>
  <c r="F63" i="2" s="1"/>
  <c r="C63" i="2"/>
  <c r="G63" i="2"/>
  <c r="H71" i="2" s="1"/>
  <c r="I63" i="2"/>
  <c r="K63" i="2"/>
  <c r="K34" i="2"/>
  <c r="I34" i="2"/>
  <c r="G34" i="2"/>
  <c r="C34" i="2"/>
  <c r="C33" i="2"/>
  <c r="B34" i="2"/>
  <c r="F34" i="2" s="1"/>
  <c r="B33" i="2"/>
  <c r="K14" i="2"/>
  <c r="I14" i="2"/>
  <c r="G14" i="2"/>
  <c r="C14" i="2"/>
  <c r="C13" i="2"/>
  <c r="B14" i="2"/>
  <c r="F14" i="2" s="1"/>
  <c r="B13" i="2"/>
  <c r="H44" i="2"/>
  <c r="J16" i="5" l="1"/>
  <c r="D16" i="5"/>
  <c r="H36" i="5"/>
  <c r="G38" i="5"/>
  <c r="H38" i="5" s="1"/>
  <c r="K38" i="5"/>
  <c r="L38" i="5" s="1"/>
  <c r="L36" i="5"/>
  <c r="H70" i="5"/>
  <c r="H62" i="5"/>
  <c r="I38" i="5"/>
  <c r="J38" i="5" s="1"/>
  <c r="J36" i="5"/>
  <c r="Q35" i="5"/>
  <c r="R35" i="5" s="1"/>
  <c r="R15" i="5"/>
  <c r="I70" i="5"/>
  <c r="L62" i="5"/>
  <c r="G65" i="5"/>
  <c r="L71" i="5"/>
  <c r="M63" i="5"/>
  <c r="P63" i="5"/>
  <c r="I73" i="5"/>
  <c r="L65" i="5"/>
  <c r="L16" i="5"/>
  <c r="K18" i="5"/>
  <c r="B18" i="5"/>
  <c r="J18" i="5" s="1"/>
  <c r="H16" i="5"/>
  <c r="P35" i="5"/>
  <c r="O33" i="5"/>
  <c r="P33" i="5" s="1"/>
  <c r="H55" i="5"/>
  <c r="O64" i="5"/>
  <c r="P32" i="5"/>
  <c r="F18" i="5"/>
  <c r="T31" i="5"/>
  <c r="C35" i="2"/>
  <c r="F33" i="2"/>
  <c r="B35" i="2"/>
  <c r="F35" i="2" s="1"/>
  <c r="C15" i="2"/>
  <c r="F13" i="2"/>
  <c r="B15" i="2"/>
  <c r="E36" i="2"/>
  <c r="E20" i="2"/>
  <c r="D8" i="4"/>
  <c r="E62" i="2"/>
  <c r="E54" i="2"/>
  <c r="E18" i="2"/>
  <c r="I71" i="2"/>
  <c r="J34" i="2"/>
  <c r="D34" i="2"/>
  <c r="H34" i="2"/>
  <c r="J14" i="2"/>
  <c r="L34" i="2"/>
  <c r="D14" i="2"/>
  <c r="H14" i="2"/>
  <c r="L14" i="2"/>
  <c r="K33" i="2"/>
  <c r="K35" i="2" s="1"/>
  <c r="I33" i="2"/>
  <c r="I35" i="2" s="1"/>
  <c r="J35" i="2" s="1"/>
  <c r="G33" i="2"/>
  <c r="G35" i="2" s="1"/>
  <c r="K32" i="2"/>
  <c r="K64" i="2" s="1"/>
  <c r="I32" i="2"/>
  <c r="I64" i="2" s="1"/>
  <c r="G32" i="2"/>
  <c r="G64" i="2" s="1"/>
  <c r="H72" i="2" s="1"/>
  <c r="C32" i="2"/>
  <c r="C64" i="2" s="1"/>
  <c r="B32" i="2"/>
  <c r="K31" i="2"/>
  <c r="I31" i="2"/>
  <c r="G31" i="2"/>
  <c r="C31" i="2"/>
  <c r="B31" i="2"/>
  <c r="F31" i="2" s="1"/>
  <c r="K29" i="2"/>
  <c r="I29" i="2"/>
  <c r="G29" i="2"/>
  <c r="C29" i="2"/>
  <c r="B29" i="2"/>
  <c r="F29" i="2" s="1"/>
  <c r="K28" i="2"/>
  <c r="I28" i="2"/>
  <c r="G28" i="2"/>
  <c r="C28" i="2"/>
  <c r="B28" i="2"/>
  <c r="F28" i="2" s="1"/>
  <c r="K27" i="2"/>
  <c r="K61" i="2" s="1"/>
  <c r="I27" i="2"/>
  <c r="I61" i="2" s="1"/>
  <c r="G27" i="2"/>
  <c r="G61" i="2" s="1"/>
  <c r="H69" i="2" s="1"/>
  <c r="C27" i="2"/>
  <c r="C61" i="2" s="1"/>
  <c r="B27" i="2"/>
  <c r="O13" i="2"/>
  <c r="O10" i="2"/>
  <c r="O54" i="2" s="1"/>
  <c r="M54" i="2" s="1"/>
  <c r="O9" i="2"/>
  <c r="O53" i="2" s="1"/>
  <c r="M53" i="2" s="1"/>
  <c r="O8" i="2"/>
  <c r="K17" i="2"/>
  <c r="I17" i="2"/>
  <c r="G17" i="2"/>
  <c r="C17" i="2"/>
  <c r="B17" i="2"/>
  <c r="F17" i="2" s="1"/>
  <c r="K13" i="2"/>
  <c r="I13" i="2"/>
  <c r="I15" i="2" s="1"/>
  <c r="J15" i="2" s="1"/>
  <c r="G13" i="2"/>
  <c r="G15" i="2" s="1"/>
  <c r="H15" i="2" s="1"/>
  <c r="K12" i="2"/>
  <c r="I12" i="2"/>
  <c r="G12" i="2"/>
  <c r="C12" i="2"/>
  <c r="K11" i="2"/>
  <c r="I11" i="2"/>
  <c r="G11" i="2"/>
  <c r="G10" i="2" s="1"/>
  <c r="G54" i="2" s="1"/>
  <c r="C11" i="2"/>
  <c r="B12" i="2"/>
  <c r="F12" i="2" s="1"/>
  <c r="B11" i="2"/>
  <c r="F11" i="2" s="1"/>
  <c r="K9" i="2"/>
  <c r="I9" i="2"/>
  <c r="I53" i="2" s="1"/>
  <c r="G9" i="2"/>
  <c r="G53" i="2" s="1"/>
  <c r="C9" i="2"/>
  <c r="B9" i="2"/>
  <c r="K8" i="2"/>
  <c r="I8" i="2"/>
  <c r="G8" i="2"/>
  <c r="C8" i="2"/>
  <c r="B8" i="2"/>
  <c r="K7" i="2"/>
  <c r="I7" i="2"/>
  <c r="I50" i="2" s="1"/>
  <c r="G7" i="2"/>
  <c r="G50" i="2" s="1"/>
  <c r="C7" i="2"/>
  <c r="B7" i="2"/>
  <c r="L18" i="5" l="1"/>
  <c r="D18" i="5"/>
  <c r="L35" i="2"/>
  <c r="Q18" i="5"/>
  <c r="S18" i="5"/>
  <c r="O18" i="5"/>
  <c r="O16" i="5" s="1"/>
  <c r="H18" i="5"/>
  <c r="N63" i="5"/>
  <c r="K71" i="5"/>
  <c r="H73" i="5"/>
  <c r="H65" i="5"/>
  <c r="P64" i="5"/>
  <c r="L72" i="5"/>
  <c r="M64" i="5"/>
  <c r="H35" i="2"/>
  <c r="D35" i="2"/>
  <c r="O14" i="2"/>
  <c r="O15" i="2" s="1"/>
  <c r="O35" i="2" s="1"/>
  <c r="P35" i="2" s="1"/>
  <c r="K15" i="2"/>
  <c r="T15" i="2"/>
  <c r="F15" i="2"/>
  <c r="D15" i="2"/>
  <c r="L63" i="2"/>
  <c r="F9" i="2"/>
  <c r="B7" i="4"/>
  <c r="D10" i="4"/>
  <c r="C50" i="2"/>
  <c r="C5" i="4"/>
  <c r="F51" i="2"/>
  <c r="B6" i="4"/>
  <c r="F8" i="2"/>
  <c r="E6" i="4"/>
  <c r="B61" i="2"/>
  <c r="F61" i="2" s="1"/>
  <c r="F27" i="2"/>
  <c r="B64" i="2"/>
  <c r="F64" i="2" s="1"/>
  <c r="F32" i="2"/>
  <c r="C6" i="4"/>
  <c r="K53" i="2"/>
  <c r="E7" i="4"/>
  <c r="C53" i="2"/>
  <c r="C7" i="4"/>
  <c r="B50" i="2"/>
  <c r="B5" i="4"/>
  <c r="F7" i="2"/>
  <c r="K50" i="2"/>
  <c r="E5" i="4"/>
  <c r="E38" i="2"/>
  <c r="E65" i="2"/>
  <c r="B10" i="2"/>
  <c r="B20" i="2" s="1"/>
  <c r="F20" i="2" s="1"/>
  <c r="I10" i="2"/>
  <c r="I54" i="2" s="1"/>
  <c r="I69" i="2"/>
  <c r="I72" i="2"/>
  <c r="O34" i="2"/>
  <c r="H63" i="2"/>
  <c r="D63" i="2"/>
  <c r="J63" i="2"/>
  <c r="B40" i="2"/>
  <c r="L9" i="2"/>
  <c r="B53" i="2"/>
  <c r="C40" i="2"/>
  <c r="G40" i="2"/>
  <c r="K40" i="2"/>
  <c r="K62" i="2" s="1"/>
  <c r="I40" i="2"/>
  <c r="I62" i="2" s="1"/>
  <c r="J50" i="2"/>
  <c r="I21" i="2"/>
  <c r="B21" i="2"/>
  <c r="F21" i="2" s="1"/>
  <c r="K21" i="2"/>
  <c r="C21" i="2"/>
  <c r="G21" i="2"/>
  <c r="G20" i="2"/>
  <c r="C10" i="2"/>
  <c r="O29" i="2"/>
  <c r="O63" i="2" s="1"/>
  <c r="P63" i="2" s="1"/>
  <c r="H8" i="2"/>
  <c r="B30" i="2"/>
  <c r="K30" i="2"/>
  <c r="K36" i="2" s="1"/>
  <c r="K38" i="2" s="1"/>
  <c r="H31" i="2"/>
  <c r="L7" i="2"/>
  <c r="H29" i="2"/>
  <c r="C30" i="2"/>
  <c r="C36" i="2" s="1"/>
  <c r="L8" i="2"/>
  <c r="O28" i="2"/>
  <c r="K10" i="2"/>
  <c r="E8" i="4" s="1"/>
  <c r="O31" i="2"/>
  <c r="I30" i="2"/>
  <c r="I39" i="2" s="1"/>
  <c r="G30" i="2"/>
  <c r="H33" i="2"/>
  <c r="L33" i="2"/>
  <c r="L31" i="2"/>
  <c r="L29" i="2"/>
  <c r="H28" i="2"/>
  <c r="L28" i="2"/>
  <c r="L27" i="2"/>
  <c r="H27" i="2"/>
  <c r="L17" i="2"/>
  <c r="H17" i="2"/>
  <c r="H13" i="2"/>
  <c r="L13" i="2"/>
  <c r="L11" i="2"/>
  <c r="H11" i="2"/>
  <c r="H9" i="2"/>
  <c r="H7" i="2"/>
  <c r="G16" i="2"/>
  <c r="G18" i="2" s="1"/>
  <c r="J32" i="2"/>
  <c r="J31" i="2"/>
  <c r="D31" i="2"/>
  <c r="P11" i="2"/>
  <c r="J11" i="2"/>
  <c r="D11" i="2"/>
  <c r="Q11" i="2"/>
  <c r="Q31" i="2" s="1"/>
  <c r="R31" i="2" s="1"/>
  <c r="O12" i="2"/>
  <c r="O32" i="2" s="1"/>
  <c r="O64" i="2" s="1"/>
  <c r="H64" i="2" l="1"/>
  <c r="L64" i="2"/>
  <c r="J64" i="2"/>
  <c r="K16" i="2"/>
  <c r="K18" i="2" s="1"/>
  <c r="E10" i="4" s="1"/>
  <c r="N51" i="2"/>
  <c r="H30" i="2"/>
  <c r="K72" i="5"/>
  <c r="N64" i="5"/>
  <c r="O7" i="5"/>
  <c r="P16" i="5"/>
  <c r="S17" i="5"/>
  <c r="T17" i="5" s="1"/>
  <c r="Q17" i="5"/>
  <c r="R17" i="5" s="1"/>
  <c r="I20" i="2"/>
  <c r="L15" i="2"/>
  <c r="S35" i="2"/>
  <c r="T35" i="2" s="1"/>
  <c r="L51" i="2"/>
  <c r="P34" i="2"/>
  <c r="O33" i="2"/>
  <c r="D50" i="2"/>
  <c r="H50" i="2"/>
  <c r="D64" i="2"/>
  <c r="Q15" i="2"/>
  <c r="P15" i="2"/>
  <c r="E9" i="4"/>
  <c r="B39" i="2"/>
  <c r="F39" i="2" s="1"/>
  <c r="F30" i="2"/>
  <c r="D53" i="2"/>
  <c r="F53" i="2"/>
  <c r="B62" i="2"/>
  <c r="J62" i="2" s="1"/>
  <c r="F40" i="2"/>
  <c r="D9" i="4"/>
  <c r="H51" i="2"/>
  <c r="D51" i="2"/>
  <c r="J51" i="2"/>
  <c r="C16" i="2"/>
  <c r="C8" i="4"/>
  <c r="P51" i="2"/>
  <c r="B54" i="2"/>
  <c r="B8" i="4"/>
  <c r="F10" i="2"/>
  <c r="L50" i="2"/>
  <c r="F50" i="2"/>
  <c r="D40" i="2"/>
  <c r="C62" i="2"/>
  <c r="H40" i="2"/>
  <c r="G62" i="2"/>
  <c r="H70" i="2" s="1"/>
  <c r="L72" i="2"/>
  <c r="P64" i="2"/>
  <c r="L71" i="2"/>
  <c r="M63" i="2"/>
  <c r="J61" i="2"/>
  <c r="I65" i="2"/>
  <c r="L62" i="2"/>
  <c r="K39" i="2"/>
  <c r="N53" i="2"/>
  <c r="P53" i="2"/>
  <c r="K20" i="2"/>
  <c r="L20" i="2" s="1"/>
  <c r="K54" i="2"/>
  <c r="H61" i="2"/>
  <c r="L53" i="2"/>
  <c r="H53" i="2"/>
  <c r="J53" i="2"/>
  <c r="G39" i="2"/>
  <c r="C20" i="2"/>
  <c r="C54" i="2"/>
  <c r="J40" i="2"/>
  <c r="L40" i="2"/>
  <c r="C39" i="2"/>
  <c r="S11" i="2"/>
  <c r="T11" i="2" s="1"/>
  <c r="R11" i="2"/>
  <c r="D21" i="2"/>
  <c r="H20" i="2"/>
  <c r="J20" i="2"/>
  <c r="H21" i="2"/>
  <c r="L21" i="2"/>
  <c r="J21" i="2"/>
  <c r="O30" i="2"/>
  <c r="L30" i="2"/>
  <c r="P31" i="2"/>
  <c r="G36" i="2"/>
  <c r="G38" i="2" s="1"/>
  <c r="B36" i="2"/>
  <c r="F36" i="2" s="1"/>
  <c r="L32" i="2"/>
  <c r="H32" i="2"/>
  <c r="I16" i="2"/>
  <c r="I36" i="2"/>
  <c r="P32" i="2"/>
  <c r="D32" i="2"/>
  <c r="W2" i="3"/>
  <c r="I9" i="3"/>
  <c r="I10" i="3" s="1"/>
  <c r="I11" i="3" s="1"/>
  <c r="I6" i="3"/>
  <c r="U2" i="3"/>
  <c r="Z2" i="3"/>
  <c r="Y2" i="3"/>
  <c r="X2" i="3"/>
  <c r="V2" i="3"/>
  <c r="T2" i="3"/>
  <c r="F11" i="3"/>
  <c r="F9" i="3"/>
  <c r="F6" i="3"/>
  <c r="G9" i="3"/>
  <c r="G8" i="3"/>
  <c r="G6" i="3"/>
  <c r="G5" i="3"/>
  <c r="G10" i="3" s="1"/>
  <c r="H39" i="2" l="1"/>
  <c r="Q16" i="5"/>
  <c r="O44" i="5"/>
  <c r="P44" i="5" s="1"/>
  <c r="O50" i="5"/>
  <c r="O21" i="5"/>
  <c r="P21" i="5" s="1"/>
  <c r="O20" i="5"/>
  <c r="P20" i="5" s="1"/>
  <c r="O27" i="5"/>
  <c r="P7" i="5"/>
  <c r="R16" i="5"/>
  <c r="Q9" i="5"/>
  <c r="Q12" i="5"/>
  <c r="Q8" i="5"/>
  <c r="Q14" i="5"/>
  <c r="Q7" i="5"/>
  <c r="S16" i="5"/>
  <c r="R15" i="2"/>
  <c r="Q35" i="2"/>
  <c r="R35" i="2" s="1"/>
  <c r="D62" i="2"/>
  <c r="J39" i="2"/>
  <c r="N54" i="2"/>
  <c r="F54" i="2"/>
  <c r="P54" i="2"/>
  <c r="D39" i="2"/>
  <c r="L39" i="2"/>
  <c r="B65" i="2"/>
  <c r="F65" i="2" s="1"/>
  <c r="F62" i="2"/>
  <c r="G65" i="2"/>
  <c r="H73" i="2" s="1"/>
  <c r="K71" i="2"/>
  <c r="N63" i="2"/>
  <c r="M64" i="2"/>
  <c r="S31" i="2"/>
  <c r="T31" i="2" s="1"/>
  <c r="H62" i="2"/>
  <c r="I70" i="2"/>
  <c r="L61" i="2"/>
  <c r="K65" i="2"/>
  <c r="D20" i="2"/>
  <c r="H36" i="2"/>
  <c r="L36" i="2"/>
  <c r="I12" i="3"/>
  <c r="I15" i="3" s="1"/>
  <c r="G11" i="3"/>
  <c r="G12" i="3" s="1"/>
  <c r="G15" i="3" s="1"/>
  <c r="O5" i="3"/>
  <c r="O8" i="3"/>
  <c r="O6" i="3"/>
  <c r="K8" i="3"/>
  <c r="K6" i="3"/>
  <c r="K5" i="3"/>
  <c r="N8" i="3"/>
  <c r="N6" i="3"/>
  <c r="N5" i="3"/>
  <c r="H5" i="3"/>
  <c r="H8" i="3"/>
  <c r="H6" i="3"/>
  <c r="H9" i="3"/>
  <c r="L9" i="3"/>
  <c r="W9" i="3" s="1"/>
  <c r="L8" i="3"/>
  <c r="W8" i="3" s="1"/>
  <c r="L7" i="3"/>
  <c r="W7" i="3" s="1"/>
  <c r="L6" i="3"/>
  <c r="W6" i="3" s="1"/>
  <c r="J6" i="3"/>
  <c r="J9" i="3"/>
  <c r="J8" i="3"/>
  <c r="J5" i="3"/>
  <c r="D10" i="3"/>
  <c r="C10" i="3"/>
  <c r="C12" i="3" s="1"/>
  <c r="C15" i="3" s="1"/>
  <c r="B10" i="3"/>
  <c r="B12" i="3" s="1"/>
  <c r="S50" i="5" l="1"/>
  <c r="Q44" i="5"/>
  <c r="R44" i="5" s="1"/>
  <c r="Q21" i="5"/>
  <c r="R21" i="5" s="1"/>
  <c r="Q27" i="5"/>
  <c r="R7" i="5"/>
  <c r="Q34" i="5"/>
  <c r="R14" i="5"/>
  <c r="Q13" i="5"/>
  <c r="R13" i="5" s="1"/>
  <c r="S53" i="5"/>
  <c r="Q29" i="5"/>
  <c r="R9" i="5"/>
  <c r="Q28" i="5"/>
  <c r="R28" i="5" s="1"/>
  <c r="R8" i="5"/>
  <c r="P50" i="5"/>
  <c r="P55" i="5"/>
  <c r="Q50" i="5"/>
  <c r="M50" i="5"/>
  <c r="S14" i="5"/>
  <c r="S12" i="5"/>
  <c r="S9" i="5"/>
  <c r="S8" i="5"/>
  <c r="T16" i="5"/>
  <c r="S7" i="5"/>
  <c r="Q32" i="5"/>
  <c r="R12" i="5"/>
  <c r="Q10" i="5"/>
  <c r="O39" i="5"/>
  <c r="P39" i="5" s="1"/>
  <c r="P27" i="5"/>
  <c r="O61" i="5"/>
  <c r="O36" i="5"/>
  <c r="O40" i="5"/>
  <c r="H65" i="2"/>
  <c r="J65" i="2"/>
  <c r="L65" i="2"/>
  <c r="I73" i="2"/>
  <c r="K72" i="2"/>
  <c r="N64" i="2"/>
  <c r="C65" i="2"/>
  <c r="D65" i="2" s="1"/>
  <c r="D61" i="2"/>
  <c r="Z7" i="3"/>
  <c r="U7" i="3"/>
  <c r="Z8" i="3"/>
  <c r="U8" i="3"/>
  <c r="K9" i="3"/>
  <c r="Y9" i="3" s="1"/>
  <c r="U9" i="3"/>
  <c r="Z6" i="3"/>
  <c r="U6" i="3"/>
  <c r="T9" i="3"/>
  <c r="T6" i="3"/>
  <c r="V6" i="3"/>
  <c r="X6" i="3"/>
  <c r="Y6" i="3"/>
  <c r="X9" i="3"/>
  <c r="Z9" i="3"/>
  <c r="T7" i="3"/>
  <c r="V7" i="3"/>
  <c r="X7" i="3"/>
  <c r="Y7" i="3"/>
  <c r="V9" i="3"/>
  <c r="T8" i="3"/>
  <c r="V8" i="3"/>
  <c r="X8" i="3"/>
  <c r="Y8" i="3"/>
  <c r="J10" i="3"/>
  <c r="J11" i="3" s="1"/>
  <c r="H10" i="3"/>
  <c r="F10" i="3"/>
  <c r="D12" i="3"/>
  <c r="D15" i="3" s="1"/>
  <c r="D13" i="2"/>
  <c r="D9" i="2"/>
  <c r="D8" i="2"/>
  <c r="D7" i="2"/>
  <c r="D33" i="2"/>
  <c r="D30" i="2"/>
  <c r="D29" i="2"/>
  <c r="D28" i="2"/>
  <c r="D27" i="2"/>
  <c r="O38" i="5" l="1"/>
  <c r="P38" i="5" s="1"/>
  <c r="P36" i="5"/>
  <c r="S54" i="5"/>
  <c r="R10" i="5"/>
  <c r="S34" i="5"/>
  <c r="T14" i="5"/>
  <c r="S13" i="5"/>
  <c r="T13" i="5" s="1"/>
  <c r="S61" i="5"/>
  <c r="Q61" i="5" s="1"/>
  <c r="R27" i="5"/>
  <c r="Q40" i="5"/>
  <c r="Q33" i="5"/>
  <c r="R33" i="5" s="1"/>
  <c r="R34" i="5"/>
  <c r="S64" i="5"/>
  <c r="R32" i="5"/>
  <c r="Q30" i="5"/>
  <c r="R30" i="5" s="1"/>
  <c r="W53" i="5"/>
  <c r="X53" i="5" s="1"/>
  <c r="S29" i="5"/>
  <c r="T9" i="5"/>
  <c r="R50" i="5"/>
  <c r="U53" i="5"/>
  <c r="V53" i="5" s="1"/>
  <c r="T53" i="5"/>
  <c r="Q53" i="5"/>
  <c r="R53" i="5" s="1"/>
  <c r="L69" i="5"/>
  <c r="P61" i="5"/>
  <c r="M61" i="5"/>
  <c r="X51" i="5"/>
  <c r="S28" i="5"/>
  <c r="T28" i="5" s="1"/>
  <c r="T8" i="5"/>
  <c r="N55" i="5"/>
  <c r="N50" i="5"/>
  <c r="U51" i="5"/>
  <c r="T51" i="5"/>
  <c r="Q51" i="5"/>
  <c r="S63" i="5"/>
  <c r="R29" i="5"/>
  <c r="O62" i="5"/>
  <c r="P40" i="5"/>
  <c r="S44" i="5"/>
  <c r="T44" i="5" s="1"/>
  <c r="S27" i="5"/>
  <c r="W50" i="5"/>
  <c r="U50" i="5" s="1"/>
  <c r="S21" i="5"/>
  <c r="T21" i="5" s="1"/>
  <c r="T7" i="5"/>
  <c r="S32" i="5"/>
  <c r="T12" i="5"/>
  <c r="S10" i="5"/>
  <c r="Q20" i="5"/>
  <c r="R20" i="5" s="1"/>
  <c r="T50" i="5"/>
  <c r="T55" i="5"/>
  <c r="K10" i="3"/>
  <c r="J12" i="3"/>
  <c r="J15" i="3" s="1"/>
  <c r="D44" i="2"/>
  <c r="D17" i="2"/>
  <c r="V51" i="5" l="1"/>
  <c r="U55" i="5"/>
  <c r="R51" i="5"/>
  <c r="Q55" i="5"/>
  <c r="Q36" i="5"/>
  <c r="V50" i="5"/>
  <c r="M69" i="5"/>
  <c r="R61" i="5"/>
  <c r="S40" i="5"/>
  <c r="T27" i="5"/>
  <c r="W61" i="5"/>
  <c r="R40" i="5"/>
  <c r="S62" i="5"/>
  <c r="Q62" i="5" s="1"/>
  <c r="R36" i="5"/>
  <c r="Q38" i="5"/>
  <c r="R38" i="5" s="1"/>
  <c r="W54" i="5"/>
  <c r="X54" i="5" s="1"/>
  <c r="T10" i="5"/>
  <c r="S20" i="5"/>
  <c r="T20" i="5" s="1"/>
  <c r="N71" i="5"/>
  <c r="T63" i="5"/>
  <c r="Q63" i="5"/>
  <c r="W63" i="5"/>
  <c r="T29" i="5"/>
  <c r="T64" i="5"/>
  <c r="N72" i="5"/>
  <c r="Q64" i="5"/>
  <c r="T54" i="5"/>
  <c r="Q54" i="5"/>
  <c r="R54" i="5" s="1"/>
  <c r="X50" i="5"/>
  <c r="K69" i="5"/>
  <c r="N61" i="5"/>
  <c r="Q39" i="5"/>
  <c r="R39" i="5" s="1"/>
  <c r="W64" i="5"/>
  <c r="U64" i="5" s="1"/>
  <c r="T32" i="5"/>
  <c r="S30" i="5"/>
  <c r="T30" i="5" s="1"/>
  <c r="L70" i="5"/>
  <c r="P62" i="5"/>
  <c r="M62" i="5"/>
  <c r="M65" i="5" s="1"/>
  <c r="O65" i="5"/>
  <c r="U61" i="5"/>
  <c r="N69" i="5"/>
  <c r="S65" i="5"/>
  <c r="T61" i="5"/>
  <c r="S33" i="5"/>
  <c r="T33" i="5" s="1"/>
  <c r="T34" i="5"/>
  <c r="F12" i="3"/>
  <c r="F15" i="3" s="1"/>
  <c r="H11" i="3"/>
  <c r="C38" i="2"/>
  <c r="C18" i="2"/>
  <c r="C10" i="4" s="1"/>
  <c r="P28" i="2"/>
  <c r="P33" i="2"/>
  <c r="P29" i="2"/>
  <c r="P9" i="2"/>
  <c r="I38" i="2"/>
  <c r="B38" i="2"/>
  <c r="F38" i="2" s="1"/>
  <c r="J33" i="2"/>
  <c r="P30" i="2"/>
  <c r="J30" i="2"/>
  <c r="J29" i="2"/>
  <c r="J28" i="2"/>
  <c r="J27" i="2"/>
  <c r="L44" i="2"/>
  <c r="J44" i="2"/>
  <c r="J17" i="2"/>
  <c r="P8" i="2"/>
  <c r="P13" i="2"/>
  <c r="P17" i="2"/>
  <c r="O17" i="2"/>
  <c r="L11" i="3" s="1"/>
  <c r="J8" i="2"/>
  <c r="J13" i="2"/>
  <c r="J9" i="2"/>
  <c r="J7" i="2"/>
  <c r="I18" i="2"/>
  <c r="X55" i="5" l="1"/>
  <c r="S39" i="5"/>
  <c r="T39" i="5" s="1"/>
  <c r="U54" i="5"/>
  <c r="V54" i="5" s="1"/>
  <c r="P71" i="5"/>
  <c r="X63" i="5"/>
  <c r="N73" i="5"/>
  <c r="T65" i="5"/>
  <c r="L73" i="5"/>
  <c r="P65" i="5"/>
  <c r="R62" i="5"/>
  <c r="M70" i="5"/>
  <c r="U63" i="5"/>
  <c r="T62" i="5"/>
  <c r="N70" i="5"/>
  <c r="K70" i="5"/>
  <c r="N62" i="5"/>
  <c r="M72" i="5"/>
  <c r="R64" i="5"/>
  <c r="W62" i="5"/>
  <c r="U62" i="5" s="1"/>
  <c r="T40" i="5"/>
  <c r="Q65" i="5"/>
  <c r="V61" i="5"/>
  <c r="O69" i="5"/>
  <c r="V64" i="5"/>
  <c r="O72" i="5"/>
  <c r="P69" i="5"/>
  <c r="X61" i="5"/>
  <c r="W65" i="5"/>
  <c r="R55" i="5"/>
  <c r="X64" i="5"/>
  <c r="P72" i="5"/>
  <c r="K73" i="5"/>
  <c r="N65" i="5"/>
  <c r="R63" i="5"/>
  <c r="M71" i="5"/>
  <c r="S36" i="5"/>
  <c r="C9" i="4"/>
  <c r="V11" i="3"/>
  <c r="W11" i="3"/>
  <c r="Z11" i="3"/>
  <c r="X11" i="3"/>
  <c r="K11" i="3"/>
  <c r="U11" i="3"/>
  <c r="T11" i="3"/>
  <c r="L38" i="2"/>
  <c r="H38" i="2"/>
  <c r="D38" i="2"/>
  <c r="D36" i="2"/>
  <c r="H12" i="3"/>
  <c r="J36" i="2"/>
  <c r="J38" i="2"/>
  <c r="V55" i="5" l="1"/>
  <c r="U65" i="5"/>
  <c r="V65" i="5" s="1"/>
  <c r="O73" i="5"/>
  <c r="O70" i="5"/>
  <c r="V62" i="5"/>
  <c r="T36" i="5"/>
  <c r="S38" i="5"/>
  <c r="T38" i="5" s="1"/>
  <c r="P73" i="5"/>
  <c r="X65" i="5"/>
  <c r="M73" i="5"/>
  <c r="R65" i="5"/>
  <c r="P70" i="5"/>
  <c r="X62" i="5"/>
  <c r="O71" i="5"/>
  <c r="V63" i="5"/>
  <c r="Y11" i="3"/>
  <c r="K12" i="3"/>
  <c r="K15" i="3" s="1"/>
  <c r="H15" i="3"/>
  <c r="H12" i="2"/>
  <c r="D12" i="2"/>
  <c r="L12" i="2"/>
  <c r="P12" i="2"/>
  <c r="J12" i="2"/>
  <c r="L10" i="2"/>
  <c r="H10" i="2"/>
  <c r="B16" i="2"/>
  <c r="D16" i="2" l="1"/>
  <c r="F16" i="2"/>
  <c r="L16" i="2"/>
  <c r="B18" i="2"/>
  <c r="J16" i="2"/>
  <c r="J10" i="2"/>
  <c r="H16" i="2"/>
  <c r="P10" i="2"/>
  <c r="D10" i="2"/>
  <c r="D18" i="2" l="1"/>
  <c r="B10" i="4"/>
  <c r="F18" i="2"/>
  <c r="O18" i="2"/>
  <c r="S18" i="2"/>
  <c r="H18" i="2"/>
  <c r="Q18" i="2"/>
  <c r="J18" i="2"/>
  <c r="L18" i="2"/>
  <c r="O16" i="2" l="1"/>
  <c r="P14" i="2" s="1"/>
  <c r="H10" i="4"/>
  <c r="Q17" i="2"/>
  <c r="Q16" i="2" s="1"/>
  <c r="B9" i="4"/>
  <c r="E13" i="4"/>
  <c r="D13" i="4"/>
  <c r="C13" i="4"/>
  <c r="S17" i="2"/>
  <c r="P11" i="3" s="1"/>
  <c r="K10" i="4"/>
  <c r="P16" i="2"/>
  <c r="O7" i="2"/>
  <c r="R17" i="2"/>
  <c r="Q14" i="2" l="1"/>
  <c r="Q9" i="2"/>
  <c r="Q12" i="2"/>
  <c r="Q32" i="2" s="1"/>
  <c r="Q7" i="2"/>
  <c r="S50" i="2" s="1"/>
  <c r="T50" i="2" s="1"/>
  <c r="Q8" i="2"/>
  <c r="S16" i="2"/>
  <c r="T17" i="2"/>
  <c r="O27" i="2"/>
  <c r="O61" i="2" s="1"/>
  <c r="L69" i="2" s="1"/>
  <c r="H5" i="4"/>
  <c r="H9" i="4" s="1"/>
  <c r="H13" i="4"/>
  <c r="K13" i="4"/>
  <c r="P7" i="2"/>
  <c r="O21" i="2"/>
  <c r="O50" i="2"/>
  <c r="L5" i="3"/>
  <c r="X5" i="3" s="1"/>
  <c r="O20" i="2"/>
  <c r="O44" i="2"/>
  <c r="O11" i="3"/>
  <c r="AC11" i="3" s="1"/>
  <c r="N11" i="3"/>
  <c r="AB11" i="3" s="1"/>
  <c r="AD11" i="3"/>
  <c r="T16" i="2"/>
  <c r="R16" i="2"/>
  <c r="O40" i="2" l="1"/>
  <c r="P27" i="2"/>
  <c r="S14" i="2"/>
  <c r="S7" i="2"/>
  <c r="S8" i="2"/>
  <c r="S12" i="2"/>
  <c r="S32" i="2" s="1"/>
  <c r="S30" i="2" s="1"/>
  <c r="S9" i="2"/>
  <c r="K7" i="4" s="1"/>
  <c r="O36" i="2"/>
  <c r="O38" i="2" s="1"/>
  <c r="P38" i="2" s="1"/>
  <c r="V5" i="3"/>
  <c r="O39" i="2"/>
  <c r="P39" i="2" s="1"/>
  <c r="Q30" i="2"/>
  <c r="S64" i="2"/>
  <c r="P40" i="2"/>
  <c r="O62" i="2"/>
  <c r="L10" i="3"/>
  <c r="Z10" i="3" s="1"/>
  <c r="Q28" i="2"/>
  <c r="R28" i="2" s="1"/>
  <c r="U5" i="3"/>
  <c r="Y5" i="3"/>
  <c r="P20" i="2"/>
  <c r="Q29" i="2"/>
  <c r="S63" i="2" s="1"/>
  <c r="S53" i="2"/>
  <c r="T5" i="3"/>
  <c r="Z5" i="3"/>
  <c r="Q50" i="2"/>
  <c r="M50" i="2"/>
  <c r="M61" i="2" s="1"/>
  <c r="K69" i="2" s="1"/>
  <c r="P50" i="2"/>
  <c r="W5" i="3"/>
  <c r="P21" i="2"/>
  <c r="P44" i="2"/>
  <c r="Q27" i="2"/>
  <c r="S61" i="2" s="1"/>
  <c r="N69" i="2" s="1"/>
  <c r="Q44" i="2"/>
  <c r="R44" i="2" s="1"/>
  <c r="R7" i="2"/>
  <c r="P7" i="3"/>
  <c r="R12" i="2"/>
  <c r="Q10" i="2"/>
  <c r="R8" i="2"/>
  <c r="R9" i="2"/>
  <c r="T12" i="2"/>
  <c r="W64" i="2" l="1"/>
  <c r="T9" i="2"/>
  <c r="W53" i="2"/>
  <c r="X53" i="2" s="1"/>
  <c r="P36" i="2"/>
  <c r="S29" i="2"/>
  <c r="K6" i="4"/>
  <c r="S10" i="2"/>
  <c r="K8" i="4" s="1"/>
  <c r="S28" i="2"/>
  <c r="T28" i="2" s="1"/>
  <c r="T8" i="2"/>
  <c r="P6" i="3"/>
  <c r="AC6" i="3" s="1"/>
  <c r="X10" i="3"/>
  <c r="N71" i="2"/>
  <c r="T63" i="2"/>
  <c r="Q63" i="2"/>
  <c r="W10" i="3"/>
  <c r="P72" i="2"/>
  <c r="X64" i="2"/>
  <c r="R29" i="2"/>
  <c r="L70" i="2"/>
  <c r="M62" i="2"/>
  <c r="K70" i="2" s="1"/>
  <c r="U64" i="2"/>
  <c r="N72" i="2"/>
  <c r="T64" i="2"/>
  <c r="Q64" i="2"/>
  <c r="T10" i="3"/>
  <c r="L12" i="3"/>
  <c r="L15" i="3" s="1"/>
  <c r="V10" i="3"/>
  <c r="Y10" i="3"/>
  <c r="U10" i="3"/>
  <c r="P62" i="2"/>
  <c r="R50" i="2"/>
  <c r="P61" i="2"/>
  <c r="O65" i="2"/>
  <c r="R10" i="2"/>
  <c r="S54" i="2"/>
  <c r="N50" i="2"/>
  <c r="U53" i="2"/>
  <c r="V53" i="2" s="1"/>
  <c r="Q53" i="2"/>
  <c r="R53" i="2" s="1"/>
  <c r="T53" i="2"/>
  <c r="AB7" i="3"/>
  <c r="AC7" i="3"/>
  <c r="AD7" i="3"/>
  <c r="T30" i="2"/>
  <c r="T32" i="2"/>
  <c r="AB6" i="3"/>
  <c r="R30" i="2"/>
  <c r="R32" i="2"/>
  <c r="R27" i="2"/>
  <c r="P8" i="3" l="1"/>
  <c r="W63" i="2"/>
  <c r="T29" i="2"/>
  <c r="T10" i="2"/>
  <c r="W54" i="2"/>
  <c r="AD6" i="3"/>
  <c r="Y12" i="3"/>
  <c r="N62" i="2"/>
  <c r="Z12" i="3"/>
  <c r="T12" i="3"/>
  <c r="W12" i="3"/>
  <c r="O72" i="2"/>
  <c r="V64" i="2"/>
  <c r="P65" i="2"/>
  <c r="L73" i="2"/>
  <c r="V12" i="3"/>
  <c r="U12" i="3"/>
  <c r="X12" i="3"/>
  <c r="M72" i="2"/>
  <c r="R64" i="2"/>
  <c r="M71" i="2"/>
  <c r="R63" i="2"/>
  <c r="N61" i="2"/>
  <c r="M65" i="2"/>
  <c r="U54" i="2"/>
  <c r="V54" i="2" s="1"/>
  <c r="Q54" i="2"/>
  <c r="R54" i="2" s="1"/>
  <c r="AD8" i="3"/>
  <c r="AC8" i="3"/>
  <c r="AB8" i="3"/>
  <c r="U63" i="2" l="1"/>
  <c r="P71" i="2"/>
  <c r="X63" i="2"/>
  <c r="N65" i="2"/>
  <c r="K73" i="2"/>
  <c r="T61" i="2"/>
  <c r="Q61" i="2"/>
  <c r="M69" i="2" s="1"/>
  <c r="V63" i="2" l="1"/>
  <c r="O71" i="2"/>
  <c r="R61" i="2"/>
  <c r="J54" i="2"/>
  <c r="T54" i="2"/>
  <c r="X54" i="2"/>
  <c r="L54" i="2"/>
  <c r="D54" i="2"/>
  <c r="H54" i="2"/>
  <c r="F55" i="2" l="1"/>
  <c r="D55" i="2"/>
  <c r="P55" i="2"/>
  <c r="N55" i="2"/>
  <c r="J55" i="2"/>
  <c r="L55" i="2"/>
  <c r="H55" i="2"/>
  <c r="R14" i="2"/>
  <c r="Q21" i="2"/>
  <c r="R21" i="2" s="1"/>
  <c r="Q20" i="2"/>
  <c r="R20" i="2" s="1"/>
  <c r="Q34" i="2"/>
  <c r="Q13" i="2"/>
  <c r="R13" i="2" s="1"/>
  <c r="T51" i="2"/>
  <c r="Q51" i="2" l="1"/>
  <c r="R51" i="2" s="1"/>
  <c r="R34" i="2"/>
  <c r="Q33" i="2"/>
  <c r="Q40" i="2"/>
  <c r="T55" i="2"/>
  <c r="Q39" i="2"/>
  <c r="R39" i="2" s="1"/>
  <c r="R55" i="2" l="1"/>
  <c r="R33" i="2"/>
  <c r="Q36" i="2"/>
  <c r="S62" i="2"/>
  <c r="R40" i="2"/>
  <c r="S65" i="2" l="1"/>
  <c r="T62" i="2"/>
  <c r="Q62" i="2"/>
  <c r="N70" i="2"/>
  <c r="Q38" i="2"/>
  <c r="R38" i="2" s="1"/>
  <c r="R36" i="2"/>
  <c r="R62" i="2" l="1"/>
  <c r="M70" i="2"/>
  <c r="Q65" i="2"/>
  <c r="N73" i="2"/>
  <c r="T65" i="2"/>
  <c r="R65" i="2" l="1"/>
  <c r="M73" i="2"/>
  <c r="T7" i="2"/>
  <c r="K5" i="4"/>
  <c r="K9" i="4" s="1"/>
  <c r="P5" i="3"/>
  <c r="AD5" i="3" s="1"/>
  <c r="S44" i="2"/>
  <c r="T44" i="2" s="1"/>
  <c r="S27" i="2"/>
  <c r="T27" i="2" s="1"/>
  <c r="W50" i="2"/>
  <c r="U50" i="2" s="1"/>
  <c r="AB5" i="3" l="1"/>
  <c r="V50" i="2"/>
  <c r="W61" i="2"/>
  <c r="AC5" i="3"/>
  <c r="X50" i="2"/>
  <c r="U61" i="2" l="1"/>
  <c r="X61" i="2"/>
  <c r="P69" i="2"/>
  <c r="O69" i="2" l="1"/>
  <c r="V61" i="2"/>
  <c r="T14" i="2"/>
  <c r="S21" i="2"/>
  <c r="T21" i="2" s="1"/>
  <c r="S20" i="2"/>
  <c r="T20" i="2" s="1"/>
  <c r="X51" i="2"/>
  <c r="S34" i="2"/>
  <c r="S13" i="2"/>
  <c r="T13" i="2" s="1"/>
  <c r="T34" i="2" l="1"/>
  <c r="S33" i="2"/>
  <c r="S40" i="2"/>
  <c r="T40" i="2" s="1"/>
  <c r="P9" i="3"/>
  <c r="U51" i="2"/>
  <c r="X55" i="2"/>
  <c r="S39" i="2"/>
  <c r="T39" i="2" s="1"/>
  <c r="W62" i="2" l="1"/>
  <c r="T33" i="2"/>
  <c r="S36" i="2"/>
  <c r="V55" i="2"/>
  <c r="V51" i="2"/>
  <c r="U62" i="2"/>
  <c r="X62" i="2"/>
  <c r="P70" i="2"/>
  <c r="W65" i="2"/>
  <c r="AD9" i="3"/>
  <c r="P10" i="3"/>
  <c r="N9" i="3"/>
  <c r="O9" i="3"/>
  <c r="AB9" i="3" l="1"/>
  <c r="N10" i="3"/>
  <c r="O10" i="3"/>
  <c r="AC9" i="3"/>
  <c r="X65" i="2"/>
  <c r="P73" i="2"/>
  <c r="P12" i="3"/>
  <c r="AD10" i="3"/>
  <c r="S38" i="2"/>
  <c r="T38" i="2" s="1"/>
  <c r="T36" i="2"/>
  <c r="O70" i="2"/>
  <c r="U65" i="2"/>
  <c r="V62" i="2"/>
  <c r="AD12" i="3" l="1"/>
  <c r="P15" i="3"/>
  <c r="AC10" i="3"/>
  <c r="O12" i="3"/>
  <c r="V65" i="2"/>
  <c r="O73" i="2"/>
  <c r="N12" i="3"/>
  <c r="AB10" i="3"/>
  <c r="N15" i="3" l="1"/>
  <c r="AB12" i="3"/>
  <c r="AC12" i="3"/>
  <c r="O15" i="3"/>
</calcChain>
</file>

<file path=xl/comments1.xml><?xml version="1.0" encoding="utf-8"?>
<comments xmlns="http://schemas.openxmlformats.org/spreadsheetml/2006/main">
  <authors>
    <author>Ulrich Fahl</author>
  </authors>
  <commentList>
    <comment ref="O11" authorId="0" shapeId="0">
      <text>
        <r>
          <rPr>
            <b/>
            <sz val="9"/>
            <color indexed="81"/>
            <rFont val="Segoe UI"/>
            <charset val="1"/>
          </rPr>
          <t>Ulrich Fahl:</t>
        </r>
        <r>
          <rPr>
            <sz val="9"/>
            <color indexed="81"/>
            <rFont val="Segoe UI"/>
            <charset val="1"/>
          </rPr>
          <t xml:space="preserve">
aus Mit-weiteren-Maßnahmen-Szenario (MWMS), Projektionsbericht 2017</t>
        </r>
      </text>
    </comment>
    <comment ref="Q11" authorId="0" shapeId="0">
      <text>
        <r>
          <rPr>
            <b/>
            <sz val="9"/>
            <color indexed="81"/>
            <rFont val="Segoe UI"/>
            <charset val="1"/>
          </rPr>
          <t>Ulrich Fahl:</t>
        </r>
        <r>
          <rPr>
            <sz val="9"/>
            <color indexed="81"/>
            <rFont val="Segoe UI"/>
            <charset val="1"/>
          </rPr>
          <t xml:space="preserve">
aus Mit-weiteren-Maßnahmen-Szenario (MWMS), Projektionsbericht 2017</t>
        </r>
      </text>
    </comment>
    <comment ref="S11" authorId="0" shapeId="0">
      <text>
        <r>
          <rPr>
            <b/>
            <sz val="9"/>
            <color indexed="81"/>
            <rFont val="Segoe UI"/>
            <charset val="1"/>
          </rPr>
          <t>Ulrich Fahl:</t>
        </r>
        <r>
          <rPr>
            <sz val="9"/>
            <color indexed="81"/>
            <rFont val="Segoe UI"/>
            <charset val="1"/>
          </rPr>
          <t xml:space="preserve">
aus Mit-weiteren-Maßnahmen-Szenario (MWMS), Projektionsbericht 2017</t>
        </r>
      </text>
    </comment>
    <comment ref="M48" authorId="0" shapeId="0">
      <text>
        <r>
          <rPr>
            <b/>
            <sz val="9"/>
            <color indexed="81"/>
            <rFont val="Segoe UI"/>
            <family val="2"/>
          </rPr>
          <t>Ulrich Fahl:</t>
        </r>
        <r>
          <rPr>
            <sz val="9"/>
            <color indexed="81"/>
            <rFont val="Segoe UI"/>
            <family val="2"/>
          </rPr>
          <t xml:space="preserve">
Halbe Strecke zw. Werten für 2020 aus dem MWMS des Projektionsberichts 2017 und den Werten für 2030 hier.</t>
        </r>
      </text>
    </comment>
    <comment ref="M59" authorId="0" shapeId="0">
      <text>
        <r>
          <rPr>
            <b/>
            <sz val="9"/>
            <color indexed="81"/>
            <rFont val="Segoe UI"/>
            <family val="2"/>
          </rPr>
          <t>Ulrich Fahl:</t>
        </r>
        <r>
          <rPr>
            <sz val="9"/>
            <color indexed="81"/>
            <rFont val="Segoe UI"/>
            <family val="2"/>
          </rPr>
          <t xml:space="preserve">
Halbe Strecke zw. Werten für 2020 aus dem MWMS des Projektionsberichts 2017 und den Werten für 2030 hier.</t>
        </r>
      </text>
    </comment>
  </commentList>
</comments>
</file>

<file path=xl/comments2.xml><?xml version="1.0" encoding="utf-8"?>
<comments xmlns="http://schemas.openxmlformats.org/spreadsheetml/2006/main">
  <authors>
    <author>Ulrich Fahl</author>
  </authors>
  <commentList>
    <comment ref="O11" authorId="0" shapeId="0">
      <text>
        <r>
          <rPr>
            <b/>
            <sz val="9"/>
            <color indexed="81"/>
            <rFont val="Segoe UI"/>
            <charset val="1"/>
          </rPr>
          <t>Ulrich Fahl:</t>
        </r>
        <r>
          <rPr>
            <sz val="9"/>
            <color indexed="81"/>
            <rFont val="Segoe UI"/>
            <charset val="1"/>
          </rPr>
          <t xml:space="preserve">
aus Mit-weiteren-Maßnahmen-Szenario (MWMS), Projektionsbericht 2017</t>
        </r>
      </text>
    </comment>
    <comment ref="S11" authorId="0" shapeId="0">
      <text>
        <r>
          <rPr>
            <b/>
            <sz val="9"/>
            <color indexed="81"/>
            <rFont val="Segoe UI"/>
            <charset val="1"/>
          </rPr>
          <t>Ulrich Fahl:</t>
        </r>
        <r>
          <rPr>
            <sz val="9"/>
            <color indexed="81"/>
            <rFont val="Segoe UI"/>
            <charset val="1"/>
          </rPr>
          <t xml:space="preserve">
aus Mit-weiteren-Maßnahmen-Szenario (MWMS), Projektionsbericht 2017</t>
        </r>
      </text>
    </comment>
    <comment ref="M48" authorId="0" shapeId="0">
      <text>
        <r>
          <rPr>
            <b/>
            <sz val="9"/>
            <color indexed="81"/>
            <rFont val="Segoe UI"/>
            <family val="2"/>
          </rPr>
          <t>Ulrich Fahl:</t>
        </r>
        <r>
          <rPr>
            <sz val="9"/>
            <color indexed="81"/>
            <rFont val="Segoe UI"/>
            <family val="2"/>
          </rPr>
          <t xml:space="preserve">
Halbe Strecke zw. Werten für 2020 aus dem MWMS des Projektionsberichts 2017 und den Werten für 2030 hier.</t>
        </r>
      </text>
    </comment>
    <comment ref="M59" authorId="0" shapeId="0">
      <text>
        <r>
          <rPr>
            <b/>
            <sz val="9"/>
            <color indexed="81"/>
            <rFont val="Segoe UI"/>
            <family val="2"/>
          </rPr>
          <t>Ulrich Fahl:</t>
        </r>
        <r>
          <rPr>
            <sz val="9"/>
            <color indexed="81"/>
            <rFont val="Segoe UI"/>
            <family val="2"/>
          </rPr>
          <t xml:space="preserve">
Halbe Strecke zw. Werten für 2020 aus dem MWMS des Projektionsberichts 2017 und den Werten für 2030 hier.</t>
        </r>
      </text>
    </comment>
  </commentList>
</comments>
</file>

<file path=xl/sharedStrings.xml><?xml version="1.0" encoding="utf-8"?>
<sst xmlns="http://schemas.openxmlformats.org/spreadsheetml/2006/main" count="484" uniqueCount="133">
  <si>
    <t>DE</t>
  </si>
  <si>
    <t>1a</t>
  </si>
  <si>
    <t>1b</t>
  </si>
  <si>
    <t>1c</t>
  </si>
  <si>
    <t>EU</t>
  </si>
  <si>
    <t>schwache EU-Politik</t>
  </si>
  <si>
    <t>fragmentierte EU-Politik</t>
  </si>
  <si>
    <t>DE-aktuelle Politiken</t>
  </si>
  <si>
    <t>starke EU-Politik</t>
  </si>
  <si>
    <t>in der "coalition of willing" CO2-Preise wie bei starker EU-Politik; andere Staaten CO2-Preis wie schwache EU-Politik</t>
  </si>
  <si>
    <t>DE Klimaschutzplan</t>
  </si>
  <si>
    <t>DE kostenoptimale Aufteilung</t>
  </si>
  <si>
    <t>2a</t>
  </si>
  <si>
    <t>coalition of the willing</t>
  </si>
  <si>
    <t>2b</t>
  </si>
  <si>
    <t>3a</t>
  </si>
  <si>
    <t>keine eigenen Ziele</t>
  </si>
  <si>
    <t>3b</t>
  </si>
  <si>
    <t>Kommentare</t>
  </si>
  <si>
    <t>Gesamtreduktion -90% in 2050, Aufteilung auf Sektoren nach Kostenoptimalität aus Energiesystemmodell.</t>
  </si>
  <si>
    <t>DE aktuelle Politiken</t>
  </si>
  <si>
    <t>??? Wer hat eine gute Zusammenstellung der Wirkung der aktuellen Politiken?</t>
  </si>
  <si>
    <t xml:space="preserve">Umsetzung in </t>
  </si>
  <si>
    <t>Stromsektormodell</t>
  </si>
  <si>
    <t>CO2-Preispfad</t>
  </si>
  <si>
    <t>Energiesystemmodell</t>
  </si>
  <si>
    <t>sektorales Ziel nach Klimaschutzplan, 2050 Gesamtreduktion 80-95% - hier angenommen 90%</t>
  </si>
  <si>
    <t>Bezeichnung</t>
  </si>
  <si>
    <t>Erläuterung</t>
  </si>
  <si>
    <t>EU-weiter CO2-Preis, der konsistent mit der Erreichung des 80-95%-Ziels in 2050 ist - hier angenommen 90%. Preispfad: 5% Wachstum/Jahr bis 2050, 2020-Wert so gesetzt dass EU-Emissionsziel erreicht wird</t>
  </si>
  <si>
    <t>EU Emissionsziel 90% Minderung CO2-Emissionen gegen 1990 (ohne Landwirtschaft?)</t>
  </si>
  <si>
    <t>CO2-Preispfad aus Szenarien 1a, 1c</t>
  </si>
  <si>
    <t>CO2-Preispfad aus Energiesystemmodell</t>
  </si>
  <si>
    <t>Stromsektoremissionspfad 2020-2050 nach Klimaschutzplan</t>
  </si>
  <si>
    <t>CO2-Preispfad, bspw 10$/tCO2 in 2020 -&gt; 30$/tCO2 in 2050</t>
  </si>
  <si>
    <t>DE kostenoptimale Sektoraufteilung</t>
  </si>
  <si>
    <t>Emissionspfade 2020-2050 für Sektoren nach Klimaschutzplan mit Zielwert 90% (ohne Landwirtschaft)</t>
  </si>
  <si>
    <t>Emissionspfad 2020-2050 für Gesamtsystem, Zielwert -90% (ohne Landwirtschaft)</t>
  </si>
  <si>
    <t>DE Klimaschutzplan + zusätzliches Instrument für Kohleausstieg</t>
  </si>
  <si>
    <t xml:space="preserve">wie wirkt sich "ETS-Kompensation" auf das Setting "schwache EU-Politik" aus? </t>
  </si>
  <si>
    <t>1d</t>
  </si>
  <si>
    <t>DE Klimaschutzplan + zusätzliches Instrument für Kohleausstieg + ETS-Kompensation (Stilllegung)</t>
  </si>
  <si>
    <t>DE zusätzliches Instrument für Kohleausstieg</t>
  </si>
  <si>
    <t>1a vs. 1b: kostenoptimale Aufteilung des Emissionsbudgets erzeugt von alleine frühen Kohleausstieg</t>
  </si>
  <si>
    <t>0 vs alle: Luftverschmutzungseffekte durch Kohle quantifizieren;
zusätzlich nötige Anstrengung zur Erreichung des -90%-Ziels quantifizieren</t>
  </si>
  <si>
    <t xml:space="preserve">1c: ??? Hängt von Ausgestaltung des "zusätzlichen Instruments" ab - falls "ordnungsrechtliche Stilllegung", dann bspw. 1c vs 1a &amp; 1b: KA reduziert Integral der Stromsektoremissionen, nähert sich an 1b an </t>
  </si>
  <si>
    <t>3z</t>
  </si>
  <si>
    <t xml:space="preserve"> </t>
  </si>
  <si>
    <t>2c</t>
  </si>
  <si>
    <t>2d</t>
  </si>
  <si>
    <t>???</t>
  </si>
  <si>
    <t>Rest der Welt</t>
  </si>
  <si>
    <t>INDCs?</t>
  </si>
  <si>
    <t>INDCs/2°C?</t>
  </si>
  <si>
    <t>Szenarioentwürfe</t>
  </si>
  <si>
    <t>Mögliche Operationalisierung</t>
  </si>
  <si>
    <t>??? Stilllegung von Kraftwerken nach Alter, Stilllegung von Kraftwerken nach spez. Emissionen, nationaler CO2-Mindestpreis, Reststrommengen, …</t>
  </si>
  <si>
    <t>CO2-Preispfade aus Szenarien 1a, 1c</t>
  </si>
  <si>
    <t xml:space="preserve">1d vs 1c: Reduktion des waterbed-Effekts über ETS? Unklar, wie gut in den Modellen abbildbar </t>
  </si>
  <si>
    <t>wenn 3z schon DE-Ziel erreicht, ist 3a nicht mehr nötig</t>
  </si>
  <si>
    <t>wenn 3z schon DE-Ziel erreicht, ist 3b nicht mehr nötig</t>
  </si>
  <si>
    <t>2b vs 1b vs 3b/z: Veränderung des Waterbed-Effekts, wenn mehrere Länder oder die gesamte EU aktiv werden</t>
  </si>
  <si>
    <t>Beispiel für geplante Analyse/ zu testende Hypothesen</t>
  </si>
  <si>
    <t>nachrangige Szenarien, vielleicht weglassen</t>
  </si>
  <si>
    <t>Aufteilung der Emissionen auf Sektoren aus Energiesystemmodell. Oder: CO2-Preise aus Energiesystemmodell</t>
  </si>
  <si>
    <t>Handlungsfeld</t>
  </si>
  <si>
    <t>Bandbreiten</t>
  </si>
  <si>
    <t>Fester Wert</t>
  </si>
  <si>
    <r>
      <t>(in Mio.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-Äq.)</t>
    </r>
  </si>
  <si>
    <t>(Minderung in % ggü. 1990)</t>
  </si>
  <si>
    <t>Energiewirtschaft</t>
  </si>
  <si>
    <t>Gebäude</t>
  </si>
  <si>
    <t>Verkehr</t>
  </si>
  <si>
    <t>Industrie</t>
  </si>
  <si>
    <t>Landwirtschaft</t>
  </si>
  <si>
    <t>Teilsumme</t>
  </si>
  <si>
    <t>Sonstige</t>
  </si>
  <si>
    <t>Gesamtsumme</t>
  </si>
  <si>
    <t>175 - 183</t>
  </si>
  <si>
    <t>70 - 72</t>
  </si>
  <si>
    <t>95 - 98</t>
  </si>
  <si>
    <t>140 - 143</t>
  </si>
  <si>
    <t>58 - 61</t>
  </si>
  <si>
    <t>538 - 557</t>
  </si>
  <si>
    <t>543 - 562</t>
  </si>
  <si>
    <t>62 - 61%</t>
  </si>
  <si>
    <t>67 - 66%</t>
  </si>
  <si>
    <t>42 - 40%</t>
  </si>
  <si>
    <t>51 - 49%</t>
  </si>
  <si>
    <t>34 - 31 %</t>
  </si>
  <si>
    <t>56 - 54%</t>
  </si>
  <si>
    <t>87%</t>
  </si>
  <si>
    <t>56 - 55%</t>
  </si>
  <si>
    <t>CO2-Emissionen</t>
  </si>
  <si>
    <t>Stromerzeugung</t>
  </si>
  <si>
    <r>
      <t>(in Mio.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</si>
  <si>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THG-Emissionen</t>
  </si>
  <si>
    <t>davon ETS</t>
  </si>
  <si>
    <t>Statistik</t>
  </si>
  <si>
    <t>Klima50</t>
  </si>
  <si>
    <t>Ziel50</t>
  </si>
  <si>
    <t>Ref50</t>
  </si>
  <si>
    <t>Veränderung gg. 1990</t>
  </si>
  <si>
    <t>Delta zu Klima50</t>
  </si>
  <si>
    <t>MwM-S (2017)</t>
  </si>
  <si>
    <t>MM-S (2017)</t>
  </si>
  <si>
    <t>MM-S (2015)</t>
  </si>
  <si>
    <t>MwM-S (2015)</t>
  </si>
  <si>
    <t>dav. Prozessbedingt</t>
  </si>
  <si>
    <t>dav. Rest</t>
  </si>
  <si>
    <t>Minderungserfordernisse für 2030 gemäß Klimaschutzplan 2050 (S. 26, 27) und Fortschreibung bis 2040 bzw. 2050                                                                                                                                                                                                                                                                                                             (Werte für 1990 und 2014 angepasst nach UNFCCC Berichterstattung 2017)</t>
  </si>
  <si>
    <t>Fortschreibung gemäß Veränderung der THG-Emissionen gg. 2015</t>
  </si>
  <si>
    <t>dav. energiebedingt</t>
  </si>
  <si>
    <t>dav. energie-/prozessbedingt</t>
  </si>
  <si>
    <t>dav. ETS (stationär)</t>
  </si>
  <si>
    <t>Sektorziele für TIMES</t>
  </si>
  <si>
    <t>Haushalte, GHD, AGR</t>
  </si>
  <si>
    <t>Energie-/prozessbedingt</t>
  </si>
  <si>
    <t>Sektor</t>
  </si>
  <si>
    <t>Sektorziele für NEWAGE</t>
  </si>
  <si>
    <t>Energiebedingte CO2-Emissionen in Deutschland</t>
  </si>
  <si>
    <t>energy (COL, CRU, GAS, OIL, ELE)</t>
  </si>
  <si>
    <t>transport (TRN)</t>
  </si>
  <si>
    <t>industry (IRS, NFM, NMM, PPP, CHM, FOT, MVH, MAC, ROI)</t>
  </si>
  <si>
    <t>buildings (FINAL CONSUMPTION, AGR, SER, BUI)</t>
  </si>
  <si>
    <t>NEWAGE Input</t>
  </si>
  <si>
    <t>Energiebedingt</t>
  </si>
  <si>
    <t>D4</t>
  </si>
  <si>
    <t>D2</t>
  </si>
  <si>
    <t>Ziele nach KSP</t>
  </si>
  <si>
    <t>Energie- und prozessbedingte THG-Emissionen in Deutschland (inkl. Landwirtschaft)</t>
  </si>
  <si>
    <t>Haushalte, GHD</t>
  </si>
  <si>
    <t>dav. energie-/prozessbedingt (ohne 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</si>
</sst>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</fills>
  <borders count="35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wrapText="1"/>
    </xf>
    <xf numFmtId="0" fontId="0" fillId="0" borderId="3" xfId="0" applyBorder="1"/>
    <xf numFmtId="0" fontId="0" fillId="2" borderId="3" xfId="0" applyFill="1" applyBorder="1" applyAlignment="1">
      <alignment horizontal="center" wrapText="1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9" fontId="0" fillId="0" borderId="6" xfId="1" applyFont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0" borderId="7" xfId="0" applyBorder="1"/>
    <xf numFmtId="164" fontId="0" fillId="0" borderId="6" xfId="1" applyNumberFormat="1" applyFont="1" applyBorder="1" applyAlignment="1">
      <alignment horizontal="center"/>
    </xf>
    <xf numFmtId="0" fontId="0" fillId="0" borderId="6" xfId="0" applyBorder="1"/>
    <xf numFmtId="1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wrapText="1"/>
    </xf>
    <xf numFmtId="165" fontId="0" fillId="3" borderId="0" xfId="0" applyNumberForma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0" xfId="0" applyFill="1" applyBorder="1"/>
    <xf numFmtId="1" fontId="0" fillId="2" borderId="10" xfId="0" applyNumberForma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3" borderId="9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0" fontId="0" fillId="0" borderId="14" xfId="0" applyBorder="1"/>
    <xf numFmtId="0" fontId="0" fillId="2" borderId="7" xfId="0" applyFill="1" applyBorder="1"/>
    <xf numFmtId="0" fontId="0" fillId="2" borderId="7" xfId="0" applyFill="1" applyBorder="1" applyAlignment="1">
      <alignment vertical="center"/>
    </xf>
    <xf numFmtId="0" fontId="1" fillId="2" borderId="7" xfId="0" applyFont="1" applyFill="1" applyBorder="1"/>
    <xf numFmtId="0" fontId="0" fillId="3" borderId="7" xfId="0" applyFill="1" applyBorder="1"/>
    <xf numFmtId="0" fontId="0" fillId="2" borderId="19" xfId="0" applyFill="1" applyBorder="1"/>
    <xf numFmtId="0" fontId="0" fillId="0" borderId="3" xfId="0" applyBorder="1" applyAlignment="1">
      <alignment horizontal="center"/>
    </xf>
    <xf numFmtId="1" fontId="0" fillId="3" borderId="0" xfId="0" applyNumberFormat="1" applyFill="1" applyBorder="1"/>
    <xf numFmtId="0" fontId="0" fillId="3" borderId="2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21" xfId="1" applyNumberFormat="1" applyFont="1" applyFill="1" applyBorder="1" applyAlignment="1">
      <alignment horizontal="center"/>
    </xf>
    <xf numFmtId="0" fontId="0" fillId="3" borderId="19" xfId="0" applyFill="1" applyBorder="1"/>
    <xf numFmtId="165" fontId="0" fillId="3" borderId="1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3" borderId="8" xfId="0" applyFill="1" applyBorder="1"/>
    <xf numFmtId="0" fontId="1" fillId="2" borderId="14" xfId="0" applyFont="1" applyFill="1" applyBorder="1"/>
    <xf numFmtId="165" fontId="0" fillId="0" borderId="7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4" fontId="0" fillId="2" borderId="19" xfId="1" applyNumberFormat="1" applyFont="1" applyFill="1" applyBorder="1" applyAlignment="1">
      <alignment horizontal="center"/>
    </xf>
    <xf numFmtId="0" fontId="0" fillId="2" borderId="7" xfId="0" applyFill="1" applyBorder="1" applyAlignment="1">
      <alignment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3" borderId="0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0" fillId="4" borderId="7" xfId="0" applyFill="1" applyBorder="1"/>
    <xf numFmtId="0" fontId="0" fillId="4" borderId="4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9" fontId="0" fillId="2" borderId="8" xfId="1" applyFont="1" applyFill="1" applyBorder="1" applyAlignment="1">
      <alignment horizontal="center"/>
    </xf>
    <xf numFmtId="0" fontId="0" fillId="0" borderId="0" xfId="0" applyFont="1"/>
    <xf numFmtId="0" fontId="0" fillId="2" borderId="23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1" fillId="0" borderId="27" xfId="0" applyFont="1" applyFill="1" applyBorder="1"/>
    <xf numFmtId="164" fontId="1" fillId="0" borderId="28" xfId="1" applyNumberFormat="1" applyFont="1" applyFill="1" applyBorder="1" applyAlignment="1">
      <alignment horizontal="center"/>
    </xf>
    <xf numFmtId="164" fontId="1" fillId="0" borderId="30" xfId="1" applyNumberFormat="1" applyFont="1" applyFill="1" applyBorder="1" applyAlignment="1">
      <alignment horizontal="center"/>
    </xf>
    <xf numFmtId="165" fontId="1" fillId="0" borderId="27" xfId="0" applyNumberFormat="1" applyFont="1" applyFill="1" applyBorder="1" applyAlignment="1">
      <alignment horizontal="center"/>
    </xf>
    <xf numFmtId="165" fontId="1" fillId="0" borderId="29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" fillId="0" borderId="26" xfId="0" applyNumberFormat="1" applyFon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0" fillId="2" borderId="20" xfId="0" applyFill="1" applyBorder="1" applyAlignment="1">
      <alignment vertical="center"/>
    </xf>
    <xf numFmtId="164" fontId="1" fillId="0" borderId="31" xfId="1" applyNumberFormat="1" applyFont="1" applyFill="1" applyBorder="1" applyAlignment="1">
      <alignment horizontal="center"/>
    </xf>
    <xf numFmtId="164" fontId="0" fillId="5" borderId="2" xfId="1" applyNumberFormat="1" applyFont="1" applyFill="1" applyBorder="1" applyAlignment="1">
      <alignment horizontal="center"/>
    </xf>
    <xf numFmtId="164" fontId="1" fillId="0" borderId="32" xfId="1" applyNumberFormat="1" applyFont="1" applyFill="1" applyBorder="1" applyAlignment="1">
      <alignment horizontal="center"/>
    </xf>
    <xf numFmtId="165" fontId="1" fillId="0" borderId="33" xfId="0" applyNumberFormat="1" applyFont="1" applyFill="1" applyBorder="1" applyAlignment="1">
      <alignment horizontal="center"/>
    </xf>
    <xf numFmtId="165" fontId="1" fillId="0" borderId="30" xfId="0" applyNumberFormat="1" applyFont="1" applyFill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5" fontId="0" fillId="0" borderId="16" xfId="0" quotePrefix="1" applyNumberFormat="1" applyBorder="1" applyAlignment="1">
      <alignment horizontal="center"/>
    </xf>
    <xf numFmtId="165" fontId="0" fillId="2" borderId="4" xfId="0" quotePrefix="1" applyNumberFormat="1" applyFill="1" applyBorder="1" applyAlignment="1">
      <alignment horizontal="center"/>
    </xf>
    <xf numFmtId="165" fontId="0" fillId="0" borderId="4" xfId="0" quotePrefix="1" applyNumberFormat="1" applyBorder="1" applyAlignment="1">
      <alignment horizontal="center"/>
    </xf>
    <xf numFmtId="166" fontId="0" fillId="0" borderId="0" xfId="0" applyNumberFormat="1"/>
    <xf numFmtId="1" fontId="0" fillId="0" borderId="3" xfId="0" applyNumberFormat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3" borderId="2" xfId="0" applyFill="1" applyBorder="1"/>
    <xf numFmtId="0" fontId="0" fillId="2" borderId="7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wrapText="1"/>
    </xf>
    <xf numFmtId="0" fontId="0" fillId="3" borderId="3" xfId="0" applyFill="1" applyBorder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2" borderId="8" xfId="0" applyFill="1" applyBorder="1" applyAlignment="1">
      <alignment horizontal="center" vertical="top" wrapText="1"/>
    </xf>
    <xf numFmtId="0" fontId="0" fillId="0" borderId="8" xfId="0" applyBorder="1"/>
    <xf numFmtId="0" fontId="0" fillId="2" borderId="8" xfId="0" applyFill="1" applyBorder="1" applyAlignment="1">
      <alignment horizontal="center" wrapText="1"/>
    </xf>
    <xf numFmtId="165" fontId="0" fillId="0" borderId="8" xfId="0" applyNumberFormat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0" fillId="2" borderId="34" xfId="1" applyNumberFormat="1" applyFont="1" applyFill="1" applyBorder="1" applyAlignment="1">
      <alignment horizontal="center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21" xfId="0" applyFill="1" applyBorder="1"/>
    <xf numFmtId="0" fontId="0" fillId="3" borderId="22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/>
    <xf numFmtId="1" fontId="0" fillId="2" borderId="5" xfId="0" applyNumberFormat="1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0" fontId="0" fillId="3" borderId="7" xfId="0" applyFont="1" applyFill="1" applyBorder="1"/>
    <xf numFmtId="1" fontId="0" fillId="3" borderId="5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3" borderId="4" xfId="0" quotePrefix="1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64" fontId="1" fillId="2" borderId="6" xfId="1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0" fontId="0" fillId="2" borderId="2" xfId="0" quotePrefix="1" applyFon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7" xfId="0" applyFill="1" applyBorder="1"/>
    <xf numFmtId="165" fontId="0" fillId="5" borderId="5" xfId="0" applyNumberFormat="1" applyFill="1" applyBorder="1" applyAlignment="1">
      <alignment horizontal="center"/>
    </xf>
    <xf numFmtId="165" fontId="0" fillId="5" borderId="4" xfId="0" quotePrefix="1" applyNumberFormat="1" applyFill="1" applyBorder="1" applyAlignment="1">
      <alignment horizontal="center"/>
    </xf>
    <xf numFmtId="0" fontId="1" fillId="5" borderId="27" xfId="0" applyFont="1" applyFill="1" applyBorder="1"/>
    <xf numFmtId="165" fontId="1" fillId="5" borderId="26" xfId="0" applyNumberFormat="1" applyFont="1" applyFill="1" applyBorder="1" applyAlignment="1">
      <alignment horizontal="center"/>
    </xf>
    <xf numFmtId="165" fontId="1" fillId="5" borderId="27" xfId="0" applyNumberFormat="1" applyFont="1" applyFill="1" applyBorder="1" applyAlignment="1">
      <alignment horizontal="center"/>
    </xf>
    <xf numFmtId="164" fontId="1" fillId="5" borderId="28" xfId="1" applyNumberFormat="1" applyFont="1" applyFill="1" applyBorder="1" applyAlignment="1">
      <alignment horizontal="center"/>
    </xf>
    <xf numFmtId="165" fontId="1" fillId="5" borderId="29" xfId="0" applyNumberFormat="1" applyFont="1" applyFill="1" applyBorder="1" applyAlignment="1">
      <alignment horizontal="center"/>
    </xf>
    <xf numFmtId="164" fontId="1" fillId="5" borderId="31" xfId="1" applyNumberFormat="1" applyFont="1" applyFill="1" applyBorder="1" applyAlignment="1">
      <alignment horizontal="center"/>
    </xf>
    <xf numFmtId="164" fontId="1" fillId="5" borderId="30" xfId="1" applyNumberFormat="1" applyFont="1" applyFill="1" applyBorder="1" applyAlignment="1">
      <alignment horizontal="center"/>
    </xf>
    <xf numFmtId="164" fontId="1" fillId="5" borderId="32" xfId="1" applyNumberFormat="1" applyFont="1" applyFill="1" applyBorder="1" applyAlignment="1">
      <alignment horizontal="center"/>
    </xf>
    <xf numFmtId="165" fontId="0" fillId="3" borderId="4" xfId="0" quotePrefix="1" applyNumberForma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B8CCE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Energiewirtschaft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Sheet3!$B$5:$P$5</c:f>
              <c:numCache>
                <c:formatCode>0</c:formatCode>
                <c:ptCount val="15"/>
                <c:pt idx="0">
                  <c:v>465.32274999999998</c:v>
                </c:pt>
                <c:pt idx="1">
                  <c:v>395.23843173484005</c:v>
                </c:pt>
                <c:pt idx="2">
                  <c:v>356.82224000000002</c:v>
                </c:pt>
                <c:pt idx="4" formatCode="0.0">
                  <c:v>276</c:v>
                </c:pt>
                <c:pt idx="5" formatCode="0.0">
                  <c:v>253.20000000000002</c:v>
                </c:pt>
                <c:pt idx="6">
                  <c:v>282.62</c:v>
                </c:pt>
                <c:pt idx="7" formatCode="0.0">
                  <c:v>240.7</c:v>
                </c:pt>
                <c:pt idx="8" formatCode="0.0">
                  <c:v>223.22</c:v>
                </c:pt>
                <c:pt idx="9">
                  <c:v>203.01999999999998</c:v>
                </c:pt>
                <c:pt idx="10" formatCode="0.0">
                  <c:v>183.30765143640491</c:v>
                </c:pt>
                <c:pt idx="12">
                  <c:v>141.5</c:v>
                </c:pt>
                <c:pt idx="13">
                  <c:v>79.5</c:v>
                </c:pt>
                <c:pt idx="14" formatCode="0.0">
                  <c:v>18.493749348002222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1-4819-8944-50B79BC48B7F}"/>
            </c:ext>
          </c:extLst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Sheet3!$B$6:$P$6</c:f>
              <c:numCache>
                <c:formatCode>0</c:formatCode>
                <c:ptCount val="15"/>
                <c:pt idx="0">
                  <c:v>207.13741999999999</c:v>
                </c:pt>
                <c:pt idx="1">
                  <c:v>158.07499823791002</c:v>
                </c:pt>
                <c:pt idx="2">
                  <c:v>123.65722</c:v>
                </c:pt>
                <c:pt idx="4" formatCode="0.0">
                  <c:v>90.064888578637493</c:v>
                </c:pt>
                <c:pt idx="5" formatCode="0.0">
                  <c:v>93.5</c:v>
                </c:pt>
                <c:pt idx="6">
                  <c:v>75</c:v>
                </c:pt>
                <c:pt idx="7" formatCode="0.0">
                  <c:v>87.672864978973919</c:v>
                </c:pt>
                <c:pt idx="8" formatCode="0.0">
                  <c:v>73.3</c:v>
                </c:pt>
                <c:pt idx="9">
                  <c:v>57</c:v>
                </c:pt>
                <c:pt idx="10" formatCode="0.0">
                  <c:v>72.11633752244164</c:v>
                </c:pt>
                <c:pt idx="12">
                  <c:v>44</c:v>
                </c:pt>
                <c:pt idx="13">
                  <c:v>19</c:v>
                </c:pt>
                <c:pt idx="14" formatCode="0.0">
                  <c:v>7.2757545011625737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1-4819-8944-50B79BC48B7F}"/>
            </c:ext>
          </c:extLst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Sheet3!$B$7:$P$7</c:f>
              <c:numCache>
                <c:formatCode>0</c:formatCode>
                <c:ptCount val="15"/>
                <c:pt idx="0">
                  <c:v>164.40449000000001</c:v>
                </c:pt>
                <c:pt idx="1">
                  <c:v>161.38211131315001</c:v>
                </c:pt>
                <c:pt idx="2">
                  <c:v>161.13009</c:v>
                </c:pt>
                <c:pt idx="4" formatCode="0.0">
                  <c:v>148.69999999999999</c:v>
                </c:pt>
                <c:pt idx="5" formatCode="0.0">
                  <c:v>132.69999999999999</c:v>
                </c:pt>
                <c:pt idx="6">
                  <c:v>115</c:v>
                </c:pt>
                <c:pt idx="7" formatCode="0.0">
                  <c:v>137.6</c:v>
                </c:pt>
                <c:pt idx="8" formatCode="0.0">
                  <c:v>123.3</c:v>
                </c:pt>
                <c:pt idx="9">
                  <c:v>92</c:v>
                </c:pt>
                <c:pt idx="10" formatCode="0.0">
                  <c:v>98.158348294434461</c:v>
                </c:pt>
                <c:pt idx="12">
                  <c:v>86</c:v>
                </c:pt>
                <c:pt idx="13">
                  <c:v>38</c:v>
                </c:pt>
                <c:pt idx="14" formatCode="0.0">
                  <c:v>9.9031102932490587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1-4819-8944-50B79BC48B7F}"/>
            </c:ext>
          </c:extLst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Sheet3!$B$8:$P$8</c:f>
              <c:numCache>
                <c:formatCode>0</c:formatCode>
                <c:ptCount val="15"/>
                <c:pt idx="0">
                  <c:v>283.06272000000001</c:v>
                </c:pt>
                <c:pt idx="1">
                  <c:v>190.53047703508847</c:v>
                </c:pt>
                <c:pt idx="2">
                  <c:v>180.68235999999999</c:v>
                </c:pt>
                <c:pt idx="4" formatCode="0.0">
                  <c:v>148.30000000000001</c:v>
                </c:pt>
                <c:pt idx="5" formatCode="0.0">
                  <c:v>155.19999999999999</c:v>
                </c:pt>
                <c:pt idx="6">
                  <c:v>146.69999999999999</c:v>
                </c:pt>
                <c:pt idx="7" formatCode="0.0">
                  <c:v>147</c:v>
                </c:pt>
                <c:pt idx="8" formatCode="0.0">
                  <c:v>144.9</c:v>
                </c:pt>
                <c:pt idx="9">
                  <c:v>136.69999999999999</c:v>
                </c:pt>
                <c:pt idx="10" formatCode="0.0">
                  <c:v>143.23105924596049</c:v>
                </c:pt>
                <c:pt idx="12">
                  <c:v>123.4</c:v>
                </c:pt>
                <c:pt idx="13">
                  <c:v>104.9</c:v>
                </c:pt>
                <c:pt idx="14" formatCode="0.0">
                  <c:v>48.218756692163552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1-4819-8944-50B79BC48B7F}"/>
            </c:ext>
          </c:extLst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Sheet3!$B$9:$P$9</c:f>
              <c:numCache>
                <c:formatCode>0</c:formatCode>
                <c:ptCount val="15"/>
                <c:pt idx="0">
                  <c:v>89.836529999999996</c:v>
                </c:pt>
                <c:pt idx="1">
                  <c:v>64.659468042293909</c:v>
                </c:pt>
                <c:pt idx="2">
                  <c:v>67.091620000000006</c:v>
                </c:pt>
                <c:pt idx="4" formatCode="0.0">
                  <c:v>63.764762809917364</c:v>
                </c:pt>
                <c:pt idx="5" formatCode="0.0">
                  <c:v>65.383943874700563</c:v>
                </c:pt>
                <c:pt idx="6">
                  <c:v>63.764762809917364</c:v>
                </c:pt>
                <c:pt idx="7" formatCode="0.0">
                  <c:v>61.824096115702496</c:v>
                </c:pt>
                <c:pt idx="8" formatCode="0.0">
                  <c:v>61.852124191718119</c:v>
                </c:pt>
                <c:pt idx="9">
                  <c:v>61.098563734290849</c:v>
                </c:pt>
                <c:pt idx="10" formatCode="0.0">
                  <c:v>61.098563734290849</c:v>
                </c:pt>
                <c:pt idx="12">
                  <c:v>41.838458226785782</c:v>
                </c:pt>
                <c:pt idx="13">
                  <c:v>40.089064772874188</c:v>
                </c:pt>
                <c:pt idx="14" formatCode="0.0">
                  <c:v>40.089064772874188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1-4819-8944-50B79BC48B7F}"/>
            </c:ext>
          </c:extLst>
        </c:ser>
        <c:ser>
          <c:idx val="6"/>
          <c:order val="5"/>
          <c:tx>
            <c:strRef>
              <c:f>Sheet3!$A$11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Sheet3!$B$1:$P$2</c:f>
              <c:multiLvlStrCache>
                <c:ptCount val="15"/>
                <c:lvl>
                  <c:pt idx="0">
                    <c:v>1990</c:v>
                  </c:pt>
                  <c:pt idx="1">
                    <c:v>2005</c:v>
                  </c:pt>
                  <c:pt idx="2">
                    <c:v>2014</c:v>
                  </c:pt>
                  <c:pt idx="4">
                    <c:v>MM-S (2017)</c:v>
                  </c:pt>
                  <c:pt idx="5">
                    <c:v>MM-S (2015)</c:v>
                  </c:pt>
                  <c:pt idx="6">
                    <c:v>Ref50</c:v>
                  </c:pt>
                  <c:pt idx="7">
                    <c:v>MwM-S (2017)</c:v>
                  </c:pt>
                  <c:pt idx="8">
                    <c:v>MwM-S (2015)</c:v>
                  </c:pt>
                  <c:pt idx="9">
                    <c:v>Ziel50</c:v>
                  </c:pt>
                  <c:pt idx="10">
                    <c:v>Klima50</c:v>
                  </c:pt>
                  <c:pt idx="12">
                    <c:v>Ref50</c:v>
                  </c:pt>
                  <c:pt idx="13">
                    <c:v>Ziel50</c:v>
                  </c:pt>
                  <c:pt idx="14">
                    <c:v>Klima50</c:v>
                  </c:pt>
                </c:lvl>
                <c:lvl>
                  <c:pt idx="0">
                    <c:v>Statistik</c:v>
                  </c:pt>
                  <c:pt idx="3">
                    <c:v>2030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Sheet3!$B$11:$P$11</c:f>
              <c:numCache>
                <c:formatCode>0</c:formatCode>
                <c:ptCount val="15"/>
                <c:pt idx="0">
                  <c:v>36.337569999999999</c:v>
                </c:pt>
                <c:pt idx="1">
                  <c:v>20.030305078116342</c:v>
                </c:pt>
                <c:pt idx="2">
                  <c:v>10.818630000000001</c:v>
                </c:pt>
                <c:pt idx="4" formatCode="0.0">
                  <c:v>7.6703486114452062</c:v>
                </c:pt>
                <c:pt idx="5" formatCode="0.0">
                  <c:v>15.616056125299451</c:v>
                </c:pt>
                <c:pt idx="6">
                  <c:v>7.6703486114452062</c:v>
                </c:pt>
                <c:pt idx="7" formatCode="0.0">
                  <c:v>7.2030389053236377</c:v>
                </c:pt>
                <c:pt idx="8" formatCode="0.0">
                  <c:v>14.727875808281851</c:v>
                </c:pt>
                <c:pt idx="9">
                  <c:v>5</c:v>
                </c:pt>
                <c:pt idx="10" formatCode="0.0">
                  <c:v>5</c:v>
                </c:pt>
                <c:pt idx="12">
                  <c:v>1.7045219136544896</c:v>
                </c:pt>
                <c:pt idx="13">
                  <c:v>1.1111111111111107</c:v>
                </c:pt>
                <c:pt idx="14" formatCode="0.0">
                  <c:v>1.1111111111111107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D1-4819-8944-50B79BC4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933392"/>
        <c:axId val="333723920"/>
      </c:barChart>
      <c:catAx>
        <c:axId val="3319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723920"/>
        <c:crosses val="autoZero"/>
        <c:auto val="1"/>
        <c:lblAlgn val="ctr"/>
        <c:lblOffset val="100"/>
        <c:noMultiLvlLbl val="0"/>
      </c:catAx>
      <c:valAx>
        <c:axId val="333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9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Energiewirtschaft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Sheet4!$B$5:$K$5</c:f>
              <c:numCache>
                <c:formatCode>0</c:formatCode>
                <c:ptCount val="10"/>
                <c:pt idx="0">
                  <c:v>465.32020133321998</c:v>
                </c:pt>
                <c:pt idx="1">
                  <c:v>395.22243224266003</c:v>
                </c:pt>
                <c:pt idx="2">
                  <c:v>367.60714447986004</c:v>
                </c:pt>
                <c:pt idx="3">
                  <c:v>346.09988907923002</c:v>
                </c:pt>
                <c:pt idx="6" formatCode="0.0">
                  <c:v>183.30765143640491</c:v>
                </c:pt>
                <c:pt idx="9" formatCode="0.0">
                  <c:v>18.493749348002222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5E6-A15B-B074A9B80E0C}"/>
            </c:ext>
          </c:extLst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Sheet4!$B$6:$K$6</c:f>
              <c:numCache>
                <c:formatCode>0</c:formatCode>
                <c:ptCount val="10"/>
                <c:pt idx="0">
                  <c:v>208.17361982692</c:v>
                </c:pt>
                <c:pt idx="1">
                  <c:v>158.10512805230999</c:v>
                </c:pt>
                <c:pt idx="2">
                  <c:v>153.26492210974001</c:v>
                </c:pt>
                <c:pt idx="3">
                  <c:v>127.28217557149</c:v>
                </c:pt>
                <c:pt idx="6" formatCode="0.0">
                  <c:v>72.11633752244164</c:v>
                </c:pt>
                <c:pt idx="9" formatCode="0.0">
                  <c:v>7.2757545011625737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F-45E6-A15B-B074A9B80E0C}"/>
            </c:ext>
          </c:extLst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Sheet4!$B$7:$K$7</c:f>
              <c:numCache>
                <c:formatCode>0</c:formatCode>
                <c:ptCount val="10"/>
                <c:pt idx="0">
                  <c:v>164.40387239634998</c:v>
                </c:pt>
                <c:pt idx="1">
                  <c:v>161.38184578841</c:v>
                </c:pt>
                <c:pt idx="2">
                  <c:v>154.2098118685</c:v>
                </c:pt>
                <c:pt idx="3">
                  <c:v>160.80691576616002</c:v>
                </c:pt>
                <c:pt idx="6" formatCode="0.0">
                  <c:v>98.158348294434461</c:v>
                </c:pt>
                <c:pt idx="9" formatCode="0.0">
                  <c:v>9.9031102932490587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F-45E6-A15B-B074A9B80E0C}"/>
            </c:ext>
          </c:extLst>
        </c:ser>
        <c:ser>
          <c:idx val="3"/>
          <c:order val="3"/>
          <c:tx>
            <c:strRef>
              <c:f>Sheet4!$A$8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Sheet4!$B$8:$K$8</c:f>
              <c:numCache>
                <c:formatCode>0</c:formatCode>
                <c:ptCount val="10"/>
                <c:pt idx="0">
                  <c:v>283.34292635759084</c:v>
                </c:pt>
                <c:pt idx="1">
                  <c:v>190.78615492510923</c:v>
                </c:pt>
                <c:pt idx="2">
                  <c:v>187.78911702224491</c:v>
                </c:pt>
                <c:pt idx="3">
                  <c:v>188.59525640005205</c:v>
                </c:pt>
                <c:pt idx="6" formatCode="0.0">
                  <c:v>143.23105924596049</c:v>
                </c:pt>
                <c:pt idx="9" formatCode="0.0">
                  <c:v>48.218756692163552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F-45E6-A15B-B074A9B80E0C}"/>
            </c:ext>
          </c:extLst>
        </c:ser>
        <c:ser>
          <c:idx val="4"/>
          <c:order val="4"/>
          <c:tx>
            <c:strRef>
              <c:f>Sheet4!$A$9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Sheet4!$B$9:$K$9</c:f>
              <c:numCache>
                <c:formatCode>0</c:formatCode>
                <c:ptCount val="10"/>
                <c:pt idx="0">
                  <c:v>129.67484727154664</c:v>
                </c:pt>
                <c:pt idx="1">
                  <c:v>86.437103898254946</c:v>
                </c:pt>
                <c:pt idx="2">
                  <c:v>78.879273027543263</c:v>
                </c:pt>
                <c:pt idx="3">
                  <c:v>79.147275642572083</c:v>
                </c:pt>
                <c:pt idx="6" formatCode="0.0">
                  <c:v>66.098563734290821</c:v>
                </c:pt>
                <c:pt idx="9" formatCode="0.0">
                  <c:v>41.200175883985295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F-45E6-A15B-B074A9B80E0C}"/>
            </c:ext>
          </c:extLst>
        </c:ser>
        <c:ser>
          <c:idx val="6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Sheet4!$B$1:$K$2</c:f>
              <c:multiLvlStrCache>
                <c:ptCount val="10"/>
                <c:lvl>
                  <c:pt idx="0">
                    <c:v>1990</c:v>
                  </c:pt>
                  <c:pt idx="1">
                    <c:v>2005</c:v>
                  </c:pt>
                  <c:pt idx="2">
                    <c:v>2010</c:v>
                  </c:pt>
                  <c:pt idx="3">
                    <c:v>2015</c:v>
                  </c:pt>
                  <c:pt idx="6">
                    <c:v>2030</c:v>
                  </c:pt>
                  <c:pt idx="9">
                    <c:v>2050</c:v>
                  </c:pt>
                </c:lvl>
                <c:lvl>
                  <c:pt idx="0">
                    <c:v>Statistik</c:v>
                  </c:pt>
                  <c:pt idx="6">
                    <c:v>Ziele nach KSP</c:v>
                  </c:pt>
                </c:lvl>
              </c:multiLvlStrCache>
            </c:multiLvlStrRef>
          </c:cat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F-45E6-A15B-B074A9B8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31933392"/>
        <c:axId val="333723920"/>
      </c:barChart>
      <c:catAx>
        <c:axId val="3319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723920"/>
        <c:crossesAt val="0"/>
        <c:auto val="1"/>
        <c:lblAlgn val="ctr"/>
        <c:lblOffset val="100"/>
        <c:noMultiLvlLbl val="0"/>
      </c:catAx>
      <c:valAx>
        <c:axId val="333723920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93339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18</xdr:row>
      <xdr:rowOff>80962</xdr:rowOff>
    </xdr:from>
    <xdr:to>
      <xdr:col>15</xdr:col>
      <xdr:colOff>552450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80962</xdr:rowOff>
    </xdr:from>
    <xdr:to>
      <xdr:col>19</xdr:col>
      <xdr:colOff>352425</xdr:colOff>
      <xdr:row>38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601/Daten/GHG%20Inventory/DE/DEU_2017_2015_11012017_101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601/Daten/GHG%20Inventory/DE/DEU_2017_1990_11012017_0947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601/Daten/GHG%20Inventory/DE/DEU_2017_2005_11012017_1003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601/Daten/GHG%20Inventory/DE/DEU_2017_2011_11012017_1010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sa/601/Daten/GHG%20Inventory/DE/DEU_2017_2014_11012017_1013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>
        <row r="15">
          <cell r="G15">
            <v>2214.5469401400001</v>
          </cell>
        </row>
        <row r="35">
          <cell r="G35">
            <v>7433.8160670400002</v>
          </cell>
        </row>
        <row r="43">
          <cell r="G43">
            <v>47443.698759990002</v>
          </cell>
        </row>
        <row r="63">
          <cell r="G63">
            <v>919.32536603999995</v>
          </cell>
        </row>
        <row r="69">
          <cell r="G69">
            <v>1798.40161463</v>
          </cell>
        </row>
        <row r="77">
          <cell r="G77">
            <v>1223.7118720000001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0">
          <cell r="C10">
            <v>427353.07296909002</v>
          </cell>
          <cell r="R10">
            <v>378790.08239379001</v>
          </cell>
          <cell r="W10">
            <v>356325.9909492</v>
          </cell>
          <cell r="X10">
            <v>353923.01214526</v>
          </cell>
          <cell r="AA10">
            <v>347269.77069037</v>
          </cell>
          <cell r="AB10">
            <v>335396.50193361001</v>
          </cell>
        </row>
        <row r="11">
          <cell r="C11">
            <v>186700.08599672001</v>
          </cell>
          <cell r="R11">
            <v>115298.02114149</v>
          </cell>
          <cell r="W11">
            <v>125254.84586967999</v>
          </cell>
          <cell r="X11">
            <v>125851.50619270001</v>
          </cell>
          <cell r="AA11">
            <v>121394.55020213001</v>
          </cell>
          <cell r="AB11">
            <v>127060.76995789001</v>
          </cell>
        </row>
        <row r="12">
          <cell r="C12">
            <v>164403.87239634999</v>
          </cell>
          <cell r="R12">
            <v>161381.84578840999</v>
          </cell>
          <cell r="W12">
            <v>154209.81186849999</v>
          </cell>
          <cell r="X12">
            <v>156367.36891071999</v>
          </cell>
          <cell r="AA12">
            <v>160124.98447677001</v>
          </cell>
          <cell r="AB12">
            <v>160806.91576616</v>
          </cell>
        </row>
        <row r="13">
          <cell r="C13">
            <v>208173.61982692001</v>
          </cell>
          <cell r="R13">
            <v>158105.12805231</v>
          </cell>
          <cell r="W13">
            <v>153264.92210974</v>
          </cell>
          <cell r="X13">
            <v>132817.45949794</v>
          </cell>
          <cell r="AA13">
            <v>124088.11192839</v>
          </cell>
          <cell r="AB13">
            <v>127282.17557149001</v>
          </cell>
        </row>
        <row r="14">
          <cell r="C14">
            <v>12138.23828517</v>
          </cell>
          <cell r="R14">
            <v>1739.9619018400001</v>
          </cell>
          <cell r="W14">
            <v>1315.9568861499999</v>
          </cell>
          <cell r="X14">
            <v>1220.31091085</v>
          </cell>
          <cell r="AA14">
            <v>988.20749968999996</v>
          </cell>
          <cell r="AB14">
            <v>981.60220403999995</v>
          </cell>
        </row>
        <row r="15">
          <cell r="C15">
            <v>37967.128364130003</v>
          </cell>
          <cell r="R15">
            <v>16432.349848869999</v>
          </cell>
          <cell r="W15">
            <v>11281.15353066</v>
          </cell>
          <cell r="X15">
            <v>11246.472591580001</v>
          </cell>
          <cell r="AA15">
            <v>10543.642227910001</v>
          </cell>
          <cell r="AB15">
            <v>10703.38714562</v>
          </cell>
        </row>
        <row r="19">
          <cell r="C19">
            <v>96642.840360870803</v>
          </cell>
          <cell r="R19">
            <v>75488.13378361924</v>
          </cell>
          <cell r="W19">
            <v>62534.271152564928</v>
          </cell>
          <cell r="X19">
            <v>62462.77033914889</v>
          </cell>
          <cell r="AA19">
            <v>61445.931746665025</v>
          </cell>
          <cell r="AB19">
            <v>61534.486442162051</v>
          </cell>
        </row>
        <row r="28">
          <cell r="C28">
            <v>79581.557878166801</v>
          </cell>
          <cell r="R28">
            <v>63446.453555325199</v>
          </cell>
          <cell r="W28">
            <v>62853.348123093601</v>
          </cell>
          <cell r="X28">
            <v>64537.513889249203</v>
          </cell>
          <cell r="AA28">
            <v>66590.888893483207</v>
          </cell>
          <cell r="AB28">
            <v>66955.174134742003</v>
          </cell>
        </row>
        <row r="48">
          <cell r="C48">
            <v>37955.051108209998</v>
          </cell>
          <cell r="R48">
            <v>21250.688441089998</v>
          </cell>
          <cell r="W48">
            <v>14709.9680183</v>
          </cell>
          <cell r="X48">
            <v>13936.959157130001</v>
          </cell>
          <cell r="AA48">
            <v>11816.12860084</v>
          </cell>
          <cell r="AB48">
            <v>11210.49930379</v>
          </cell>
        </row>
      </sheetData>
      <sheetData sheetId="67">
        <row r="9">
          <cell r="C9">
            <v>423905.77852279</v>
          </cell>
          <cell r="R9">
            <v>375231.94742192002</v>
          </cell>
          <cell r="W9">
            <v>351730.66545112</v>
          </cell>
          <cell r="X9">
            <v>349090.74810050998</v>
          </cell>
          <cell r="AA9">
            <v>341916.31594741001</v>
          </cell>
          <cell r="AB9">
            <v>330017.61317148001</v>
          </cell>
        </row>
        <row r="10">
          <cell r="C10">
            <v>185107.46678359</v>
          </cell>
          <cell r="R10">
            <v>114350.03004088999</v>
          </cell>
          <cell r="W10">
            <v>124197.47224093</v>
          </cell>
          <cell r="X10">
            <v>124742.46437067</v>
          </cell>
          <cell r="AA10">
            <v>120317.49042782999</v>
          </cell>
          <cell r="AB10">
            <v>125976.43497110999</v>
          </cell>
        </row>
        <row r="11">
          <cell r="C11">
            <v>161882.41281320999</v>
          </cell>
          <cell r="R11">
            <v>160044.44558951</v>
          </cell>
          <cell r="W11">
            <v>152778.84917689001</v>
          </cell>
          <cell r="X11">
            <v>154861.49814981001</v>
          </cell>
          <cell r="AA11">
            <v>158468.02943776001</v>
          </cell>
          <cell r="AB11">
            <v>159111.12652536001</v>
          </cell>
        </row>
        <row r="12">
          <cell r="C12">
            <v>203011.73657740001</v>
          </cell>
          <cell r="R12">
            <v>156824.227029</v>
          </cell>
          <cell r="W12">
            <v>151370.63507724</v>
          </cell>
          <cell r="X12">
            <v>131052.09269522</v>
          </cell>
          <cell r="AA12">
            <v>122568.52810229</v>
          </cell>
          <cell r="AB12">
            <v>125694.18121307</v>
          </cell>
        </row>
        <row r="13">
          <cell r="C13">
            <v>11797.49741948</v>
          </cell>
          <cell r="R13">
            <v>1729.83552616</v>
          </cell>
          <cell r="W13">
            <v>1309.40578764</v>
          </cell>
          <cell r="X13">
            <v>1213.74696503</v>
          </cell>
          <cell r="AA13">
            <v>982.49402439999994</v>
          </cell>
          <cell r="AB13">
            <v>975.84911535000003</v>
          </cell>
        </row>
        <row r="14">
          <cell r="C14">
            <v>4066.7478185099999</v>
          </cell>
          <cell r="R14">
            <v>3227.9470036900002</v>
          </cell>
          <cell r="W14">
            <v>2849.0857007499999</v>
          </cell>
          <cell r="X14">
            <v>2983.3623098899998</v>
          </cell>
          <cell r="AA14">
            <v>2689.9285263000002</v>
          </cell>
          <cell r="AB14">
            <v>2550.3585879000002</v>
          </cell>
        </row>
        <row r="18">
          <cell r="C18">
            <v>59291.552127110001</v>
          </cell>
          <cell r="R18">
            <v>52131.951197854556</v>
          </cell>
          <cell r="W18">
            <v>45875.488372940228</v>
          </cell>
          <cell r="X18">
            <v>45997.606847678144</v>
          </cell>
          <cell r="AA18">
            <v>44946.201870671815</v>
          </cell>
          <cell r="AB18">
            <v>44657.934204548343</v>
          </cell>
        </row>
        <row r="27">
          <cell r="C27">
            <v>3183.6140509468</v>
          </cell>
          <cell r="R27">
            <v>2325.3480630352001</v>
          </cell>
          <cell r="W27">
            <v>2325.0442944035999</v>
          </cell>
          <cell r="X27">
            <v>2635.5868662792</v>
          </cell>
          <cell r="AA27">
            <v>2939.9782582232001</v>
          </cell>
          <cell r="AB27">
            <v>3071.0016188220002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>
        <row r="15">
          <cell r="G15">
            <v>2373.5386752899999</v>
          </cell>
        </row>
        <row r="35">
          <cell r="G35">
            <v>3437.0687207300002</v>
          </cell>
        </row>
        <row r="43">
          <cell r="G43">
            <v>35167.287656029999</v>
          </cell>
        </row>
        <row r="63">
          <cell r="G63">
            <v>2900.5220371400001</v>
          </cell>
        </row>
        <row r="69">
          <cell r="G69">
            <v>3644.5326747399999</v>
          </cell>
        </row>
        <row r="77">
          <cell r="G77">
            <v>1083.2669225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>
        <row r="15">
          <cell r="G15">
            <v>2521.4422622299999</v>
          </cell>
        </row>
        <row r="35">
          <cell r="G35">
            <v>7210.9081012899996</v>
          </cell>
        </row>
        <row r="43">
          <cell r="G43">
            <v>42006.000385129999</v>
          </cell>
        </row>
        <row r="63">
          <cell r="G63">
            <v>1367.0154962700001</v>
          </cell>
        </row>
        <row r="69">
          <cell r="G69">
            <v>1947.2466696399999</v>
          </cell>
        </row>
        <row r="77">
          <cell r="G77">
            <v>1480.9826868499999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>
        <row r="15">
          <cell r="G15">
            <v>2581.3619492600001</v>
          </cell>
        </row>
        <row r="35">
          <cell r="G35">
            <v>7164.5644666199996</v>
          </cell>
        </row>
        <row r="43">
          <cell r="G43">
            <v>43413.957940159999</v>
          </cell>
        </row>
        <row r="63">
          <cell r="G63">
            <v>1123.02024299</v>
          </cell>
        </row>
        <row r="69">
          <cell r="G69">
            <v>1731.09153399</v>
          </cell>
        </row>
        <row r="77">
          <cell r="G77">
            <v>1227.27743212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>
        <row r="15">
          <cell r="G15">
            <v>2208.87694014</v>
          </cell>
        </row>
        <row r="35">
          <cell r="G35">
            <v>7350.7167769899997</v>
          </cell>
        </row>
        <row r="43">
          <cell r="G43">
            <v>44996.375560350003</v>
          </cell>
        </row>
        <row r="63">
          <cell r="G63">
            <v>941.29783552000004</v>
          </cell>
        </row>
        <row r="69">
          <cell r="G69">
            <v>1865.3897793399999</v>
          </cell>
        </row>
        <row r="77">
          <cell r="G77">
            <v>1195.0525030399999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6.85546875" style="1" customWidth="1"/>
    <col min="2" max="2" width="12.7109375" style="1" customWidth="1"/>
    <col min="3" max="3" width="29" style="1" customWidth="1"/>
    <col min="4" max="4" width="66.5703125" style="1" customWidth="1"/>
    <col min="5" max="5" width="35" style="1" customWidth="1"/>
    <col min="6" max="6" width="76.42578125" customWidth="1"/>
  </cols>
  <sheetData>
    <row r="1" spans="1:6" x14ac:dyDescent="0.25">
      <c r="B1" s="5" t="s">
        <v>54</v>
      </c>
    </row>
    <row r="3" spans="1:6" x14ac:dyDescent="0.25">
      <c r="B3" s="7" t="s">
        <v>51</v>
      </c>
      <c r="C3" s="7" t="s">
        <v>4</v>
      </c>
      <c r="D3" s="7" t="s">
        <v>0</v>
      </c>
      <c r="E3" s="7" t="s">
        <v>18</v>
      </c>
      <c r="F3" s="5" t="s">
        <v>62</v>
      </c>
    </row>
    <row r="4" spans="1:6" ht="30" x14ac:dyDescent="0.25">
      <c r="A4" s="1">
        <v>0</v>
      </c>
      <c r="B4" s="1" t="s">
        <v>52</v>
      </c>
      <c r="C4" s="1" t="s">
        <v>5</v>
      </c>
      <c r="D4" s="2" t="s">
        <v>7</v>
      </c>
      <c r="E4" s="4"/>
      <c r="F4" s="8" t="s">
        <v>44</v>
      </c>
    </row>
    <row r="5" spans="1:6" x14ac:dyDescent="0.25">
      <c r="A5" s="1" t="s">
        <v>1</v>
      </c>
      <c r="B5" s="1" t="s">
        <v>52</v>
      </c>
      <c r="C5" s="1" t="s">
        <v>5</v>
      </c>
      <c r="D5" s="2" t="s">
        <v>10</v>
      </c>
      <c r="E5" s="4"/>
      <c r="F5" t="s">
        <v>47</v>
      </c>
    </row>
    <row r="6" spans="1:6" ht="30" x14ac:dyDescent="0.25">
      <c r="A6" s="1" t="s">
        <v>2</v>
      </c>
      <c r="B6" s="1" t="s">
        <v>52</v>
      </c>
      <c r="C6" s="1" t="s">
        <v>5</v>
      </c>
      <c r="D6" s="2" t="s">
        <v>35</v>
      </c>
      <c r="E6" s="4"/>
      <c r="F6" s="8" t="s">
        <v>43</v>
      </c>
    </row>
    <row r="7" spans="1:6" ht="45" x14ac:dyDescent="0.25">
      <c r="A7" s="1" t="s">
        <v>3</v>
      </c>
      <c r="B7" s="1" t="s">
        <v>52</v>
      </c>
      <c r="C7" s="1" t="s">
        <v>5</v>
      </c>
      <c r="D7" s="2" t="s">
        <v>38</v>
      </c>
      <c r="E7" s="4"/>
      <c r="F7" s="8" t="s">
        <v>45</v>
      </c>
    </row>
    <row r="8" spans="1:6" ht="45" x14ac:dyDescent="0.25">
      <c r="A8" s="1" t="s">
        <v>40</v>
      </c>
      <c r="B8" s="1" t="s">
        <v>52</v>
      </c>
      <c r="C8" s="1" t="s">
        <v>5</v>
      </c>
      <c r="D8" s="2" t="s">
        <v>41</v>
      </c>
      <c r="E8" s="4" t="s">
        <v>39</v>
      </c>
      <c r="F8" t="s">
        <v>58</v>
      </c>
    </row>
    <row r="9" spans="1:6" s="14" customFormat="1" x14ac:dyDescent="0.25">
      <c r="A9" s="11" t="s">
        <v>12</v>
      </c>
      <c r="B9" s="11" t="s">
        <v>52</v>
      </c>
      <c r="C9" s="11" t="s">
        <v>13</v>
      </c>
      <c r="D9" s="12" t="s">
        <v>10</v>
      </c>
      <c r="E9" s="13"/>
    </row>
    <row r="10" spans="1:6" ht="30" x14ac:dyDescent="0.25">
      <c r="A10" s="1" t="s">
        <v>14</v>
      </c>
      <c r="B10" s="1" t="s">
        <v>52</v>
      </c>
      <c r="C10" s="1" t="s">
        <v>13</v>
      </c>
      <c r="D10" s="2" t="s">
        <v>35</v>
      </c>
      <c r="E10" s="4"/>
      <c r="F10" s="8" t="s">
        <v>61</v>
      </c>
    </row>
    <row r="11" spans="1:6" s="14" customFormat="1" x14ac:dyDescent="0.25">
      <c r="A11" s="11" t="s">
        <v>48</v>
      </c>
      <c r="B11" s="11" t="s">
        <v>52</v>
      </c>
      <c r="C11" s="11" t="s">
        <v>13</v>
      </c>
      <c r="D11" s="12" t="s">
        <v>38</v>
      </c>
      <c r="E11" s="13"/>
    </row>
    <row r="12" spans="1:6" s="14" customFormat="1" x14ac:dyDescent="0.25">
      <c r="A12" s="11" t="s">
        <v>49</v>
      </c>
      <c r="B12" s="11" t="s">
        <v>52</v>
      </c>
      <c r="C12" s="11" t="s">
        <v>13</v>
      </c>
      <c r="D12" s="12" t="s">
        <v>41</v>
      </c>
      <c r="E12" s="13"/>
    </row>
    <row r="13" spans="1:6" x14ac:dyDescent="0.25">
      <c r="A13" s="1" t="s">
        <v>46</v>
      </c>
      <c r="B13" s="1" t="s">
        <v>53</v>
      </c>
      <c r="C13" s="1" t="s">
        <v>8</v>
      </c>
      <c r="D13" s="2" t="s">
        <v>16</v>
      </c>
      <c r="E13" s="4"/>
    </row>
    <row r="14" spans="1:6" s="14" customFormat="1" ht="30" x14ac:dyDescent="0.25">
      <c r="A14" s="11" t="s">
        <v>15</v>
      </c>
      <c r="B14" s="11" t="s">
        <v>53</v>
      </c>
      <c r="C14" s="11" t="s">
        <v>8</v>
      </c>
      <c r="D14" s="12" t="s">
        <v>10</v>
      </c>
      <c r="E14" s="13" t="s">
        <v>59</v>
      </c>
    </row>
    <row r="15" spans="1:6" s="18" customFormat="1" ht="30" x14ac:dyDescent="0.25">
      <c r="A15" s="15" t="s">
        <v>17</v>
      </c>
      <c r="B15" s="15" t="s">
        <v>53</v>
      </c>
      <c r="C15" s="15" t="s">
        <v>8</v>
      </c>
      <c r="D15" s="16" t="s">
        <v>35</v>
      </c>
      <c r="E15" s="17" t="s">
        <v>60</v>
      </c>
      <c r="F15" s="8" t="s">
        <v>61</v>
      </c>
    </row>
    <row r="16" spans="1:6" x14ac:dyDescent="0.25">
      <c r="D16" s="2"/>
    </row>
    <row r="17" spans="1:6" x14ac:dyDescent="0.25">
      <c r="D17" s="11" t="s">
        <v>63</v>
      </c>
    </row>
    <row r="20" spans="1:6" x14ac:dyDescent="0.25">
      <c r="A20" s="5" t="s">
        <v>55</v>
      </c>
      <c r="B20" s="7"/>
    </row>
    <row r="21" spans="1:6" x14ac:dyDescent="0.25">
      <c r="C21" s="7" t="s">
        <v>27</v>
      </c>
      <c r="D21" s="7" t="s">
        <v>28</v>
      </c>
      <c r="E21" s="231" t="s">
        <v>22</v>
      </c>
      <c r="F21" s="231"/>
    </row>
    <row r="22" spans="1:6" x14ac:dyDescent="0.25">
      <c r="D22" s="2"/>
      <c r="E22" s="5" t="s">
        <v>25</v>
      </c>
      <c r="F22" s="6" t="s">
        <v>23</v>
      </c>
    </row>
    <row r="23" spans="1:6" x14ac:dyDescent="0.25">
      <c r="C23" s="9" t="s">
        <v>5</v>
      </c>
      <c r="D23" s="4" t="s">
        <v>34</v>
      </c>
      <c r="E23" s="4" t="s">
        <v>24</v>
      </c>
      <c r="F23" s="4" t="s">
        <v>24</v>
      </c>
    </row>
    <row r="24" spans="1:6" ht="30" x14ac:dyDescent="0.25">
      <c r="C24" s="9" t="s">
        <v>6</v>
      </c>
      <c r="D24" s="4" t="s">
        <v>9</v>
      </c>
      <c r="E24" s="4" t="s">
        <v>57</v>
      </c>
      <c r="F24" s="4" t="s">
        <v>31</v>
      </c>
    </row>
    <row r="25" spans="1:6" ht="45" x14ac:dyDescent="0.25">
      <c r="C25" s="9" t="s">
        <v>8</v>
      </c>
      <c r="D25" s="4" t="s">
        <v>29</v>
      </c>
      <c r="E25" s="4" t="s">
        <v>30</v>
      </c>
      <c r="F25" s="4" t="s">
        <v>32</v>
      </c>
    </row>
    <row r="26" spans="1:6" x14ac:dyDescent="0.25">
      <c r="C26" s="10"/>
      <c r="D26" s="4"/>
      <c r="E26" s="4"/>
      <c r="F26" s="4"/>
    </row>
    <row r="27" spans="1:6" ht="30" x14ac:dyDescent="0.25">
      <c r="C27" s="9" t="s">
        <v>20</v>
      </c>
      <c r="D27" s="4" t="s">
        <v>21</v>
      </c>
      <c r="E27" s="4"/>
      <c r="F27" s="4"/>
    </row>
    <row r="28" spans="1:6" ht="45" x14ac:dyDescent="0.25">
      <c r="C28" s="9" t="s">
        <v>10</v>
      </c>
      <c r="D28" s="4" t="s">
        <v>26</v>
      </c>
      <c r="E28" s="4" t="s">
        <v>36</v>
      </c>
      <c r="F28" s="4" t="s">
        <v>33</v>
      </c>
    </row>
    <row r="29" spans="1:6" ht="45" x14ac:dyDescent="0.25">
      <c r="C29" s="9" t="s">
        <v>11</v>
      </c>
      <c r="D29" s="4" t="s">
        <v>19</v>
      </c>
      <c r="E29" s="4" t="s">
        <v>37</v>
      </c>
      <c r="F29" s="4" t="s">
        <v>64</v>
      </c>
    </row>
    <row r="30" spans="1:6" ht="45" x14ac:dyDescent="0.25">
      <c r="C30" s="9" t="s">
        <v>42</v>
      </c>
      <c r="D30" s="4" t="s">
        <v>56</v>
      </c>
      <c r="E30" s="1" t="s">
        <v>50</v>
      </c>
      <c r="F30" s="4" t="s">
        <v>50</v>
      </c>
    </row>
    <row r="31" spans="1:6" x14ac:dyDescent="0.25">
      <c r="C31" s="3"/>
    </row>
    <row r="32" spans="1:6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</sheetData>
  <mergeCells count="1">
    <mergeCell ref="E21:F21"/>
  </mergeCell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73"/>
  <sheetViews>
    <sheetView tabSelected="1" topLeftCell="A30" workbookViewId="0">
      <selection activeCell="A54" sqref="A54"/>
    </sheetView>
  </sheetViews>
  <sheetFormatPr baseColWidth="10" defaultColWidth="9.140625" defaultRowHeight="15" x14ac:dyDescent="0.25"/>
  <cols>
    <col min="1" max="1" width="18.7109375" customWidth="1"/>
    <col min="4" max="4" width="13.7109375" customWidth="1"/>
    <col min="5" max="5" width="9.140625" customWidth="1"/>
    <col min="6" max="6" width="13.7109375" customWidth="1"/>
    <col min="7" max="7" width="9.140625" customWidth="1"/>
    <col min="8" max="8" width="13.7109375" customWidth="1"/>
    <col min="10" max="10" width="13.7109375" customWidth="1"/>
    <col min="11" max="11" width="9.140625" customWidth="1"/>
    <col min="12" max="12" width="13.7109375" customWidth="1"/>
    <col min="14" max="14" width="13.7109375" customWidth="1"/>
    <col min="16" max="16" width="13.7109375" customWidth="1"/>
    <col min="17" max="17" width="9.140625" customWidth="1"/>
    <col min="18" max="18" width="13.7109375" customWidth="1"/>
    <col min="20" max="20" width="13.7109375" customWidth="1"/>
    <col min="22" max="22" width="13.7109375" customWidth="1"/>
    <col min="24" max="24" width="13.7109375" customWidth="1"/>
  </cols>
  <sheetData>
    <row r="2" spans="1:20" ht="30" customHeight="1" x14ac:dyDescent="0.25">
      <c r="A2" s="238" t="s">
        <v>110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4" spans="1:20" x14ac:dyDescent="0.25">
      <c r="A4" s="102" t="s">
        <v>96</v>
      </c>
      <c r="B4" s="100">
        <v>1990</v>
      </c>
      <c r="C4" s="234">
        <v>2005</v>
      </c>
      <c r="D4" s="235"/>
      <c r="E4" s="234">
        <v>2010</v>
      </c>
      <c r="F4" s="235"/>
      <c r="G4" s="236">
        <v>2011</v>
      </c>
      <c r="H4" s="236"/>
      <c r="I4" s="234">
        <v>2014</v>
      </c>
      <c r="J4" s="235"/>
      <c r="K4" s="236">
        <v>2015</v>
      </c>
      <c r="L4" s="236"/>
      <c r="M4" s="249">
        <v>2030</v>
      </c>
      <c r="N4" s="250"/>
      <c r="O4" s="250"/>
      <c r="P4" s="251"/>
      <c r="Q4" s="239">
        <v>2040</v>
      </c>
      <c r="R4" s="240"/>
      <c r="S4" s="249">
        <v>2050</v>
      </c>
      <c r="T4" s="251"/>
    </row>
    <row r="5" spans="1:20" x14ac:dyDescent="0.25">
      <c r="A5" s="54"/>
      <c r="B5" s="34"/>
      <c r="C5" s="28"/>
      <c r="D5" s="56"/>
      <c r="E5" s="28"/>
      <c r="F5" s="56"/>
      <c r="G5" s="30"/>
      <c r="H5" s="38"/>
      <c r="I5" s="28"/>
      <c r="J5" s="56"/>
      <c r="K5" s="30"/>
      <c r="L5" s="38"/>
      <c r="M5" s="252" t="s">
        <v>66</v>
      </c>
      <c r="N5" s="253"/>
      <c r="O5" s="253" t="s">
        <v>67</v>
      </c>
      <c r="P5" s="254"/>
      <c r="Q5" s="90"/>
      <c r="R5" s="49"/>
      <c r="S5" s="28"/>
      <c r="T5" s="56"/>
    </row>
    <row r="6" spans="1:20" ht="30" customHeight="1" x14ac:dyDescent="0.35">
      <c r="A6" s="86" t="s">
        <v>65</v>
      </c>
      <c r="B6" s="35" t="s">
        <v>68</v>
      </c>
      <c r="C6" s="29" t="s">
        <v>68</v>
      </c>
      <c r="D6" s="46" t="s">
        <v>69</v>
      </c>
      <c r="E6" s="29" t="s">
        <v>68</v>
      </c>
      <c r="F6" s="46" t="s">
        <v>69</v>
      </c>
      <c r="G6" s="31" t="s">
        <v>68</v>
      </c>
      <c r="H6" s="39" t="s">
        <v>69</v>
      </c>
      <c r="I6" s="29" t="s">
        <v>68</v>
      </c>
      <c r="J6" s="46" t="s">
        <v>69</v>
      </c>
      <c r="K6" s="31" t="s">
        <v>68</v>
      </c>
      <c r="L6" s="20" t="s">
        <v>69</v>
      </c>
      <c r="M6" s="29" t="s">
        <v>68</v>
      </c>
      <c r="N6" s="20" t="s">
        <v>69</v>
      </c>
      <c r="O6" s="20" t="s">
        <v>68</v>
      </c>
      <c r="P6" s="46" t="s">
        <v>69</v>
      </c>
      <c r="Q6" s="31" t="s">
        <v>68</v>
      </c>
      <c r="R6" s="39" t="s">
        <v>69</v>
      </c>
      <c r="S6" s="29" t="s">
        <v>68</v>
      </c>
      <c r="T6" s="46" t="s">
        <v>69</v>
      </c>
    </row>
    <row r="7" spans="1:20" x14ac:dyDescent="0.25">
      <c r="A7" s="54" t="s">
        <v>70</v>
      </c>
      <c r="B7" s="36">
        <f>+([1]Table10s1!$C$10+[1]Table10s1!$C$15)/1000</f>
        <v>465.32020133321998</v>
      </c>
      <c r="C7" s="57">
        <f>+([1]Table10s1!$R$10+[1]Table10s1!$R$15)/1000</f>
        <v>395.22243224266003</v>
      </c>
      <c r="D7" s="55">
        <f t="shared" ref="D7:D16" si="0">1-C7/B7</f>
        <v>0.15064415619549321</v>
      </c>
      <c r="E7" s="57">
        <f>+([1]Table10s1!$W$10+[1]Table10s1!$W$15)/1000</f>
        <v>367.60714447986004</v>
      </c>
      <c r="F7" s="55">
        <f t="shared" ref="F7:F18" si="1">1-E7/B7</f>
        <v>0.2099910052763575</v>
      </c>
      <c r="G7" s="158">
        <f>+([1]Table10s1!$X$10+[1]Table10s1!$X$15)/1000</f>
        <v>365.16948473683999</v>
      </c>
      <c r="H7" s="40">
        <f t="shared" ref="H7:H21" si="2">1-G7/B7</f>
        <v>0.21522967691802652</v>
      </c>
      <c r="I7" s="57">
        <f>+([1]Table10s1!$AA$10+[1]Table10s1!$AA$15)/1000</f>
        <v>357.81341291827999</v>
      </c>
      <c r="J7" s="55">
        <f t="shared" ref="J7:J16" si="3">1-I7/B7</f>
        <v>0.23103830030786354</v>
      </c>
      <c r="K7" s="57">
        <f>+([1]Table10s1!$AB$10+[1]Table10s1!$AB$15)/1000</f>
        <v>346.09988907923002</v>
      </c>
      <c r="L7" s="21">
        <f t="shared" ref="L7:L16" si="4">1-K7/B7</f>
        <v>0.25621133987392741</v>
      </c>
      <c r="M7" s="42" t="s">
        <v>78</v>
      </c>
      <c r="N7" s="23" t="s">
        <v>85</v>
      </c>
      <c r="O7" s="25">
        <f>+O16-O13-O10-O9-O8</f>
        <v>183.30765143640491</v>
      </c>
      <c r="P7" s="47">
        <f>1-O7/$B7</f>
        <v>0.60606126510046643</v>
      </c>
      <c r="Q7" s="44">
        <f>+(Q$16-Q$11-Q$15)/($O$16-$O$11-O$15)*$O7</f>
        <v>113.5042686603837</v>
      </c>
      <c r="R7" s="50">
        <f t="shared" ref="R7:R17" si="5">1-Q7/$B7</f>
        <v>0.75607276809565749</v>
      </c>
      <c r="S7" s="52">
        <f>+(S$16-S$11-S$15)/($O$16-$O$11-O$15)*$O7</f>
        <v>18.493749348002222</v>
      </c>
      <c r="T7" s="47">
        <f t="shared" ref="T7:T17" si="6">1-S7/$B7</f>
        <v>0.96025586403724883</v>
      </c>
    </row>
    <row r="8" spans="1:20" x14ac:dyDescent="0.25">
      <c r="A8" s="85" t="s">
        <v>71</v>
      </c>
      <c r="B8" s="37">
        <f>+[1]Table10s1!$C$13/1000</f>
        <v>208.17361982692</v>
      </c>
      <c r="C8" s="58">
        <f>+[1]Table10s1!$R$13/1000</f>
        <v>158.10512805230999</v>
      </c>
      <c r="D8" s="59">
        <f t="shared" si="0"/>
        <v>0.24051314386634592</v>
      </c>
      <c r="E8" s="58">
        <f>+[1]Table10s1!$W$13/1000</f>
        <v>153.26492210974001</v>
      </c>
      <c r="F8" s="59">
        <f t="shared" si="1"/>
        <v>0.26376395704139777</v>
      </c>
      <c r="G8" s="32">
        <f>+[1]Table10s1!$X$13/1000</f>
        <v>132.81745949794001</v>
      </c>
      <c r="H8" s="41">
        <f t="shared" si="2"/>
        <v>0.36198707786141548</v>
      </c>
      <c r="I8" s="58">
        <f>+[1]Table10s1!$AA$13/1000</f>
        <v>124.08811192839001</v>
      </c>
      <c r="J8" s="59">
        <f t="shared" si="3"/>
        <v>0.40392009308595622</v>
      </c>
      <c r="K8" s="58">
        <f>+[1]Table10s1!$AB$13/1000</f>
        <v>127.28217557149</v>
      </c>
      <c r="L8" s="22">
        <f t="shared" si="4"/>
        <v>0.38857682506882896</v>
      </c>
      <c r="M8" s="43" t="s">
        <v>79</v>
      </c>
      <c r="N8" s="24" t="s">
        <v>86</v>
      </c>
      <c r="O8" s="26">
        <f>72*557.9/557</f>
        <v>72.11633752244164</v>
      </c>
      <c r="P8" s="48">
        <f>1-O8/$B8</f>
        <v>0.65357600265393523</v>
      </c>
      <c r="Q8" s="45">
        <f>+(Q$16-Q$11-Q$15)/($O$16-$O$11-O$15)*$O8</f>
        <v>44.654503425297186</v>
      </c>
      <c r="R8" s="51">
        <f t="shared" si="5"/>
        <v>0.78549393788500244</v>
      </c>
      <c r="S8" s="53">
        <f>+(S$16-S$11-S$15)/($O$16-$O$11-O$15)*$O8</f>
        <v>7.2757545011625737</v>
      </c>
      <c r="T8" s="48">
        <f t="shared" si="6"/>
        <v>0.96504958453808032</v>
      </c>
    </row>
    <row r="9" spans="1:20" x14ac:dyDescent="0.25">
      <c r="A9" s="115" t="s">
        <v>72</v>
      </c>
      <c r="B9" s="36">
        <f>+[1]Table10s1!$C$12/1000</f>
        <v>164.40387239634998</v>
      </c>
      <c r="C9" s="57">
        <f>+[1]Table10s1!$R$12/1000</f>
        <v>161.38184578841</v>
      </c>
      <c r="D9" s="55">
        <f t="shared" si="0"/>
        <v>1.838172400619853E-2</v>
      </c>
      <c r="E9" s="57">
        <f>+[1]Table10s1!$W$12/1000</f>
        <v>154.2098118685</v>
      </c>
      <c r="F9" s="55">
        <f t="shared" si="1"/>
        <v>6.2006206905356964E-2</v>
      </c>
      <c r="G9" s="158">
        <f>+[1]Table10s1!$X$12/1000</f>
        <v>156.36736891071999</v>
      </c>
      <c r="H9" s="40">
        <f t="shared" si="2"/>
        <v>4.888268973528398E-2</v>
      </c>
      <c r="I9" s="57">
        <f>+[1]Table10s1!$AA$12/1000</f>
        <v>160.12498447677001</v>
      </c>
      <c r="J9" s="55">
        <f t="shared" si="3"/>
        <v>2.6026685729544696E-2</v>
      </c>
      <c r="K9" s="57">
        <f>+[1]Table10s1!$AB$12/1000</f>
        <v>160.80691576616002</v>
      </c>
      <c r="L9" s="21">
        <f t="shared" si="4"/>
        <v>2.1878782888509529E-2</v>
      </c>
      <c r="M9" s="42" t="s">
        <v>80</v>
      </c>
      <c r="N9" s="23" t="s">
        <v>87</v>
      </c>
      <c r="O9" s="25">
        <f>98*557.9/557</f>
        <v>98.158348294434461</v>
      </c>
      <c r="P9" s="47">
        <f t="shared" ref="P9:P17" si="7">1-O9/B9</f>
        <v>0.40294381839260296</v>
      </c>
      <c r="Q9" s="44">
        <f>+(Q$16-Q$11-Q$15)/($O$16-$O$11-O$15)*$O9</f>
        <v>60.77974077332118</v>
      </c>
      <c r="R9" s="50">
        <f t="shared" si="5"/>
        <v>0.63030225573524512</v>
      </c>
      <c r="S9" s="52">
        <f>+(S$16-S$11-S$15)/($O$16-$O$11-O$15)*$O9</f>
        <v>9.9031102932490587</v>
      </c>
      <c r="T9" s="47">
        <f t="shared" si="6"/>
        <v>0.93976352169263788</v>
      </c>
    </row>
    <row r="10" spans="1:20" x14ac:dyDescent="0.25">
      <c r="A10" s="85" t="s">
        <v>73</v>
      </c>
      <c r="B10" s="37">
        <f>+B11+B12</f>
        <v>283.34292635759084</v>
      </c>
      <c r="C10" s="58">
        <f>+C11+C12</f>
        <v>190.78615492510923</v>
      </c>
      <c r="D10" s="59">
        <f t="shared" si="0"/>
        <v>0.32665989803349116</v>
      </c>
      <c r="E10" s="58">
        <f>+E11+E12</f>
        <v>187.78911702224491</v>
      </c>
      <c r="F10" s="59">
        <f t="shared" si="1"/>
        <v>0.33723732073957957</v>
      </c>
      <c r="G10" s="32">
        <f>+G11+G12</f>
        <v>188.31427653184889</v>
      </c>
      <c r="H10" s="41">
        <f t="shared" si="2"/>
        <v>0.33538387934135949</v>
      </c>
      <c r="I10" s="58">
        <f>+I11+I12</f>
        <v>182.84048194879503</v>
      </c>
      <c r="J10" s="59">
        <f t="shared" si="3"/>
        <v>0.35470250025567052</v>
      </c>
      <c r="K10" s="32">
        <f>+K11+K12</f>
        <v>188.59525640005205</v>
      </c>
      <c r="L10" s="22">
        <f t="shared" si="4"/>
        <v>0.33439221926423957</v>
      </c>
      <c r="M10" s="43" t="s">
        <v>81</v>
      </c>
      <c r="N10" s="24" t="s">
        <v>88</v>
      </c>
      <c r="O10" s="26">
        <f>143*557.9/557</f>
        <v>143.23105924596049</v>
      </c>
      <c r="P10" s="48">
        <f t="shared" si="7"/>
        <v>0.49449572965447253</v>
      </c>
      <c r="Q10" s="45">
        <f>+Q11+Q12</f>
        <v>102.34828169099191</v>
      </c>
      <c r="R10" s="51">
        <f t="shared" si="5"/>
        <v>0.63878300049098802</v>
      </c>
      <c r="S10" s="53">
        <f>+S11+S12</f>
        <v>48.218756692163552</v>
      </c>
      <c r="T10" s="48">
        <f t="shared" si="6"/>
        <v>0.82982191469530664</v>
      </c>
    </row>
    <row r="11" spans="1:20" x14ac:dyDescent="0.25">
      <c r="A11" s="115" t="s">
        <v>108</v>
      </c>
      <c r="B11" s="120">
        <f>+[1]Table10s1!$C$19/1000</f>
        <v>96.642840360870807</v>
      </c>
      <c r="C11" s="119">
        <f>+[1]Table10s1!$R$19/1000</f>
        <v>75.488133783619233</v>
      </c>
      <c r="D11" s="55">
        <f t="shared" si="0"/>
        <v>0.21889574538846845</v>
      </c>
      <c r="E11" s="119">
        <f>+[1]Table10s1!$W$19/1000</f>
        <v>62.534271152564926</v>
      </c>
      <c r="F11" s="55">
        <f t="shared" si="1"/>
        <v>0.35293425856423721</v>
      </c>
      <c r="G11" s="159">
        <f>+[1]Table10s1!$X$19/1000</f>
        <v>62.462770339148889</v>
      </c>
      <c r="H11" s="40">
        <f t="shared" si="2"/>
        <v>0.3536741045078069</v>
      </c>
      <c r="I11" s="119">
        <f>+[1]Table10s1!$AA$19/1000</f>
        <v>61.445931746665025</v>
      </c>
      <c r="J11" s="55">
        <f t="shared" si="3"/>
        <v>0.36419571778704118</v>
      </c>
      <c r="K11" s="119">
        <f>+[1]Table10s1!$AB$19/1000</f>
        <v>61.534486442162049</v>
      </c>
      <c r="L11" s="21">
        <f t="shared" si="4"/>
        <v>0.36327940887924881</v>
      </c>
      <c r="M11" s="116"/>
      <c r="N11" s="117"/>
      <c r="O11" s="118">
        <v>46.9</v>
      </c>
      <c r="P11" s="47">
        <f t="shared" si="7"/>
        <v>0.51470797190074014</v>
      </c>
      <c r="Q11" s="118">
        <f>+O11+(44.8-46.9)*2</f>
        <v>42.699999999999996</v>
      </c>
      <c r="R11" s="50">
        <f t="shared" si="5"/>
        <v>0.55816695949171868</v>
      </c>
      <c r="S11" s="119">
        <f>+Q11+Q11-O11</f>
        <v>38.499999999999993</v>
      </c>
      <c r="T11" s="47">
        <f t="shared" si="6"/>
        <v>0.60162594708269723</v>
      </c>
    </row>
    <row r="12" spans="1:20" x14ac:dyDescent="0.25">
      <c r="A12" s="85" t="s">
        <v>109</v>
      </c>
      <c r="B12" s="121">
        <f>+[1]Table10s1!$C$11/1000</f>
        <v>186.70008599672002</v>
      </c>
      <c r="C12" s="53">
        <f>+[1]Table10s1!$R$11/1000</f>
        <v>115.29802114149</v>
      </c>
      <c r="D12" s="59">
        <f t="shared" si="0"/>
        <v>0.38244259221436261</v>
      </c>
      <c r="E12" s="53">
        <f>+[1]Table10s1!$W$11/1000</f>
        <v>125.25484586968</v>
      </c>
      <c r="F12" s="59">
        <f t="shared" si="1"/>
        <v>0.32911200762981707</v>
      </c>
      <c r="G12" s="45">
        <f>+[1]Table10s1!$X$11/1000</f>
        <v>125.8515061927</v>
      </c>
      <c r="H12" s="41">
        <f t="shared" si="2"/>
        <v>0.32591618519709209</v>
      </c>
      <c r="I12" s="53">
        <f>+[1]Table10s1!$AA$11/1000</f>
        <v>121.39455020213001</v>
      </c>
      <c r="J12" s="59">
        <f t="shared" si="3"/>
        <v>0.34978846124225837</v>
      </c>
      <c r="K12" s="53">
        <f>+[1]Table10s1!$AB$11/1000</f>
        <v>127.06076995789</v>
      </c>
      <c r="L12" s="22">
        <f t="shared" si="4"/>
        <v>0.31943914605308632</v>
      </c>
      <c r="M12" s="43"/>
      <c r="N12" s="24"/>
      <c r="O12" s="26">
        <f>+O10-O11</f>
        <v>96.331059245960489</v>
      </c>
      <c r="P12" s="48">
        <f t="shared" si="7"/>
        <v>0.484033128685046</v>
      </c>
      <c r="Q12" s="45">
        <f>+(Q$16-Q$11-Q$15)/($O$16-$O$11-O$15)*$O12</f>
        <v>59.648281690991915</v>
      </c>
      <c r="R12" s="51">
        <f t="shared" si="5"/>
        <v>0.68051283226489878</v>
      </c>
      <c r="S12" s="53">
        <f>+(S$16-S$11-S$15)/($O$16-$O$11-O$15)*$O12</f>
        <v>9.7187566921635575</v>
      </c>
      <c r="T12" s="48">
        <f t="shared" si="6"/>
        <v>0.94794455160382574</v>
      </c>
    </row>
    <row r="13" spans="1:20" x14ac:dyDescent="0.25">
      <c r="A13" s="54" t="s">
        <v>74</v>
      </c>
      <c r="B13" s="36">
        <f>+([1]Table10s1!$C$28+[1]Table10s1!$C$14)/1000</f>
        <v>91.719796163336795</v>
      </c>
      <c r="C13" s="57">
        <f>+([1]Table10s1!$R$28+[1]Table10s1!$R$14)/1000</f>
        <v>65.186415457165197</v>
      </c>
      <c r="D13" s="55">
        <f t="shared" si="0"/>
        <v>0.28928739286468019</v>
      </c>
      <c r="E13" s="57">
        <f>+([1]Table10s1!$W$28+[1]Table10s1!$W$14)/1000</f>
        <v>64.169305009243601</v>
      </c>
      <c r="F13" s="55">
        <f t="shared" si="1"/>
        <v>0.30037671589490478</v>
      </c>
      <c r="G13" s="158">
        <f>+([1]Table10s1!$X$28+[1]Table10s1!$X$14)/1000</f>
        <v>65.757824800099201</v>
      </c>
      <c r="H13" s="40">
        <f t="shared" si="2"/>
        <v>0.28305744723858628</v>
      </c>
      <c r="I13" s="57">
        <f>+([1]Table10s1!$AA$28+[1]Table10s1!$AA$14)/1000</f>
        <v>67.579096393173216</v>
      </c>
      <c r="J13" s="55">
        <f t="shared" si="3"/>
        <v>0.26320053881468775</v>
      </c>
      <c r="K13" s="57">
        <f>+([1]Table10s1!$AB$28+[1]Table10s1!$AB$14)/1000</f>
        <v>67.936776338781996</v>
      </c>
      <c r="L13" s="21">
        <f t="shared" si="4"/>
        <v>0.25930083601801113</v>
      </c>
      <c r="M13" s="42" t="s">
        <v>82</v>
      </c>
      <c r="N13" s="23" t="s">
        <v>89</v>
      </c>
      <c r="O13" s="25">
        <f>61*557.9/557</f>
        <v>61.098563734290849</v>
      </c>
      <c r="P13" s="47">
        <f t="shared" si="7"/>
        <v>0.33385630703446967</v>
      </c>
      <c r="Q13" s="44">
        <f>+Q14+Q15</f>
        <v>50.654512272361011</v>
      </c>
      <c r="R13" s="50">
        <f t="shared" si="5"/>
        <v>0.447725415981581</v>
      </c>
      <c r="S13" s="52">
        <f>+S14+S15</f>
        <v>40.089064772874188</v>
      </c>
      <c r="T13" s="47">
        <f t="shared" si="6"/>
        <v>0.56291807821418804</v>
      </c>
    </row>
    <row r="14" spans="1:20" x14ac:dyDescent="0.25">
      <c r="A14" s="85" t="s">
        <v>112</v>
      </c>
      <c r="B14" s="37">
        <f>+[1]Table10s1!$C$14/1000</f>
        <v>12.138238285170001</v>
      </c>
      <c r="C14" s="58">
        <f>+[1]Table10s1!$R$14/1000</f>
        <v>1.7399619018400001</v>
      </c>
      <c r="D14" s="59">
        <f t="shared" ref="D14" si="8">1-C14/B14</f>
        <v>0.85665449458462073</v>
      </c>
      <c r="E14" s="58">
        <f>+[1]Table10s1!$W$14/1000</f>
        <v>1.3159568861499999</v>
      </c>
      <c r="F14" s="59">
        <f t="shared" si="1"/>
        <v>0.89158584176438671</v>
      </c>
      <c r="G14" s="32">
        <f>+[1]Table10s1!$X$14/1000</f>
        <v>1.2203109108500001</v>
      </c>
      <c r="H14" s="41">
        <f t="shared" ref="H14" si="9">1-G14/B14</f>
        <v>0.8994655664042347</v>
      </c>
      <c r="I14" s="58">
        <f>+[1]Table10s1!$AA$14/1000</f>
        <v>0.98820749968999999</v>
      </c>
      <c r="J14" s="59">
        <f t="shared" ref="J14" si="10">1-I14/B14</f>
        <v>0.91858723840531686</v>
      </c>
      <c r="K14" s="58">
        <f>+[1]Table10s1!$AB$14/1000</f>
        <v>0.98160220403999998</v>
      </c>
      <c r="L14" s="22">
        <f t="shared" ref="L14" si="11">1-K14/B14</f>
        <v>0.91913141091987949</v>
      </c>
      <c r="M14" s="43"/>
      <c r="N14" s="24"/>
      <c r="O14" s="26">
        <f>+O13/K13*K14</f>
        <v>0.88279850851594832</v>
      </c>
      <c r="P14" s="48">
        <f t="shared" ref="P14" si="12">1-O14/B14</f>
        <v>0.92727128206121023</v>
      </c>
      <c r="Q14" s="45">
        <f>+(Q$16-Q$11-Q$15)/($O$16-$O$11-O$15)*$O14</f>
        <v>0.54662965947356101</v>
      </c>
      <c r="R14" s="51">
        <f t="shared" ref="R14" si="13">1-Q14/$B14</f>
        <v>0.95496631005000032</v>
      </c>
      <c r="S14" s="53">
        <f>+(S$16-S$11-S$15)/($O$16-$O$11-O$15)*$O14</f>
        <v>8.9064772874187598E-2</v>
      </c>
      <c r="T14" s="48">
        <f t="shared" ref="T14" si="14">1-S14/$B14</f>
        <v>0.99266246297182981</v>
      </c>
    </row>
    <row r="15" spans="1:20" x14ac:dyDescent="0.25">
      <c r="A15" s="187" t="s">
        <v>109</v>
      </c>
      <c r="B15" s="188">
        <f>+B13-B14</f>
        <v>79.581557878166791</v>
      </c>
      <c r="C15" s="189">
        <f>+C13-C14</f>
        <v>63.446453555325199</v>
      </c>
      <c r="D15" s="55">
        <f t="shared" si="0"/>
        <v>0.20274928957212912</v>
      </c>
      <c r="E15" s="189">
        <f>+E13-E14</f>
        <v>62.853348123093603</v>
      </c>
      <c r="F15" s="55">
        <f t="shared" si="1"/>
        <v>0.21020208954294139</v>
      </c>
      <c r="G15" s="191">
        <f>+G13-G14</f>
        <v>64.537513889249198</v>
      </c>
      <c r="H15" s="40">
        <f t="shared" si="2"/>
        <v>0.18903932506509691</v>
      </c>
      <c r="I15" s="189">
        <f>+I13-I14</f>
        <v>66.590888893483211</v>
      </c>
      <c r="J15" s="55">
        <f t="shared" si="3"/>
        <v>0.16323717870126753</v>
      </c>
      <c r="K15" s="191">
        <f>+K13-K14</f>
        <v>66.955174134741995</v>
      </c>
      <c r="L15" s="21">
        <f t="shared" si="4"/>
        <v>0.15865967040699069</v>
      </c>
      <c r="M15" s="194"/>
      <c r="N15" s="195"/>
      <c r="O15" s="196">
        <f>+O13-O14</f>
        <v>60.215765225774902</v>
      </c>
      <c r="P15" s="47">
        <f t="shared" si="7"/>
        <v>0.24334523184428503</v>
      </c>
      <c r="Q15" s="198">
        <f>+(O15+S15)/2</f>
        <v>50.107882612887451</v>
      </c>
      <c r="R15" s="50">
        <f t="shared" si="5"/>
        <v>0.37035810872666319</v>
      </c>
      <c r="S15" s="200">
        <v>40</v>
      </c>
      <c r="T15" s="47">
        <f t="shared" si="6"/>
        <v>0.49737098560904136</v>
      </c>
    </row>
    <row r="16" spans="1:20" x14ac:dyDescent="0.25">
      <c r="A16" s="85" t="s">
        <v>75</v>
      </c>
      <c r="B16" s="37">
        <f>SUM(B7:B13)-B11-B12</f>
        <v>1212.9604160774174</v>
      </c>
      <c r="C16" s="58">
        <f>SUM(C7:C13)-C11-C12</f>
        <v>970.6819764656542</v>
      </c>
      <c r="D16" s="59">
        <f t="shared" si="0"/>
        <v>0.19974142305093967</v>
      </c>
      <c r="E16" s="58">
        <f>SUM(E7:E13)-E11-E12</f>
        <v>927.04030048958828</v>
      </c>
      <c r="F16" s="59">
        <f t="shared" si="1"/>
        <v>0.23572089558574705</v>
      </c>
      <c r="G16" s="32">
        <f>SUM(G7:G13)-G11-G12</f>
        <v>908.42641447744802</v>
      </c>
      <c r="H16" s="41">
        <f t="shared" si="2"/>
        <v>0.25106672696278032</v>
      </c>
      <c r="I16" s="58">
        <f>SUM(I7:I13)-I11-I12</f>
        <v>892.44608766540819</v>
      </c>
      <c r="J16" s="59">
        <f t="shared" si="3"/>
        <v>0.2642413752037498</v>
      </c>
      <c r="K16" s="32">
        <f>SUM(K7:K13)-K11-K12</f>
        <v>890.72101315571422</v>
      </c>
      <c r="L16" s="22">
        <f t="shared" si="4"/>
        <v>0.26566357702239829</v>
      </c>
      <c r="M16" s="43" t="s">
        <v>83</v>
      </c>
      <c r="N16" s="24" t="s">
        <v>90</v>
      </c>
      <c r="O16" s="26">
        <f>+O18-O17</f>
        <v>557.91196023353234</v>
      </c>
      <c r="P16" s="48">
        <f t="shared" si="7"/>
        <v>0.54004108226568581</v>
      </c>
      <c r="Q16" s="45">
        <f>+Q18-Q17</f>
        <v>371.94130682235499</v>
      </c>
      <c r="R16" s="51">
        <f t="shared" si="5"/>
        <v>0.69336072151045713</v>
      </c>
      <c r="S16" s="53">
        <f>+S18-S17</f>
        <v>123.9804356074516</v>
      </c>
      <c r="T16" s="48">
        <f t="shared" si="6"/>
        <v>0.89778690717015242</v>
      </c>
    </row>
    <row r="17" spans="1:20" x14ac:dyDescent="0.25">
      <c r="A17" s="88" t="s">
        <v>76</v>
      </c>
      <c r="B17" s="201">
        <f>+[1]Table10s1!$C$48/1000</f>
        <v>37.95505110821</v>
      </c>
      <c r="C17" s="202">
        <f>+[1]Table10s1!$R$48/1000</f>
        <v>21.250688441089999</v>
      </c>
      <c r="D17" s="190">
        <f>1-C17/$B17</f>
        <v>0.44010908112060754</v>
      </c>
      <c r="E17" s="202">
        <f>+[1]Table10s1!$W$48/1000</f>
        <v>14.7099680183</v>
      </c>
      <c r="F17" s="190">
        <f t="shared" si="1"/>
        <v>0.61243714370554203</v>
      </c>
      <c r="G17" s="203">
        <f>+[1]Table10s1!$X$48/1000</f>
        <v>13.936959157130001</v>
      </c>
      <c r="H17" s="192">
        <f t="shared" si="2"/>
        <v>0.63280357290533806</v>
      </c>
      <c r="I17" s="202">
        <f>+[1]Table10s1!$AA$48/1000</f>
        <v>11.816128600840001</v>
      </c>
      <c r="J17" s="190">
        <f>1-I17/$B17</f>
        <v>0.68868099881746514</v>
      </c>
      <c r="K17" s="202">
        <f>+[1]Table10s1!$AB$48/1000</f>
        <v>11.21049930379</v>
      </c>
      <c r="L17" s="193">
        <f>1-K17/$B17</f>
        <v>0.7046374862774174</v>
      </c>
      <c r="M17" s="204">
        <v>5</v>
      </c>
      <c r="N17" s="205" t="s">
        <v>91</v>
      </c>
      <c r="O17" s="206">
        <f>+M17</f>
        <v>5</v>
      </c>
      <c r="P17" s="197">
        <f t="shared" si="7"/>
        <v>0.868265228105082</v>
      </c>
      <c r="Q17" s="207">
        <f>+Q18/$O18*$O17</f>
        <v>3.3333333333333344</v>
      </c>
      <c r="R17" s="199">
        <f t="shared" si="5"/>
        <v>0.9121768187367213</v>
      </c>
      <c r="S17" s="208">
        <f>+S18/$O18*$O17</f>
        <v>1.1111111111111107</v>
      </c>
      <c r="T17" s="197">
        <f t="shared" si="6"/>
        <v>0.9707256062455738</v>
      </c>
    </row>
    <row r="18" spans="1:20" x14ac:dyDescent="0.25">
      <c r="A18" s="87" t="s">
        <v>77</v>
      </c>
      <c r="B18" s="214">
        <f>+B16+B17</f>
        <v>1250.9154671856274</v>
      </c>
      <c r="C18" s="60">
        <f>+C16+C17</f>
        <v>991.93266490674421</v>
      </c>
      <c r="D18" s="215">
        <f>1-C18/B18</f>
        <v>0.20703461510597176</v>
      </c>
      <c r="E18" s="60">
        <f>+E16+E17</f>
        <v>941.75026850788822</v>
      </c>
      <c r="F18" s="215">
        <f t="shared" si="1"/>
        <v>0.2471511519266083</v>
      </c>
      <c r="G18" s="216">
        <f>+G16+G17</f>
        <v>922.36337363457801</v>
      </c>
      <c r="H18" s="217">
        <f t="shared" si="2"/>
        <v>0.26264931737573161</v>
      </c>
      <c r="I18" s="60">
        <f>+I16+I17</f>
        <v>904.26221626624817</v>
      </c>
      <c r="J18" s="215">
        <f>1-I18/B18</f>
        <v>0.27711964558188507</v>
      </c>
      <c r="K18" s="216">
        <f>+K16+K17</f>
        <v>901.93151245950423</v>
      </c>
      <c r="L18" s="218">
        <f>1-K18/B18</f>
        <v>0.2789828440696196</v>
      </c>
      <c r="M18" s="219" t="s">
        <v>84</v>
      </c>
      <c r="N18" s="220" t="s">
        <v>92</v>
      </c>
      <c r="O18" s="27">
        <f>+$B18*(1-P18)</f>
        <v>562.91196023353234</v>
      </c>
      <c r="P18" s="215">
        <v>0.55000000000000004</v>
      </c>
      <c r="Q18" s="221">
        <f>+$B18*(1-R18)</f>
        <v>375.2746401556883</v>
      </c>
      <c r="R18" s="217">
        <v>0.7</v>
      </c>
      <c r="S18" s="222">
        <f>+$B18*(1-T18)</f>
        <v>125.09154671856271</v>
      </c>
      <c r="T18" s="215">
        <v>0.9</v>
      </c>
    </row>
    <row r="19" spans="1:20" x14ac:dyDescent="0.25">
      <c r="A19" s="88" t="s">
        <v>114</v>
      </c>
      <c r="B19" s="201"/>
      <c r="C19" s="203">
        <v>518.94500000000005</v>
      </c>
      <c r="D19" s="190"/>
      <c r="E19" s="202">
        <v>478.92</v>
      </c>
      <c r="F19" s="190"/>
      <c r="G19" s="203">
        <v>473.577</v>
      </c>
      <c r="H19" s="192"/>
      <c r="I19" s="202">
        <v>461.23399999999998</v>
      </c>
      <c r="J19" s="190"/>
      <c r="K19" s="203">
        <v>455.7</v>
      </c>
      <c r="L19" s="193"/>
      <c r="M19" s="204"/>
      <c r="N19" s="205"/>
      <c r="O19" s="206"/>
      <c r="P19" s="197"/>
      <c r="Q19" s="207"/>
      <c r="R19" s="199"/>
      <c r="S19" s="208"/>
      <c r="T19" s="197"/>
    </row>
    <row r="20" spans="1:20" x14ac:dyDescent="0.25">
      <c r="A20" s="85" t="s">
        <v>132</v>
      </c>
      <c r="B20" s="37">
        <f>+B7+B8+B9+B10+B14</f>
        <v>1133.3788581992508</v>
      </c>
      <c r="C20" s="126">
        <f>+C7+C8+C9+C10+C14</f>
        <v>907.23552291032934</v>
      </c>
      <c r="D20" s="59">
        <f t="shared" ref="D20" si="15">1-C20/B20</f>
        <v>0.19953022209027738</v>
      </c>
      <c r="E20" s="58">
        <f>+E7+E8+E9+E10+E14</f>
        <v>864.18695236649501</v>
      </c>
      <c r="F20" s="59">
        <f>1-E20/B20</f>
        <v>0.2375127292037692</v>
      </c>
      <c r="G20" s="32">
        <f>+G7+G8+G9+G10+G14</f>
        <v>843.88890058819891</v>
      </c>
      <c r="H20" s="125">
        <f t="shared" si="2"/>
        <v>0.25542205549078523</v>
      </c>
      <c r="I20" s="126">
        <f>+I7+I8+I9+I10+I14</f>
        <v>825.85519877192507</v>
      </c>
      <c r="J20" s="59">
        <f t="shared" ref="J20" si="16">1-I20/B20</f>
        <v>0.27133350618162166</v>
      </c>
      <c r="K20" s="58">
        <f>+K7+K8+K9+K10+K14</f>
        <v>823.76583902097218</v>
      </c>
      <c r="L20" s="125">
        <f t="shared" ref="L20" si="17">1-K20/B20</f>
        <v>0.2731769848523572</v>
      </c>
      <c r="M20" s="178"/>
      <c r="N20" s="223"/>
      <c r="O20" s="26">
        <f>+O7+O8+O9+O10+O14</f>
        <v>497.69619500775752</v>
      </c>
      <c r="P20" s="128">
        <f t="shared" ref="P20:P21" si="18">1-O20/B20</f>
        <v>0.56087393777706995</v>
      </c>
      <c r="Q20" s="104">
        <f>+Q7+Q8+Q9+Q10+Q14</f>
        <v>321.83342420946752</v>
      </c>
      <c r="R20" s="51">
        <f t="shared" ref="R20:R21" si="19">1-Q20/$B20</f>
        <v>0.71604073793929157</v>
      </c>
      <c r="S20" s="53">
        <f>+S7+S8+S9+S10+S14</f>
        <v>83.980435607451582</v>
      </c>
      <c r="T20" s="128">
        <f t="shared" ref="T20:T21" si="20">1-S20/$B20</f>
        <v>0.92590259205921455</v>
      </c>
    </row>
    <row r="21" spans="1:20" x14ac:dyDescent="0.25">
      <c r="A21" s="88" t="s">
        <v>112</v>
      </c>
      <c r="B21" s="201">
        <f>+B7+B8+B9+B12+B14</f>
        <v>1036.7360178383799</v>
      </c>
      <c r="C21" s="209">
        <f>+C7+C8+C9+C12+C14</f>
        <v>831.74738912671012</v>
      </c>
      <c r="D21" s="190">
        <f>1-C21/$B21</f>
        <v>0.19772499959929635</v>
      </c>
      <c r="E21" s="202">
        <f>+E7+E8+E9+E12+E14</f>
        <v>801.65268121393012</v>
      </c>
      <c r="F21" s="190">
        <f>1-E21/B21</f>
        <v>0.22675332252332114</v>
      </c>
      <c r="G21" s="203">
        <f>+G7+G8+G9+G12+G14</f>
        <v>781.42613024904995</v>
      </c>
      <c r="H21" s="210">
        <f t="shared" si="2"/>
        <v>0.24626315975947022</v>
      </c>
      <c r="I21" s="209">
        <f>+I7+I8+I9+I12+I14</f>
        <v>764.40926702525996</v>
      </c>
      <c r="J21" s="190">
        <f>1-I21/$B21</f>
        <v>0.26267704230140276</v>
      </c>
      <c r="K21" s="202">
        <f>+K7+K8+K9+K12+K14</f>
        <v>762.23135257881006</v>
      </c>
      <c r="L21" s="210">
        <f>1-K21/$B21</f>
        <v>0.26477778386818163</v>
      </c>
      <c r="M21" s="88"/>
      <c r="N21" s="70"/>
      <c r="O21" s="211">
        <f>+O7+O8+O9+O12+O14</f>
        <v>450.79619500775749</v>
      </c>
      <c r="P21" s="212">
        <f t="shared" si="18"/>
        <v>0.56517745380576367</v>
      </c>
      <c r="Q21" s="213">
        <f>+Q7+Q8+Q9+Q12+Q14</f>
        <v>279.13342420946753</v>
      </c>
      <c r="R21" s="199">
        <f t="shared" si="19"/>
        <v>0.73075747402750846</v>
      </c>
      <c r="S21" s="208">
        <f>+S7+S8+S9+S12+S14</f>
        <v>45.480435607451604</v>
      </c>
      <c r="T21" s="212">
        <f t="shared" si="20"/>
        <v>0.95613113191313692</v>
      </c>
    </row>
    <row r="22" spans="1:20" x14ac:dyDescent="0.25">
      <c r="A22" s="88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101"/>
    </row>
    <row r="23" spans="1:20" x14ac:dyDescent="0.25">
      <c r="A23" s="88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101"/>
    </row>
    <row r="24" spans="1:20" x14ac:dyDescent="0.25">
      <c r="A24" s="87" t="s">
        <v>93</v>
      </c>
      <c r="B24" s="33">
        <v>1990</v>
      </c>
      <c r="C24" s="243">
        <v>2005</v>
      </c>
      <c r="D24" s="244"/>
      <c r="E24" s="243">
        <v>2010</v>
      </c>
      <c r="F24" s="244"/>
      <c r="G24" s="245">
        <v>2011</v>
      </c>
      <c r="H24" s="245"/>
      <c r="I24" s="243">
        <v>2014</v>
      </c>
      <c r="J24" s="244"/>
      <c r="K24" s="245">
        <v>2015</v>
      </c>
      <c r="L24" s="245"/>
      <c r="M24" s="246">
        <v>2030</v>
      </c>
      <c r="N24" s="247"/>
      <c r="O24" s="247"/>
      <c r="P24" s="248"/>
      <c r="Q24" s="241">
        <v>2040</v>
      </c>
      <c r="R24" s="242"/>
      <c r="S24" s="246">
        <v>2050</v>
      </c>
      <c r="T24" s="248"/>
    </row>
    <row r="25" spans="1:20" x14ac:dyDescent="0.25">
      <c r="A25" s="255" t="s">
        <v>111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7"/>
    </row>
    <row r="26" spans="1:20" ht="33" x14ac:dyDescent="0.35">
      <c r="A26" s="86" t="s">
        <v>65</v>
      </c>
      <c r="B26" s="35" t="s">
        <v>95</v>
      </c>
      <c r="C26" s="29" t="s">
        <v>95</v>
      </c>
      <c r="D26" s="46" t="s">
        <v>69</v>
      </c>
      <c r="E26" s="29" t="s">
        <v>95</v>
      </c>
      <c r="F26" s="46" t="s">
        <v>69</v>
      </c>
      <c r="G26" s="31" t="s">
        <v>95</v>
      </c>
      <c r="H26" s="39" t="s">
        <v>69</v>
      </c>
      <c r="I26" s="29" t="s">
        <v>95</v>
      </c>
      <c r="J26" s="46" t="s">
        <v>69</v>
      </c>
      <c r="K26" s="31" t="s">
        <v>95</v>
      </c>
      <c r="L26" s="20" t="s">
        <v>69</v>
      </c>
      <c r="M26" s="29"/>
      <c r="N26" s="20"/>
      <c r="O26" s="20" t="s">
        <v>95</v>
      </c>
      <c r="P26" s="46" t="s">
        <v>69</v>
      </c>
      <c r="Q26" s="31" t="s">
        <v>95</v>
      </c>
      <c r="R26" s="39" t="s">
        <v>69</v>
      </c>
      <c r="S26" s="29" t="s">
        <v>95</v>
      </c>
      <c r="T26" s="46" t="s">
        <v>69</v>
      </c>
    </row>
    <row r="27" spans="1:20" x14ac:dyDescent="0.25">
      <c r="A27" s="54" t="s">
        <v>70</v>
      </c>
      <c r="B27" s="36">
        <f>+([1]Table10s2!$C$9+[1]Table10s2!$C$14)/1000</f>
        <v>427.97252634130001</v>
      </c>
      <c r="C27" s="57">
        <f>+([1]Table10s2!$R$9+[1]Table10s2!$R$14)/1000</f>
        <v>378.45989442561</v>
      </c>
      <c r="D27" s="55">
        <f t="shared" ref="D27:D36" si="21">1-C27/B27</f>
        <v>0.11569114573537975</v>
      </c>
      <c r="E27" s="57">
        <f>+([1]Table10s2!$W$9+[1]Table10s2!$W$14)/1000</f>
        <v>354.57975115187003</v>
      </c>
      <c r="F27" s="55">
        <f t="shared" ref="F27:F36" si="22">1-E27/B27</f>
        <v>0.17148945474808497</v>
      </c>
      <c r="G27" s="158">
        <f>+([1]Table10s2!$X$9+[1]Table10s2!$X$14)/1000</f>
        <v>352.07411041039995</v>
      </c>
      <c r="H27" s="40">
        <f t="shared" ref="H27:H36" si="23">1-G27/B27</f>
        <v>0.17734413136223726</v>
      </c>
      <c r="I27" s="57">
        <f>+([1]Table10s2!$AA$9+[1]Table10s2!$AA$14)/1000</f>
        <v>344.60624447371003</v>
      </c>
      <c r="J27" s="55">
        <f t="shared" ref="J27:J36" si="24">1-I27/B27</f>
        <v>0.19479353635216046</v>
      </c>
      <c r="K27" s="57">
        <f>+([1]Table10s2!$AB$9+[1]Table10s2!$AB$14)/1000</f>
        <v>332.56797175938004</v>
      </c>
      <c r="L27" s="21">
        <f t="shared" ref="L27:L36" si="25">1-K27/B27</f>
        <v>0.22292214735727367</v>
      </c>
      <c r="M27" s="42"/>
      <c r="N27" s="23"/>
      <c r="O27" s="25">
        <f>+O7/$K7*$K27</f>
        <v>176.14063387412691</v>
      </c>
      <c r="P27" s="47">
        <f>1-O27/$B27</f>
        <v>0.58843004390973896</v>
      </c>
      <c r="Q27" s="44">
        <f>+Q7/$K7*$K27</f>
        <v>109.06644470427506</v>
      </c>
      <c r="R27" s="50">
        <f t="shared" ref="R27:R36" si="26">1-Q27/$B27</f>
        <v>0.74515549949742188</v>
      </c>
      <c r="S27" s="52">
        <f>+S7/$K7*$K27</f>
        <v>17.770675186444468</v>
      </c>
      <c r="T27" s="47">
        <f t="shared" ref="T27:T36" si="27">1-S27/$B27</f>
        <v>0.95847706548276723</v>
      </c>
    </row>
    <row r="28" spans="1:20" x14ac:dyDescent="0.25">
      <c r="A28" s="85" t="s">
        <v>71</v>
      </c>
      <c r="B28" s="37">
        <f>+[1]Table10s2!$C$12/1000</f>
        <v>203.0117365774</v>
      </c>
      <c r="C28" s="58">
        <f>+[1]Table10s2!$R$12/1000</f>
        <v>156.82422702900001</v>
      </c>
      <c r="D28" s="59">
        <f t="shared" si="21"/>
        <v>0.22751152385118678</v>
      </c>
      <c r="E28" s="58">
        <f>+[1]Table10s2!$W$12/1000</f>
        <v>151.37063507724</v>
      </c>
      <c r="F28" s="59">
        <f t="shared" si="22"/>
        <v>0.25437495570839264</v>
      </c>
      <c r="G28" s="32">
        <f>+[1]Table10s2!$X$12/1000</f>
        <v>131.05209269521998</v>
      </c>
      <c r="H28" s="41">
        <f t="shared" si="23"/>
        <v>0.35446051098008702</v>
      </c>
      <c r="I28" s="58">
        <f>+[1]Table10s2!$AA$12/1000</f>
        <v>122.56852810229</v>
      </c>
      <c r="J28" s="59">
        <f t="shared" si="24"/>
        <v>0.396249053534106</v>
      </c>
      <c r="K28" s="58">
        <f>+[1]Table10s2!$AB$12/1000</f>
        <v>125.69418121307</v>
      </c>
      <c r="L28" s="22">
        <f t="shared" si="25"/>
        <v>0.38085263772349442</v>
      </c>
      <c r="M28" s="43"/>
      <c r="N28" s="24"/>
      <c r="O28" s="26">
        <f>+O8/$K8*$K28</f>
        <v>71.216601666880081</v>
      </c>
      <c r="P28" s="48">
        <f>1-O28/$B28</f>
        <v>0.649199583888451</v>
      </c>
      <c r="Q28" s="45">
        <f>+Q8/$K8*$K28</f>
        <v>44.09738614474292</v>
      </c>
      <c r="R28" s="51">
        <f t="shared" si="26"/>
        <v>0.78278405530544093</v>
      </c>
      <c r="S28" s="53">
        <f>+S8/$K8*$K28</f>
        <v>7.1849809340922519</v>
      </c>
      <c r="T28" s="48">
        <f t="shared" si="27"/>
        <v>0.96460805145936523</v>
      </c>
    </row>
    <row r="29" spans="1:20" x14ac:dyDescent="0.25">
      <c r="A29" s="54" t="s">
        <v>72</v>
      </c>
      <c r="B29" s="36">
        <f>+[1]Table10s2!$C$11/1000</f>
        <v>161.88241281320998</v>
      </c>
      <c r="C29" s="57">
        <f>+[1]Table10s2!$R$11/1000</f>
        <v>160.04444558950999</v>
      </c>
      <c r="D29" s="55">
        <f t="shared" si="21"/>
        <v>1.1353717749566505E-2</v>
      </c>
      <c r="E29" s="57">
        <f>+[1]Table10s2!$W$11/1000</f>
        <v>152.77884917689002</v>
      </c>
      <c r="F29" s="55">
        <f t="shared" si="22"/>
        <v>5.6235655733796186E-2</v>
      </c>
      <c r="G29" s="158">
        <f>+[1]Table10s2!$X$11/1000</f>
        <v>154.86149814981002</v>
      </c>
      <c r="H29" s="40">
        <f t="shared" si="23"/>
        <v>4.3370459714491272E-2</v>
      </c>
      <c r="I29" s="57">
        <f>+[1]Table10s2!$AA$11/1000</f>
        <v>158.46802943776001</v>
      </c>
      <c r="J29" s="55">
        <f t="shared" si="24"/>
        <v>2.1091749969094575E-2</v>
      </c>
      <c r="K29" s="57">
        <f>+[1]Table10s2!$AB$11/1000</f>
        <v>159.11112652536002</v>
      </c>
      <c r="L29" s="21">
        <f t="shared" si="25"/>
        <v>1.71191313478114E-2</v>
      </c>
      <c r="M29" s="42"/>
      <c r="N29" s="23"/>
      <c r="O29" s="25">
        <f>+O9/$K9*$K29</f>
        <v>97.123219487073612</v>
      </c>
      <c r="P29" s="47">
        <f t="shared" ref="P29:P36" si="28">1-O29/B29</f>
        <v>0.40003847361022205</v>
      </c>
      <c r="Q29" s="44">
        <f>+Q9/$K9*$K29</f>
        <v>60.138788050790943</v>
      </c>
      <c r="R29" s="50">
        <f t="shared" si="26"/>
        <v>0.62850326353744901</v>
      </c>
      <c r="S29" s="52">
        <f>+S9/$K9*$K29</f>
        <v>9.7986770491579396</v>
      </c>
      <c r="T29" s="47">
        <f t="shared" si="27"/>
        <v>0.93947040398721837</v>
      </c>
    </row>
    <row r="30" spans="1:20" x14ac:dyDescent="0.25">
      <c r="A30" s="85" t="s">
        <v>73</v>
      </c>
      <c r="B30" s="37">
        <f>+B31+B32</f>
        <v>244.39901891070002</v>
      </c>
      <c r="C30" s="58">
        <f>+C31+C32</f>
        <v>166.48198123874454</v>
      </c>
      <c r="D30" s="59">
        <f t="shared" si="21"/>
        <v>0.31881076290418853</v>
      </c>
      <c r="E30" s="58">
        <f>+E31+E32</f>
        <v>170.07296061387024</v>
      </c>
      <c r="F30" s="59">
        <f t="shared" si="22"/>
        <v>0.30411766228892878</v>
      </c>
      <c r="G30" s="32">
        <f>+G31+G32</f>
        <v>170.74007121834813</v>
      </c>
      <c r="H30" s="41">
        <f t="shared" si="23"/>
        <v>0.30138806620686898</v>
      </c>
      <c r="I30" s="58">
        <f>+I31+I32</f>
        <v>165.26369229850181</v>
      </c>
      <c r="J30" s="59">
        <f t="shared" si="24"/>
        <v>0.32379559854580742</v>
      </c>
      <c r="K30" s="32">
        <f>+K31+K32</f>
        <v>170.63436917565832</v>
      </c>
      <c r="L30" s="22">
        <f t="shared" si="25"/>
        <v>0.30182056402605395</v>
      </c>
      <c r="M30" s="43"/>
      <c r="N30" s="24"/>
      <c r="O30" s="26">
        <f>+O31+O32</f>
        <v>129.54609796218168</v>
      </c>
      <c r="P30" s="48">
        <f t="shared" si="28"/>
        <v>0.46994018822343964</v>
      </c>
      <c r="Q30" s="45">
        <f>+Q31+Q32</f>
        <v>90.128269859504456</v>
      </c>
      <c r="R30" s="51">
        <f t="shared" si="26"/>
        <v>0.63122491137153025</v>
      </c>
      <c r="S30" s="53">
        <f>+S31+S32</f>
        <v>37.576741886338638</v>
      </c>
      <c r="T30" s="48">
        <f t="shared" si="27"/>
        <v>0.84624839308349009</v>
      </c>
    </row>
    <row r="31" spans="1:20" x14ac:dyDescent="0.25">
      <c r="A31" s="115" t="s">
        <v>108</v>
      </c>
      <c r="B31" s="120">
        <f>+[1]Table10s2!$C$18/1000</f>
        <v>59.291552127110002</v>
      </c>
      <c r="C31" s="119">
        <f>+[1]Table10s2!$R$18/1000</f>
        <v>52.131951197854555</v>
      </c>
      <c r="D31" s="55">
        <f t="shared" si="21"/>
        <v>0.12075246257521821</v>
      </c>
      <c r="E31" s="119">
        <f>+[1]Table10s2!$W$18/1000</f>
        <v>45.875488372940225</v>
      </c>
      <c r="F31" s="55">
        <f t="shared" si="22"/>
        <v>0.22627277028282622</v>
      </c>
      <c r="G31" s="159">
        <f>+[1]Table10s2!$X$18/1000</f>
        <v>45.997606847678142</v>
      </c>
      <c r="H31" s="40">
        <f t="shared" si="23"/>
        <v>0.22421314339911569</v>
      </c>
      <c r="I31" s="119">
        <f>+[1]Table10s2!$AA$18/1000</f>
        <v>44.946201870671814</v>
      </c>
      <c r="J31" s="55">
        <f t="shared" si="24"/>
        <v>0.24194593903840533</v>
      </c>
      <c r="K31" s="119">
        <f>+[1]Table10s2!$AB$18/1000</f>
        <v>44.65793420454834</v>
      </c>
      <c r="L31" s="21">
        <f t="shared" si="25"/>
        <v>0.24680780646777334</v>
      </c>
      <c r="M31" s="116"/>
      <c r="N31" s="117"/>
      <c r="O31" s="25">
        <f>+O11/$K11*$K31</f>
        <v>34.037126744560624</v>
      </c>
      <c r="P31" s="47">
        <f t="shared" si="28"/>
        <v>0.42593631767993878</v>
      </c>
      <c r="Q31" s="44">
        <f>+Q11/$K11*$K31</f>
        <v>30.989025842062656</v>
      </c>
      <c r="R31" s="50">
        <f t="shared" si="26"/>
        <v>0.47734500564889959</v>
      </c>
      <c r="S31" s="52">
        <f>+S11/$K11*$K31</f>
        <v>27.940924939564692</v>
      </c>
      <c r="T31" s="47">
        <f t="shared" si="27"/>
        <v>0.52875369361786029</v>
      </c>
    </row>
    <row r="32" spans="1:20" x14ac:dyDescent="0.25">
      <c r="A32" s="85" t="s">
        <v>109</v>
      </c>
      <c r="B32" s="121">
        <f>+[1]Table10s2!$C$10/1000</f>
        <v>185.10746678359001</v>
      </c>
      <c r="C32" s="53">
        <f>+[1]Table10s2!$R$10/1000</f>
        <v>114.35003004088999</v>
      </c>
      <c r="D32" s="59">
        <f t="shared" si="21"/>
        <v>0.38225058109310561</v>
      </c>
      <c r="E32" s="53">
        <f>+[1]Table10s2!$W$10/1000</f>
        <v>124.19747224093</v>
      </c>
      <c r="F32" s="59">
        <f t="shared" si="22"/>
        <v>0.32905206689403932</v>
      </c>
      <c r="G32" s="45">
        <f>+[1]Table10s2!$X$10/1000</f>
        <v>124.74246437067001</v>
      </c>
      <c r="H32" s="41">
        <f t="shared" si="23"/>
        <v>0.32610787377633454</v>
      </c>
      <c r="I32" s="53">
        <f>+[1]Table10s2!$AA$10/1000</f>
        <v>120.31749042782999</v>
      </c>
      <c r="J32" s="59">
        <f t="shared" si="24"/>
        <v>0.35001276545751814</v>
      </c>
      <c r="K32" s="53">
        <f>+[1]Table10s2!$AB$10/1000</f>
        <v>125.97643497111</v>
      </c>
      <c r="L32" s="22">
        <f t="shared" si="25"/>
        <v>0.3194416348510154</v>
      </c>
      <c r="M32" s="43"/>
      <c r="N32" s="24"/>
      <c r="O32" s="26">
        <f>+O12/$K12*$K32</f>
        <v>95.508971217621053</v>
      </c>
      <c r="P32" s="48">
        <f t="shared" si="28"/>
        <v>0.48403501556595219</v>
      </c>
      <c r="Q32" s="45">
        <f>+Q12/$K12*$K32</f>
        <v>59.139244017441797</v>
      </c>
      <c r="R32" s="51">
        <f t="shared" si="26"/>
        <v>0.68051400062331491</v>
      </c>
      <c r="S32" s="53">
        <f>+S12/$K12*$K32</f>
        <v>9.6358169467739465</v>
      </c>
      <c r="T32" s="48">
        <f t="shared" si="27"/>
        <v>0.94794474196959744</v>
      </c>
    </row>
    <row r="33" spans="1:24" x14ac:dyDescent="0.25">
      <c r="A33" s="54" t="s">
        <v>74</v>
      </c>
      <c r="B33" s="36">
        <f>+([1]Table10s2!$C$27+[1]Table10s2!$C$13)/1000</f>
        <v>14.9811114704268</v>
      </c>
      <c r="C33" s="57">
        <f>+([1]Table10s2!$R$27+[1]Table10s2!$R$13)/1000</f>
        <v>4.0551835891951997</v>
      </c>
      <c r="D33" s="55">
        <f t="shared" si="21"/>
        <v>0.72931356947712034</v>
      </c>
      <c r="E33" s="57">
        <f>+([1]Table10s2!$W$27+[1]Table10s2!$W$13)/1000</f>
        <v>3.6344500820435997</v>
      </c>
      <c r="F33" s="55">
        <f t="shared" si="22"/>
        <v>0.75739783465211363</v>
      </c>
      <c r="G33" s="158">
        <f>+([1]Table10s2!$X$27+[1]Table10s2!$X$13)/1000</f>
        <v>3.8493338313091998</v>
      </c>
      <c r="H33" s="40">
        <f t="shared" si="23"/>
        <v>0.74305418934316658</v>
      </c>
      <c r="I33" s="57">
        <f>+([1]Table10s2!$AA$27+[1]Table10s2!$AA$13)/1000</f>
        <v>3.9224722826231999</v>
      </c>
      <c r="J33" s="55">
        <f t="shared" si="24"/>
        <v>0.73817214494623529</v>
      </c>
      <c r="K33" s="57">
        <f>+([1]Table10s2!$AB$27+[1]Table10s2!$AB$13)/1000</f>
        <v>4.0468507341719997</v>
      </c>
      <c r="L33" s="21">
        <f t="shared" si="25"/>
        <v>0.72986979356233928</v>
      </c>
      <c r="M33" s="42"/>
      <c r="N33" s="23"/>
      <c r="O33" s="25">
        <f>+O34+O35</f>
        <v>3.6395128063181605</v>
      </c>
      <c r="P33" s="47">
        <f t="shared" si="28"/>
        <v>0.75705989415386987</v>
      </c>
      <c r="Q33" s="44">
        <f>+Q34+Q35</f>
        <v>2.8417006963069729</v>
      </c>
      <c r="R33" s="50">
        <f t="shared" si="26"/>
        <v>0.81031442814396104</v>
      </c>
      <c r="S33" s="52">
        <f>+S34+S35</f>
        <v>1.9232040407951596</v>
      </c>
      <c r="T33" s="47">
        <f t="shared" si="27"/>
        <v>0.87162474262396172</v>
      </c>
    </row>
    <row r="34" spans="1:24" x14ac:dyDescent="0.25">
      <c r="A34" s="85" t="s">
        <v>112</v>
      </c>
      <c r="B34" s="121">
        <f>+[1]Table10s2!$C$13/1000</f>
        <v>11.797497419479999</v>
      </c>
      <c r="C34" s="53">
        <f>+[1]Table10s2!$R$13/1000</f>
        <v>1.72983552616</v>
      </c>
      <c r="D34" s="59">
        <f t="shared" ref="D34" si="29">1-C34/B34</f>
        <v>0.853372671791926</v>
      </c>
      <c r="E34" s="53">
        <f>+[1]Table10s2!$W$13/1000</f>
        <v>1.30940578764</v>
      </c>
      <c r="F34" s="59">
        <f t="shared" si="22"/>
        <v>0.88900986869656673</v>
      </c>
      <c r="G34" s="45">
        <f>+[1]Table10s2!$X$13/1000</f>
        <v>1.2137469650299999</v>
      </c>
      <c r="H34" s="41">
        <f t="shared" ref="H34" si="30">1-G34/B34</f>
        <v>0.8971182682332387</v>
      </c>
      <c r="I34" s="53">
        <f>+[1]Table10s2!$AA$13/1000</f>
        <v>0.9824940244</v>
      </c>
      <c r="J34" s="59">
        <f t="shared" ref="J34" si="31">1-I34/B34</f>
        <v>0.91672013229028482</v>
      </c>
      <c r="K34" s="53">
        <f>+[1]Table10s2!$AB$13/1000</f>
        <v>0.97584911535000007</v>
      </c>
      <c r="L34" s="22">
        <f t="shared" ref="L34" si="32">1-K34/B34</f>
        <v>0.91728337963111728</v>
      </c>
      <c r="M34" s="43"/>
      <c r="N34" s="24"/>
      <c r="O34" s="26">
        <f>+O14/$K14*$K34</f>
        <v>0.87762450004898596</v>
      </c>
      <c r="P34" s="48">
        <f t="shared" ref="P34" si="33">1-O34/B34</f>
        <v>0.92560926535149268</v>
      </c>
      <c r="Q34" s="45">
        <f>+Q14/$K14*$K34</f>
        <v>0.54342590860728068</v>
      </c>
      <c r="R34" s="51">
        <f t="shared" ref="R34" si="34">1-Q34/$B34</f>
        <v>0.95393718775390646</v>
      </c>
      <c r="S34" s="53">
        <f>+S14/$K14*$K34</f>
        <v>8.8542771664949255E-2</v>
      </c>
      <c r="T34" s="48">
        <f t="shared" ref="T34" si="35">1-S34/$B34</f>
        <v>0.99249478355309939</v>
      </c>
    </row>
    <row r="35" spans="1:24" x14ac:dyDescent="0.25">
      <c r="A35" s="88" t="s">
        <v>109</v>
      </c>
      <c r="B35" s="230">
        <f>+B33-B34</f>
        <v>3.1836140509468009</v>
      </c>
      <c r="C35" s="208">
        <f>+C33-C34</f>
        <v>2.3253480630351997</v>
      </c>
      <c r="D35" s="190">
        <f t="shared" si="21"/>
        <v>0.26958857894736155</v>
      </c>
      <c r="E35" s="208">
        <f>+E33-E34</f>
        <v>2.3250442944035994</v>
      </c>
      <c r="F35" s="190">
        <f t="shared" si="22"/>
        <v>0.26968399523424158</v>
      </c>
      <c r="G35" s="207">
        <f>+G33-G34</f>
        <v>2.6355868662791999</v>
      </c>
      <c r="H35" s="192">
        <f t="shared" si="23"/>
        <v>0.17213995663344261</v>
      </c>
      <c r="I35" s="208">
        <f>+I33-I34</f>
        <v>2.9399782582232001</v>
      </c>
      <c r="J35" s="190">
        <f t="shared" si="24"/>
        <v>7.6528055481833279E-2</v>
      </c>
      <c r="K35" s="207">
        <f>+K33-K34</f>
        <v>3.0710016188219997</v>
      </c>
      <c r="L35" s="193">
        <f t="shared" si="25"/>
        <v>3.5372513854595722E-2</v>
      </c>
      <c r="M35" s="227"/>
      <c r="N35" s="205"/>
      <c r="O35" s="211">
        <f>+O15/$K15*$K35</f>
        <v>2.7618883062691744</v>
      </c>
      <c r="P35" s="197">
        <f t="shared" si="28"/>
        <v>0.13246761005851393</v>
      </c>
      <c r="Q35" s="207">
        <f>+Q15/$K15*$K35</f>
        <v>2.2982747876996923</v>
      </c>
      <c r="R35" s="199">
        <f t="shared" si="26"/>
        <v>0.27809252286212593</v>
      </c>
      <c r="S35" s="208">
        <f>+S15/$K15*$K35</f>
        <v>1.8346612691302104</v>
      </c>
      <c r="T35" s="197">
        <f t="shared" si="27"/>
        <v>0.42371743566573794</v>
      </c>
    </row>
    <row r="36" spans="1:24" x14ac:dyDescent="0.25">
      <c r="A36" s="85" t="s">
        <v>75</v>
      </c>
      <c r="B36" s="37">
        <f>SUM(B27:B33)-B31-B32</f>
        <v>1052.2468061130369</v>
      </c>
      <c r="C36" s="58">
        <f>SUM(C27:C33)-C31-C32</f>
        <v>865.86573187205977</v>
      </c>
      <c r="D36" s="59">
        <f t="shared" si="21"/>
        <v>0.17712676641848157</v>
      </c>
      <c r="E36" s="58">
        <f>SUM(E27:E33)-E31-E32</f>
        <v>832.43664610191388</v>
      </c>
      <c r="F36" s="59">
        <f t="shared" si="22"/>
        <v>0.2088960106451585</v>
      </c>
      <c r="G36" s="32">
        <f>SUM(G27:G33)-G31-G32</f>
        <v>812.57710630508723</v>
      </c>
      <c r="H36" s="41">
        <f t="shared" si="23"/>
        <v>0.22776947234772915</v>
      </c>
      <c r="I36" s="58">
        <f>SUM(I27:I33)-I31-I32</f>
        <v>794.82896659488495</v>
      </c>
      <c r="J36" s="59">
        <f t="shared" si="24"/>
        <v>0.24463637050041942</v>
      </c>
      <c r="K36" s="32">
        <f>SUM(K27:K33)-K31-K32</f>
        <v>792.05449940764038</v>
      </c>
      <c r="L36" s="22">
        <f t="shared" si="25"/>
        <v>0.24727307813509825</v>
      </c>
      <c r="M36" s="43"/>
      <c r="N36" s="24"/>
      <c r="O36" s="26">
        <f>+O27+O28+O29+O30+O33</f>
        <v>477.66606579658048</v>
      </c>
      <c r="P36" s="48">
        <f t="shared" si="28"/>
        <v>0.54605130372306632</v>
      </c>
      <c r="Q36" s="45">
        <f>+Q27+Q28+Q29+Q30+Q33</f>
        <v>306.27258945562033</v>
      </c>
      <c r="R36" s="51">
        <f t="shared" si="26"/>
        <v>0.70893464567787035</v>
      </c>
      <c r="S36" s="53">
        <f>+S27+S28+S29+S30+S33</f>
        <v>74.254279096828455</v>
      </c>
      <c r="T36" s="48">
        <f t="shared" si="27"/>
        <v>0.92943264007507786</v>
      </c>
    </row>
    <row r="37" spans="1:24" x14ac:dyDescent="0.25">
      <c r="A37" s="88" t="s">
        <v>76</v>
      </c>
      <c r="B37" s="201">
        <v>0</v>
      </c>
      <c r="C37" s="202">
        <v>0</v>
      </c>
      <c r="D37" s="190"/>
      <c r="E37" s="202">
        <v>0</v>
      </c>
      <c r="F37" s="190"/>
      <c r="G37" s="203">
        <v>0</v>
      </c>
      <c r="H37" s="192"/>
      <c r="I37" s="202">
        <v>0</v>
      </c>
      <c r="J37" s="190"/>
      <c r="K37" s="203">
        <v>0</v>
      </c>
      <c r="L37" s="193"/>
      <c r="M37" s="204"/>
      <c r="N37" s="205"/>
      <c r="O37" s="211">
        <v>0</v>
      </c>
      <c r="P37" s="197"/>
      <c r="Q37" s="207">
        <v>0</v>
      </c>
      <c r="R37" s="199"/>
      <c r="S37" s="208">
        <v>0</v>
      </c>
      <c r="T37" s="197"/>
    </row>
    <row r="38" spans="1:24" x14ac:dyDescent="0.25">
      <c r="A38" s="87" t="s">
        <v>77</v>
      </c>
      <c r="B38" s="214">
        <f>+B36+B37</f>
        <v>1052.2468061130369</v>
      </c>
      <c r="C38" s="60">
        <f>+C36+C37</f>
        <v>865.86573187205977</v>
      </c>
      <c r="D38" s="215">
        <f>1-C38/B38</f>
        <v>0.17712676641848157</v>
      </c>
      <c r="E38" s="60">
        <f>+E36+E37</f>
        <v>832.43664610191388</v>
      </c>
      <c r="F38" s="215">
        <f>1-E38/B38</f>
        <v>0.2088960106451585</v>
      </c>
      <c r="G38" s="216">
        <f>+G36+G37</f>
        <v>812.57710630508723</v>
      </c>
      <c r="H38" s="217">
        <f>1-G38/B38</f>
        <v>0.22776947234772915</v>
      </c>
      <c r="I38" s="60">
        <f>+I36+I37</f>
        <v>794.82896659488495</v>
      </c>
      <c r="J38" s="215">
        <f>1-I38/B38</f>
        <v>0.24463637050041942</v>
      </c>
      <c r="K38" s="216">
        <f>+K36+K37</f>
        <v>792.05449940764038</v>
      </c>
      <c r="L38" s="218">
        <f>1-K38/B38</f>
        <v>0.24727307813509825</v>
      </c>
      <c r="M38" s="219"/>
      <c r="N38" s="220"/>
      <c r="O38" s="27">
        <f>+O36+O37</f>
        <v>477.66606579658048</v>
      </c>
      <c r="P38" s="215">
        <f>1-O38/$B38</f>
        <v>0.54605130372306632</v>
      </c>
      <c r="Q38" s="221">
        <f>+Q36+Q37</f>
        <v>306.27258945562033</v>
      </c>
      <c r="R38" s="217">
        <f>1-Q38/$B38</f>
        <v>0.70893464567787035</v>
      </c>
      <c r="S38" s="222">
        <f>+S36+S37</f>
        <v>74.254279096828455</v>
      </c>
      <c r="T38" s="215">
        <f>1-S38/$B38</f>
        <v>0.92943264007507786</v>
      </c>
    </row>
    <row r="39" spans="1:24" x14ac:dyDescent="0.25">
      <c r="A39" s="88" t="s">
        <v>132</v>
      </c>
      <c r="B39" s="201">
        <f>+B27+B28+B29+B30+B34</f>
        <v>1049.0631920620899</v>
      </c>
      <c r="C39" s="209">
        <f>+C27+C28+C29+C30+C34</f>
        <v>863.54038380902455</v>
      </c>
      <c r="D39" s="190">
        <f t="shared" ref="D39:D40" si="36">1-C39/B39</f>
        <v>0.17684617061856178</v>
      </c>
      <c r="E39" s="202">
        <f>+E27+E28+E29+E30+E34</f>
        <v>830.11160180751028</v>
      </c>
      <c r="F39" s="190">
        <f>1-E39/B39</f>
        <v>0.20871153607457882</v>
      </c>
      <c r="G39" s="203">
        <f>+G27+G28+G29+G30+G34</f>
        <v>809.9415194388082</v>
      </c>
      <c r="H39" s="210">
        <f t="shared" ref="H39:H40" si="37">1-G39/B39</f>
        <v>0.22793829240472396</v>
      </c>
      <c r="I39" s="209">
        <f>+I27+I28+I29+I30+I34</f>
        <v>791.8889883366619</v>
      </c>
      <c r="J39" s="190">
        <f t="shared" ref="J39:J40" si="38">1-I39/B39</f>
        <v>0.24514653232653583</v>
      </c>
      <c r="K39" s="202">
        <f>+K27+K28+K29+K30+K34</f>
        <v>788.98349778881834</v>
      </c>
      <c r="L39" s="228">
        <f t="shared" ref="L39:L40" si="39">1-K39/B39</f>
        <v>0.24791613721766959</v>
      </c>
      <c r="M39" s="204"/>
      <c r="N39" s="229"/>
      <c r="O39" s="211">
        <f>+O27+O28+O29+O30+O34</f>
        <v>474.90417749031127</v>
      </c>
      <c r="P39" s="212">
        <f t="shared" ref="P39:P40" si="40">1-O39/B39</f>
        <v>0.54730641482443354</v>
      </c>
      <c r="Q39" s="213">
        <f>+Q27+Q28+Q29+Q30+Q34</f>
        <v>303.97431466792062</v>
      </c>
      <c r="R39" s="199">
        <f t="shared" ref="R39:R40" si="41">1-Q39/$B39</f>
        <v>0.7102421312958147</v>
      </c>
      <c r="S39" s="208">
        <f>+S27+S28+S29+S30+S34</f>
        <v>72.419617827698247</v>
      </c>
      <c r="T39" s="212">
        <f t="shared" ref="T39:T40" si="42">1-S39/$B39</f>
        <v>0.93096734460261954</v>
      </c>
    </row>
    <row r="40" spans="1:24" s="129" customFormat="1" x14ac:dyDescent="0.25">
      <c r="A40" s="180" t="s">
        <v>112</v>
      </c>
      <c r="B40" s="181">
        <f>+B27+B28+B29+B32+B34</f>
        <v>989.77163993497993</v>
      </c>
      <c r="C40" s="224">
        <f>+C27+C28+C29+C32+C34</f>
        <v>811.40843261117004</v>
      </c>
      <c r="D40" s="59">
        <f t="shared" si="36"/>
        <v>0.18020642350949445</v>
      </c>
      <c r="E40" s="182">
        <f>+E27+E28+E29+E32+E34</f>
        <v>784.23611343457003</v>
      </c>
      <c r="F40" s="59">
        <f>1-E40/B40</f>
        <v>0.20765954307794876</v>
      </c>
      <c r="G40" s="183">
        <f>+G27+G28+G29+G32+G34</f>
        <v>763.94391259113002</v>
      </c>
      <c r="H40" s="125">
        <f t="shared" si="37"/>
        <v>0.22816144475374645</v>
      </c>
      <c r="I40" s="224">
        <f>+I27+I28+I29+I32+I34</f>
        <v>746.94278646599003</v>
      </c>
      <c r="J40" s="59">
        <f t="shared" si="38"/>
        <v>0.24533826154580651</v>
      </c>
      <c r="K40" s="182">
        <f>+K27+K28+K29+K32+K34</f>
        <v>744.32556358426996</v>
      </c>
      <c r="L40" s="127">
        <f t="shared" si="39"/>
        <v>0.24798253096727829</v>
      </c>
      <c r="M40" s="184"/>
      <c r="N40" s="225"/>
      <c r="O40" s="185">
        <f>+O27+O28+O29+O32+O34</f>
        <v>440.86705074575065</v>
      </c>
      <c r="P40" s="128">
        <f t="shared" si="40"/>
        <v>0.55457700245410946</v>
      </c>
      <c r="Q40" s="226">
        <f>+Q27+Q28+Q29+Q32+Q34</f>
        <v>272.98528882585799</v>
      </c>
      <c r="R40" s="51">
        <f t="shared" si="41"/>
        <v>0.72419366466815416</v>
      </c>
      <c r="S40" s="186">
        <f>+S27+S28+S29+S32+S34</f>
        <v>44.478692888133551</v>
      </c>
      <c r="T40" s="128">
        <f t="shared" si="42"/>
        <v>0.95506166160604944</v>
      </c>
    </row>
    <row r="41" spans="1:24" x14ac:dyDescent="0.25">
      <c r="A41" s="88"/>
      <c r="B41" s="91"/>
      <c r="C41" s="91"/>
      <c r="D41" s="91"/>
      <c r="E41" s="91"/>
      <c r="F41" s="91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101"/>
    </row>
    <row r="42" spans="1:24" x14ac:dyDescent="0.25">
      <c r="A42" s="88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101"/>
    </row>
    <row r="43" spans="1:24" x14ac:dyDescent="0.25">
      <c r="A43" s="87" t="s">
        <v>93</v>
      </c>
      <c r="B43" s="33">
        <v>1990</v>
      </c>
      <c r="C43" s="243">
        <v>2005</v>
      </c>
      <c r="D43" s="244"/>
      <c r="E43" s="243">
        <v>2010</v>
      </c>
      <c r="F43" s="244"/>
      <c r="G43" s="245">
        <v>2011</v>
      </c>
      <c r="H43" s="245"/>
      <c r="I43" s="243">
        <v>2014</v>
      </c>
      <c r="J43" s="244"/>
      <c r="K43" s="245">
        <v>2015</v>
      </c>
      <c r="L43" s="245"/>
      <c r="M43" s="246">
        <v>2030</v>
      </c>
      <c r="N43" s="247"/>
      <c r="O43" s="247"/>
      <c r="P43" s="248"/>
      <c r="Q43" s="241">
        <v>2040</v>
      </c>
      <c r="R43" s="242"/>
      <c r="S43" s="246">
        <v>2050</v>
      </c>
      <c r="T43" s="248"/>
    </row>
    <row r="44" spans="1:24" x14ac:dyDescent="0.25">
      <c r="A44" s="96" t="s">
        <v>94</v>
      </c>
      <c r="B44" s="92">
        <v>366</v>
      </c>
      <c r="C44" s="93">
        <v>333</v>
      </c>
      <c r="D44" s="94">
        <f>1-C44/$B44</f>
        <v>9.0163934426229497E-2</v>
      </c>
      <c r="E44" s="124">
        <v>316</v>
      </c>
      <c r="F44" s="94">
        <f>1-E44/$B44</f>
        <v>0.13661202185792354</v>
      </c>
      <c r="G44" s="93">
        <v>315</v>
      </c>
      <c r="H44" s="95">
        <f>1-G44/$B44</f>
        <v>0.13934426229508201</v>
      </c>
      <c r="I44" s="124">
        <v>316</v>
      </c>
      <c r="J44" s="94">
        <f>1-I44/$B44</f>
        <v>0.13661202185792354</v>
      </c>
      <c r="K44" s="93">
        <v>309</v>
      </c>
      <c r="L44" s="95">
        <f>1-K44/$B44</f>
        <v>0.15573770491803274</v>
      </c>
      <c r="M44" s="96"/>
      <c r="N44" s="81"/>
      <c r="O44" s="97">
        <f>+O$7/$K$7*$K44</f>
        <v>163.65814055745761</v>
      </c>
      <c r="P44" s="94">
        <f>1-O44/$B44</f>
        <v>0.55284661049874972</v>
      </c>
      <c r="Q44" s="98">
        <f>+Q$7/$K$7*$K44</f>
        <v>101.33727320562535</v>
      </c>
      <c r="R44" s="95">
        <f>1-Q44/$B44</f>
        <v>0.72312220435621488</v>
      </c>
      <c r="S44" s="99">
        <f>+S$7/$K$7*$K44</f>
        <v>16.511327304194811</v>
      </c>
      <c r="T44" s="94">
        <f>1-S44/$B44</f>
        <v>0.95488708386832022</v>
      </c>
    </row>
    <row r="46" spans="1:24" x14ac:dyDescent="0.25">
      <c r="A46" t="s">
        <v>115</v>
      </c>
    </row>
    <row r="47" spans="1:24" x14ac:dyDescent="0.25">
      <c r="A47" t="s">
        <v>130</v>
      </c>
    </row>
    <row r="48" spans="1:24" x14ac:dyDescent="0.25">
      <c r="A48" s="102"/>
      <c r="B48" s="100">
        <v>1990</v>
      </c>
      <c r="C48" s="234">
        <v>2005</v>
      </c>
      <c r="D48" s="235"/>
      <c r="E48" s="234">
        <v>2010</v>
      </c>
      <c r="F48" s="235"/>
      <c r="G48" s="236">
        <v>2011</v>
      </c>
      <c r="H48" s="236"/>
      <c r="I48" s="234">
        <v>2014</v>
      </c>
      <c r="J48" s="235"/>
      <c r="K48" s="236">
        <v>2015</v>
      </c>
      <c r="L48" s="236"/>
      <c r="M48" s="232">
        <v>2025</v>
      </c>
      <c r="N48" s="233"/>
      <c r="O48" s="237">
        <v>2030</v>
      </c>
      <c r="P48" s="233"/>
      <c r="Q48" s="232">
        <v>2035</v>
      </c>
      <c r="R48" s="233"/>
      <c r="S48" s="232">
        <v>2040</v>
      </c>
      <c r="T48" s="233"/>
      <c r="U48" s="232">
        <v>2045</v>
      </c>
      <c r="V48" s="233"/>
      <c r="W48" s="232">
        <v>2050</v>
      </c>
      <c r="X48" s="233"/>
    </row>
    <row r="49" spans="1:24" ht="30" customHeight="1" x14ac:dyDescent="0.35">
      <c r="A49" s="147" t="s">
        <v>118</v>
      </c>
      <c r="B49" s="130" t="s">
        <v>68</v>
      </c>
      <c r="C49" s="131" t="s">
        <v>68</v>
      </c>
      <c r="D49" s="132" t="s">
        <v>69</v>
      </c>
      <c r="E49" s="131" t="s">
        <v>68</v>
      </c>
      <c r="F49" s="132" t="s">
        <v>69</v>
      </c>
      <c r="G49" s="133" t="s">
        <v>68</v>
      </c>
      <c r="H49" s="134" t="s">
        <v>69</v>
      </c>
      <c r="I49" s="131" t="s">
        <v>68</v>
      </c>
      <c r="J49" s="132" t="s">
        <v>69</v>
      </c>
      <c r="K49" s="133" t="s">
        <v>68</v>
      </c>
      <c r="L49" s="134" t="s">
        <v>69</v>
      </c>
      <c r="M49" s="131" t="s">
        <v>68</v>
      </c>
      <c r="N49" s="132" t="s">
        <v>69</v>
      </c>
      <c r="O49" s="133" t="s">
        <v>68</v>
      </c>
      <c r="P49" s="132" t="s">
        <v>69</v>
      </c>
      <c r="Q49" s="131" t="s">
        <v>68</v>
      </c>
      <c r="R49" s="132" t="s">
        <v>69</v>
      </c>
      <c r="S49" s="133" t="s">
        <v>68</v>
      </c>
      <c r="T49" s="134" t="s">
        <v>69</v>
      </c>
      <c r="U49" s="131" t="s">
        <v>68</v>
      </c>
      <c r="V49" s="132" t="s">
        <v>69</v>
      </c>
      <c r="W49" s="131" t="s">
        <v>68</v>
      </c>
      <c r="X49" s="132" t="s">
        <v>69</v>
      </c>
    </row>
    <row r="50" spans="1:24" x14ac:dyDescent="0.25">
      <c r="A50" s="84" t="s">
        <v>70</v>
      </c>
      <c r="B50" s="142">
        <f>+B7</f>
        <v>465.32020133321998</v>
      </c>
      <c r="C50" s="143">
        <f>+C7</f>
        <v>395.22243224266003</v>
      </c>
      <c r="D50" s="144">
        <f t="shared" ref="D50:D55" si="43">1-C50/B50</f>
        <v>0.15064415619549321</v>
      </c>
      <c r="E50" s="143">
        <f>+E7</f>
        <v>367.60714447986004</v>
      </c>
      <c r="F50" s="144">
        <f>1-E50/B50</f>
        <v>0.2099910052763575</v>
      </c>
      <c r="G50" s="146">
        <f>+G7</f>
        <v>365.16948473683999</v>
      </c>
      <c r="H50" s="145">
        <f t="shared" ref="H50:H55" si="44">1-G50/B50</f>
        <v>0.21522967691802652</v>
      </c>
      <c r="I50" s="143">
        <f>+I7</f>
        <v>357.81341291827999</v>
      </c>
      <c r="J50" s="144">
        <f t="shared" ref="J50:J55" si="45">1-I50/B50</f>
        <v>0.23103830030786354</v>
      </c>
      <c r="K50" s="143">
        <f>+K7</f>
        <v>346.09988907923002</v>
      </c>
      <c r="L50" s="145">
        <f t="shared" ref="L50:L55" si="46">1-K50/B50</f>
        <v>0.25621133987392741</v>
      </c>
      <c r="M50" s="154">
        <f>+(286.4+O50)/2</f>
        <v>234.85382571820244</v>
      </c>
      <c r="N50" s="144">
        <f>1-M50/$B50</f>
        <v>0.49528555810534969</v>
      </c>
      <c r="O50" s="146">
        <f>+O7</f>
        <v>183.30765143640491</v>
      </c>
      <c r="P50" s="144">
        <f>1-O50/$B50</f>
        <v>0.60606126510046643</v>
      </c>
      <c r="Q50" s="143">
        <f>+(O50+S50)/2</f>
        <v>148.40596004839432</v>
      </c>
      <c r="R50" s="144">
        <f>1-Q50/$B50</f>
        <v>0.6810670165980619</v>
      </c>
      <c r="S50" s="146">
        <f>+Q7</f>
        <v>113.5042686603837</v>
      </c>
      <c r="T50" s="145">
        <f>1-S50/$B50</f>
        <v>0.75607276809565749</v>
      </c>
      <c r="U50" s="143">
        <f>+(S50+W50)/2</f>
        <v>65.999009004192956</v>
      </c>
      <c r="V50" s="144">
        <f>1-U50/$B50</f>
        <v>0.85816431606645316</v>
      </c>
      <c r="W50" s="143">
        <f>+S7</f>
        <v>18.493749348002222</v>
      </c>
      <c r="X50" s="144">
        <f>1-W50/$B50</f>
        <v>0.96025586403724883</v>
      </c>
    </row>
    <row r="51" spans="1:24" x14ac:dyDescent="0.25">
      <c r="A51" s="85" t="s">
        <v>131</v>
      </c>
      <c r="B51" s="121">
        <f>+B8</f>
        <v>208.17361982692</v>
      </c>
      <c r="C51" s="53">
        <f>+C8</f>
        <v>158.10512805230999</v>
      </c>
      <c r="D51" s="59">
        <f t="shared" si="43"/>
        <v>0.24051314386634592</v>
      </c>
      <c r="E51" s="53">
        <f>+E8</f>
        <v>153.26492210974001</v>
      </c>
      <c r="F51" s="59">
        <f>1-E51/B51</f>
        <v>0.26376395704139777</v>
      </c>
      <c r="G51" s="45">
        <f>+G8</f>
        <v>132.81745949794001</v>
      </c>
      <c r="H51" s="41">
        <f t="shared" si="44"/>
        <v>0.36198707786141548</v>
      </c>
      <c r="I51" s="53">
        <f>+I8</f>
        <v>124.08811192839001</v>
      </c>
      <c r="J51" s="59">
        <f t="shared" si="45"/>
        <v>0.40392009308595622</v>
      </c>
      <c r="K51" s="53">
        <f>+K8</f>
        <v>127.28217557149</v>
      </c>
      <c r="L51" s="41">
        <f t="shared" si="46"/>
        <v>0.38857682506882896</v>
      </c>
      <c r="M51" s="155">
        <f>+(113.5+O51)/2</f>
        <v>92.808168761220827</v>
      </c>
      <c r="N51" s="153">
        <f>1-M51/$B51</f>
        <v>0.55417901250704327</v>
      </c>
      <c r="O51" s="45">
        <f>+O8</f>
        <v>72.11633752244164</v>
      </c>
      <c r="P51" s="59">
        <f>1-O51/$B51</f>
        <v>0.65357600265393523</v>
      </c>
      <c r="Q51" s="123">
        <f>+(O51+S51)/2</f>
        <v>58.385420473869416</v>
      </c>
      <c r="R51" s="153">
        <f>1-Q51/$B51</f>
        <v>0.71953497026946889</v>
      </c>
      <c r="S51" s="122">
        <f>+Q8</f>
        <v>44.654503425297186</v>
      </c>
      <c r="T51" s="149">
        <f>1-S51/$B51</f>
        <v>0.78549393788500244</v>
      </c>
      <c r="U51" s="123">
        <f>+(S51+W51)/2</f>
        <v>25.96512896322988</v>
      </c>
      <c r="V51" s="59">
        <f>1-U51/$B51</f>
        <v>0.87527176121154138</v>
      </c>
      <c r="W51" s="123">
        <f>+S8</f>
        <v>7.2757545011625737</v>
      </c>
      <c r="X51" s="59">
        <f>1-W51/$B51</f>
        <v>0.96504958453808032</v>
      </c>
    </row>
    <row r="52" spans="1:24" x14ac:dyDescent="0.25">
      <c r="A52" s="88" t="s">
        <v>74</v>
      </c>
      <c r="B52" s="230">
        <f>+B13</f>
        <v>91.719796163336795</v>
      </c>
      <c r="C52" s="208">
        <f>+C13</f>
        <v>65.186415457165197</v>
      </c>
      <c r="D52" s="190">
        <f t="shared" si="43"/>
        <v>0.28928739286468019</v>
      </c>
      <c r="E52" s="208">
        <f>+E13</f>
        <v>64.169305009243601</v>
      </c>
      <c r="F52" s="190">
        <f>1-E52/B52</f>
        <v>0.30037671589490478</v>
      </c>
      <c r="G52" s="207">
        <f>+G13</f>
        <v>65.757824800099201</v>
      </c>
      <c r="H52" s="192">
        <f t="shared" si="44"/>
        <v>0.28305744723858628</v>
      </c>
      <c r="I52" s="208">
        <f>+I13</f>
        <v>67.579096393173216</v>
      </c>
      <c r="J52" s="190">
        <f t="shared" si="45"/>
        <v>0.26320053881468775</v>
      </c>
      <c r="K52" s="208">
        <f>+K13</f>
        <v>67.936776338781996</v>
      </c>
      <c r="L52" s="192">
        <f t="shared" si="46"/>
        <v>0.25930083601801113</v>
      </c>
      <c r="M52" s="275">
        <f>+(65.6+O52)/2</f>
        <v>63.349281867145422</v>
      </c>
      <c r="N52" s="190">
        <f>1-M52/$B52</f>
        <v>0.30931724102034075</v>
      </c>
      <c r="O52" s="207">
        <f>+O13</f>
        <v>61.098563734290849</v>
      </c>
      <c r="P52" s="190">
        <f>1-O52/$B52</f>
        <v>0.33385630703446967</v>
      </c>
      <c r="Q52" s="208">
        <f>+(O52+S52)/2</f>
        <v>55.876538003325933</v>
      </c>
      <c r="R52" s="190">
        <f>1-Q52/$B52</f>
        <v>0.39079086150802533</v>
      </c>
      <c r="S52" s="207">
        <f>+Q13</f>
        <v>50.654512272361011</v>
      </c>
      <c r="T52" s="192">
        <f>1-S52/$B52</f>
        <v>0.447725415981581</v>
      </c>
      <c r="U52" s="208">
        <f>+(S52+W52)/2</f>
        <v>45.371788522617599</v>
      </c>
      <c r="V52" s="190">
        <f>1-U52/$B52</f>
        <v>0.50532174709788458</v>
      </c>
      <c r="W52" s="208">
        <f>+S13</f>
        <v>40.089064772874188</v>
      </c>
      <c r="X52" s="190">
        <f>1-W52/$B52</f>
        <v>0.56291807821418804</v>
      </c>
    </row>
    <row r="53" spans="1:24" x14ac:dyDescent="0.25">
      <c r="A53" s="264" t="s">
        <v>72</v>
      </c>
      <c r="B53" s="265">
        <f>+B9</f>
        <v>164.40387239634998</v>
      </c>
      <c r="C53" s="123">
        <f>+C9</f>
        <v>161.38184578841</v>
      </c>
      <c r="D53" s="153">
        <f t="shared" si="43"/>
        <v>1.838172400619853E-2</v>
      </c>
      <c r="E53" s="123">
        <f>+E9</f>
        <v>154.2098118685</v>
      </c>
      <c r="F53" s="153">
        <f>1-E53/B53</f>
        <v>6.2006206905356964E-2</v>
      </c>
      <c r="G53" s="122">
        <f>+G9</f>
        <v>156.36736891071999</v>
      </c>
      <c r="H53" s="149">
        <f t="shared" si="44"/>
        <v>4.888268973528398E-2</v>
      </c>
      <c r="I53" s="123">
        <f>+I9</f>
        <v>160.12498447677001</v>
      </c>
      <c r="J53" s="153">
        <f t="shared" si="45"/>
        <v>2.6026685729544696E-2</v>
      </c>
      <c r="K53" s="123">
        <f>+K9</f>
        <v>160.80691576616002</v>
      </c>
      <c r="L53" s="149">
        <f t="shared" si="46"/>
        <v>2.1878782888509529E-2</v>
      </c>
      <c r="M53" s="266">
        <f>+(157.1+O53)/2</f>
        <v>127.62917414721723</v>
      </c>
      <c r="N53" s="153">
        <f>1-M53/$B53</f>
        <v>0.22368510980371048</v>
      </c>
      <c r="O53" s="122">
        <f>+O9</f>
        <v>98.158348294434461</v>
      </c>
      <c r="P53" s="153">
        <f>1-O53/$B53</f>
        <v>0.40294381839260296</v>
      </c>
      <c r="Q53" s="123">
        <f>+(O53+S53)/2</f>
        <v>79.46904453387782</v>
      </c>
      <c r="R53" s="153">
        <f>1-Q53/$B53</f>
        <v>0.5166230370639241</v>
      </c>
      <c r="S53" s="122">
        <f>+Q9</f>
        <v>60.77974077332118</v>
      </c>
      <c r="T53" s="149">
        <f>1-S53/$B53</f>
        <v>0.63030225573524512</v>
      </c>
      <c r="U53" s="123">
        <f>+(S53+W53)/2</f>
        <v>35.341425533285118</v>
      </c>
      <c r="V53" s="153">
        <f>1-U53/$B53</f>
        <v>0.7850328887139415</v>
      </c>
      <c r="W53" s="123">
        <f>+S9</f>
        <v>9.9031102932490587</v>
      </c>
      <c r="X53" s="153">
        <f>1-W53/$B53</f>
        <v>0.93976352169263788</v>
      </c>
    </row>
    <row r="54" spans="1:24" x14ac:dyDescent="0.25">
      <c r="A54" s="88" t="s">
        <v>73</v>
      </c>
      <c r="B54" s="230">
        <f>+B10</f>
        <v>283.34292635759084</v>
      </c>
      <c r="C54" s="208">
        <f>+C10</f>
        <v>190.78615492510923</v>
      </c>
      <c r="D54" s="190">
        <f t="shared" si="43"/>
        <v>0.32665989803349116</v>
      </c>
      <c r="E54" s="208">
        <f>+E10</f>
        <v>187.78911702224491</v>
      </c>
      <c r="F54" s="190">
        <f>1-E54/B54</f>
        <v>0.33723732073957957</v>
      </c>
      <c r="G54" s="207">
        <f>+G10</f>
        <v>188.31427653184889</v>
      </c>
      <c r="H54" s="192">
        <f t="shared" si="44"/>
        <v>0.33538387934135949</v>
      </c>
      <c r="I54" s="208">
        <f>+I10</f>
        <v>182.84048194879503</v>
      </c>
      <c r="J54" s="190">
        <f t="shared" si="45"/>
        <v>0.35470250025567052</v>
      </c>
      <c r="K54" s="207">
        <f>+K10</f>
        <v>188.59525640005205</v>
      </c>
      <c r="L54" s="192">
        <f t="shared" si="46"/>
        <v>0.33439221926423957</v>
      </c>
      <c r="M54" s="275">
        <f>+(170.9+O54)/2</f>
        <v>157.06552962298025</v>
      </c>
      <c r="N54" s="190">
        <f>1-M54/$B54</f>
        <v>0.44566984028125389</v>
      </c>
      <c r="O54" s="207">
        <f>+O10</f>
        <v>143.23105924596049</v>
      </c>
      <c r="P54" s="190">
        <f>1-O54/$B54</f>
        <v>0.49449572965447253</v>
      </c>
      <c r="Q54" s="208">
        <f>+(O54+S54)/2</f>
        <v>122.7896704684762</v>
      </c>
      <c r="R54" s="190">
        <f>1-Q54/$B54</f>
        <v>0.56663936507273027</v>
      </c>
      <c r="S54" s="207">
        <f>+Q10</f>
        <v>102.34828169099191</v>
      </c>
      <c r="T54" s="192">
        <f>1-S54/$B54</f>
        <v>0.63878300049098802</v>
      </c>
      <c r="U54" s="208">
        <f>+(S54+W54)/2</f>
        <v>75.283519191577739</v>
      </c>
      <c r="V54" s="190">
        <f>1-U54/$B54</f>
        <v>0.73430245759314727</v>
      </c>
      <c r="W54" s="208">
        <f>+S10</f>
        <v>48.218756692163552</v>
      </c>
      <c r="X54" s="190">
        <f>1-W54/$B54</f>
        <v>0.82982191469530664</v>
      </c>
    </row>
    <row r="55" spans="1:24" x14ac:dyDescent="0.25">
      <c r="A55" s="267" t="s">
        <v>117</v>
      </c>
      <c r="B55" s="268">
        <f>SUM(B50:B54)</f>
        <v>1212.9604160774177</v>
      </c>
      <c r="C55" s="269">
        <f>SUM(C50:C54)</f>
        <v>970.68197646565443</v>
      </c>
      <c r="D55" s="270">
        <f t="shared" si="43"/>
        <v>0.19974142305093967</v>
      </c>
      <c r="E55" s="271">
        <f>SUM(E50:E54)</f>
        <v>927.0403004895885</v>
      </c>
      <c r="F55" s="272">
        <f>1-E55/B55</f>
        <v>0.23572089558574694</v>
      </c>
      <c r="G55" s="271">
        <f>SUM(G50:G54)</f>
        <v>908.42641447744813</v>
      </c>
      <c r="H55" s="273">
        <f t="shared" si="44"/>
        <v>0.25106672696278043</v>
      </c>
      <c r="I55" s="271">
        <f>SUM(I50:I54)</f>
        <v>892.4460876654083</v>
      </c>
      <c r="J55" s="270">
        <f t="shared" si="45"/>
        <v>0.2642413752037498</v>
      </c>
      <c r="K55" s="271">
        <f>SUM(K50:K54)</f>
        <v>890.72101315571422</v>
      </c>
      <c r="L55" s="273">
        <f t="shared" si="46"/>
        <v>0.2656635770223984</v>
      </c>
      <c r="M55" s="271">
        <f>SUM(M50:M54)</f>
        <v>675.70598011676611</v>
      </c>
      <c r="N55" s="270">
        <f>1-M55/$B55</f>
        <v>0.4429282512763888</v>
      </c>
      <c r="O55" s="271">
        <f>SUM(O50:O54)</f>
        <v>557.91196023353234</v>
      </c>
      <c r="P55" s="272">
        <f>1-O55/$B55</f>
        <v>0.54004108226568592</v>
      </c>
      <c r="Q55" s="271">
        <f>SUM(Q50:Q54)</f>
        <v>464.92663352794375</v>
      </c>
      <c r="R55" s="270">
        <f>1-Q55/$B55</f>
        <v>0.61670090188807147</v>
      </c>
      <c r="S55" s="271">
        <f>SUM(S50:S54)</f>
        <v>371.94130682235505</v>
      </c>
      <c r="T55" s="274">
        <f>1-S55/$B55</f>
        <v>0.69336072151045713</v>
      </c>
      <c r="U55" s="271">
        <f>SUM(U50:U54)</f>
        <v>247.96087121490331</v>
      </c>
      <c r="V55" s="272">
        <f>1-U55/$B55</f>
        <v>0.79557381434030483</v>
      </c>
      <c r="W55" s="271">
        <f>SUM(W50:W54)</f>
        <v>123.9804356074516</v>
      </c>
      <c r="X55" s="272">
        <f>1-W55/$B55</f>
        <v>0.89778690717015242</v>
      </c>
    </row>
    <row r="57" spans="1:24" x14ac:dyDescent="0.25">
      <c r="A57" t="s">
        <v>119</v>
      </c>
    </row>
    <row r="58" spans="1:24" x14ac:dyDescent="0.25">
      <c r="A58" t="s">
        <v>120</v>
      </c>
    </row>
    <row r="59" spans="1:24" x14ac:dyDescent="0.25">
      <c r="A59" s="102"/>
      <c r="B59" s="100">
        <v>1990</v>
      </c>
      <c r="C59" s="234">
        <v>2005</v>
      </c>
      <c r="D59" s="235"/>
      <c r="E59" s="234">
        <v>2010</v>
      </c>
      <c r="F59" s="235"/>
      <c r="G59" s="236">
        <v>2011</v>
      </c>
      <c r="H59" s="236"/>
      <c r="I59" s="234">
        <v>2014</v>
      </c>
      <c r="J59" s="235"/>
      <c r="K59" s="236">
        <v>2015</v>
      </c>
      <c r="L59" s="236"/>
      <c r="M59" s="232">
        <v>2025</v>
      </c>
      <c r="N59" s="233"/>
      <c r="O59" s="237">
        <v>2030</v>
      </c>
      <c r="P59" s="233"/>
      <c r="Q59" s="232">
        <v>2035</v>
      </c>
      <c r="R59" s="233"/>
      <c r="S59" s="232">
        <v>2040</v>
      </c>
      <c r="T59" s="233"/>
      <c r="U59" s="232">
        <v>2045</v>
      </c>
      <c r="V59" s="233"/>
      <c r="W59" s="232">
        <v>2050</v>
      </c>
      <c r="X59" s="233"/>
    </row>
    <row r="60" spans="1:24" ht="30" customHeight="1" x14ac:dyDescent="0.35">
      <c r="A60" s="147" t="s">
        <v>118</v>
      </c>
      <c r="B60" s="130" t="s">
        <v>95</v>
      </c>
      <c r="C60" s="131" t="s">
        <v>95</v>
      </c>
      <c r="D60" s="132" t="s">
        <v>69</v>
      </c>
      <c r="E60" s="131" t="s">
        <v>95</v>
      </c>
      <c r="F60" s="132" t="s">
        <v>69</v>
      </c>
      <c r="G60" s="133" t="s">
        <v>95</v>
      </c>
      <c r="H60" s="134" t="s">
        <v>69</v>
      </c>
      <c r="I60" s="131" t="s">
        <v>95</v>
      </c>
      <c r="J60" s="132" t="s">
        <v>69</v>
      </c>
      <c r="K60" s="133" t="s">
        <v>95</v>
      </c>
      <c r="L60" s="134" t="s">
        <v>69</v>
      </c>
      <c r="M60" s="131" t="s">
        <v>95</v>
      </c>
      <c r="N60" s="132" t="s">
        <v>69</v>
      </c>
      <c r="O60" s="133" t="s">
        <v>95</v>
      </c>
      <c r="P60" s="132" t="s">
        <v>69</v>
      </c>
      <c r="Q60" s="131" t="s">
        <v>95</v>
      </c>
      <c r="R60" s="132" t="s">
        <v>69</v>
      </c>
      <c r="S60" s="133" t="s">
        <v>95</v>
      </c>
      <c r="T60" s="134" t="s">
        <v>69</v>
      </c>
      <c r="U60" s="131" t="s">
        <v>95</v>
      </c>
      <c r="V60" s="132" t="s">
        <v>69</v>
      </c>
      <c r="W60" s="131" t="s">
        <v>95</v>
      </c>
      <c r="X60" s="132" t="s">
        <v>69</v>
      </c>
    </row>
    <row r="61" spans="1:24" x14ac:dyDescent="0.25">
      <c r="A61" s="84" t="s">
        <v>121</v>
      </c>
      <c r="B61" s="142">
        <f>+B27</f>
        <v>427.97252634130001</v>
      </c>
      <c r="C61" s="143">
        <f>+C27</f>
        <v>378.45989442561</v>
      </c>
      <c r="D61" s="144">
        <f t="shared" ref="D61:D65" si="47">1-C61/B61</f>
        <v>0.11569114573537975</v>
      </c>
      <c r="E61" s="143">
        <f>+E27</f>
        <v>354.57975115187003</v>
      </c>
      <c r="F61" s="144">
        <f>1-E61/B61</f>
        <v>0.17148945474808497</v>
      </c>
      <c r="G61" s="146">
        <f>+G27</f>
        <v>352.07411041039995</v>
      </c>
      <c r="H61" s="145">
        <f t="shared" ref="H61:H65" si="48">1-G61/B61</f>
        <v>0.17734413136223726</v>
      </c>
      <c r="I61" s="143">
        <f>+I27</f>
        <v>344.60624447371003</v>
      </c>
      <c r="J61" s="144">
        <f t="shared" ref="J61:J65" si="49">1-I61/B61</f>
        <v>0.19479353635216046</v>
      </c>
      <c r="K61" s="143">
        <f>+K27</f>
        <v>332.56797175938004</v>
      </c>
      <c r="L61" s="145">
        <f t="shared" ref="L61:L65" si="50">1-K61/B61</f>
        <v>0.22292214735727367</v>
      </c>
      <c r="M61" s="154">
        <f>+K61+((O61-K61)/(O50-K50)*(M50-K50))</f>
        <v>225.67144036603133</v>
      </c>
      <c r="N61" s="144">
        <f>1-M61/$B61</f>
        <v>0.47269643148527107</v>
      </c>
      <c r="O61" s="146">
        <f>+O27</f>
        <v>176.14063387412691</v>
      </c>
      <c r="P61" s="144">
        <f>1-O61/$B61</f>
        <v>0.58843004390973896</v>
      </c>
      <c r="Q61" s="143">
        <f>+(O61+S61)/2</f>
        <v>142.60353928920097</v>
      </c>
      <c r="R61" s="144">
        <f>1-Q61/$B61</f>
        <v>0.66679277170358042</v>
      </c>
      <c r="S61" s="146">
        <f>+Q27</f>
        <v>109.06644470427506</v>
      </c>
      <c r="T61" s="145">
        <f>1-S61/$B61</f>
        <v>0.74515549949742188</v>
      </c>
      <c r="U61" s="143">
        <f>+(S61+W61)/2</f>
        <v>63.41855994535976</v>
      </c>
      <c r="V61" s="144">
        <f>1-U61/$B61</f>
        <v>0.85181628249009456</v>
      </c>
      <c r="W61" s="143">
        <f>+S27</f>
        <v>17.770675186444468</v>
      </c>
      <c r="X61" s="144">
        <f>1-W61/$B61</f>
        <v>0.95847706548276723</v>
      </c>
    </row>
    <row r="62" spans="1:24" x14ac:dyDescent="0.25">
      <c r="A62" s="85" t="s">
        <v>124</v>
      </c>
      <c r="B62" s="121">
        <f>+B40-B61-B63-B64</f>
        <v>328.08543012365999</v>
      </c>
      <c r="C62" s="53">
        <f>+C40-C61-C63-C64</f>
        <v>262.06491254326005</v>
      </c>
      <c r="D62" s="59">
        <f t="shared" si="47"/>
        <v>0.20122965398224446</v>
      </c>
      <c r="E62" s="53">
        <f>+E40-E61-E63-E64</f>
        <v>248.21761647663004</v>
      </c>
      <c r="F62" s="59">
        <f>1-E62/B62</f>
        <v>0.24343602706443457</v>
      </c>
      <c r="G62" s="45">
        <f>+G40-G61-G63-G64</f>
        <v>229.88606424492008</v>
      </c>
      <c r="H62" s="41">
        <f t="shared" si="48"/>
        <v>0.29931035292157659</v>
      </c>
      <c r="I62" s="53">
        <f>+I40-I61-I63-I64</f>
        <v>223.46134216906998</v>
      </c>
      <c r="J62" s="59">
        <f t="shared" si="49"/>
        <v>0.31889281982182427</v>
      </c>
      <c r="K62" s="53">
        <f>+K40-K61-K63-K64</f>
        <v>224.74765623393995</v>
      </c>
      <c r="L62" s="41">
        <f t="shared" si="50"/>
        <v>0.31497215176782034</v>
      </c>
      <c r="M62" s="155">
        <f>+K62+((O62-K62)/(O51-K51)*(M51-K51))</f>
        <v>166.76437303265433</v>
      </c>
      <c r="N62" s="153">
        <f>1-M62/$B62</f>
        <v>0.49170442293094663</v>
      </c>
      <c r="O62" s="45">
        <f>+O40-O61-O63-O64</f>
        <v>131.96191107125711</v>
      </c>
      <c r="P62" s="59">
        <f>1-O62/$B62</f>
        <v>0.5977818612014596</v>
      </c>
      <c r="Q62" s="123">
        <f>+(O62+S62)/2</f>
        <v>106.83642471490076</v>
      </c>
      <c r="R62" s="153">
        <f>1-Q62/$B62</f>
        <v>0.67436400734213464</v>
      </c>
      <c r="S62" s="122">
        <f>+Q40-S61-S63-S64</f>
        <v>81.710938358544411</v>
      </c>
      <c r="T62" s="149">
        <f>1-S62/$B62</f>
        <v>0.75094615348280958</v>
      </c>
      <c r="U62" s="123">
        <f>+(S62+W62)/2</f>
        <v>47.512230333843711</v>
      </c>
      <c r="V62" s="59">
        <f>1-U62/$B62</f>
        <v>0.85518335783476984</v>
      </c>
      <c r="W62" s="123">
        <f>+S40-W61-W63-W64</f>
        <v>13.313522309143007</v>
      </c>
      <c r="X62" s="59">
        <f>1-W62/$B62</f>
        <v>0.95942056218673</v>
      </c>
    </row>
    <row r="63" spans="1:24" x14ac:dyDescent="0.25">
      <c r="A63" s="115" t="s">
        <v>122</v>
      </c>
      <c r="B63" s="140">
        <f>+('[2]Table1.A(a)s3'!$G$15+'[2]Table1.A(a)s3'!$G$35+'[2]Table1.A(a)s3'!$G$43+'[2]Table1.A(a)s3'!$G$63+'[2]Table1.A(a)s3'!$G$69+'[2]Table1.A(a)s3'!$G$77)/1000</f>
        <v>48.606216686430002</v>
      </c>
      <c r="C63" s="52">
        <f>+('[3]Table1.A(a)s3'!$G$15+'[3]Table1.A(a)s3'!$G$35+'[3]Table1.A(a)s3'!$G$43+'[3]Table1.A(a)s3'!$G$63+'[3]Table1.A(a)s3'!$G$69+'[3]Table1.A(a)s3'!$G$77)/1000</f>
        <v>56.533595601410006</v>
      </c>
      <c r="D63" s="55">
        <f t="shared" si="47"/>
        <v>-0.1630939302707175</v>
      </c>
      <c r="E63" s="52">
        <f>+('[4]Table1.A(a)s3'!$G$15+'[4]Table1.A(a)s3'!$G$35+'[4]Table1.A(a)s3'!$G$43+'[4]Table1.A(a)s3'!$G$63+'[4]Table1.A(a)s3'!$G$69+'[4]Table1.A(a)s3'!$G$77)/1000</f>
        <v>57.241273565139998</v>
      </c>
      <c r="F63" s="55">
        <f>1-E63/B63</f>
        <v>-0.17765334287210122</v>
      </c>
      <c r="G63" s="44">
        <f>+('[4]Table1.A(a)s3'!$G$15+'[4]Table1.A(a)s3'!$G$35+'[4]Table1.A(a)s3'!$G$43+'[4]Table1.A(a)s3'!$G$63+'[4]Table1.A(a)s3'!$G$69+'[4]Table1.A(a)s3'!$G$77)/1000</f>
        <v>57.241273565139998</v>
      </c>
      <c r="H63" s="40">
        <f t="shared" si="48"/>
        <v>-0.17765334287210122</v>
      </c>
      <c r="I63" s="52">
        <f>+('[5]Table1.A(a)s3'!$G$15+'[5]Table1.A(a)s3'!$G$35+'[5]Table1.A(a)s3'!$G$43+'[5]Table1.A(a)s3'!$G$63+'[5]Table1.A(a)s3'!$G$69+'[5]Table1.A(a)s3'!$G$77)/1000</f>
        <v>58.557709395380016</v>
      </c>
      <c r="J63" s="55">
        <f t="shared" si="49"/>
        <v>-0.20473703545267474</v>
      </c>
      <c r="K63" s="52">
        <f>+('[1]Table1.A(a)s3'!$G$15+'[1]Table1.A(a)s3'!$G$35+'[1]Table1.A(a)s3'!$G$43+'[1]Table1.A(a)s3'!$G$63+'[1]Table1.A(a)s3'!$G$69+'[1]Table1.A(a)s3'!$G$77)/1000</f>
        <v>61.033500619839998</v>
      </c>
      <c r="L63" s="40">
        <f t="shared" si="50"/>
        <v>-0.25567272626012616</v>
      </c>
      <c r="M63" s="156">
        <f>+K63+((O63-K63)/(O53-K53)*(M53-K53))</f>
        <v>48.44104647060891</v>
      </c>
      <c r="N63" s="55">
        <f>1-M63/$B63</f>
        <v>3.3981294385992955E-3</v>
      </c>
      <c r="O63" s="44">
        <f>+O29/$K29*$K63</f>
        <v>37.255534582745618</v>
      </c>
      <c r="P63" s="55">
        <f>1-O63/$B63</f>
        <v>0.23352325849407851</v>
      </c>
      <c r="Q63" s="52">
        <f>+(O63+S63)/2</f>
        <v>30.162098164171177</v>
      </c>
      <c r="R63" s="55">
        <f>1-Q63/$B63</f>
        <v>0.37946007279780936</v>
      </c>
      <c r="S63" s="44">
        <f>+Q29/$K29*$K63</f>
        <v>23.068661745596739</v>
      </c>
      <c r="T63" s="40">
        <f>1-S63/$B63</f>
        <v>0.5253968871015402</v>
      </c>
      <c r="U63" s="52">
        <f>+(S63+W63)/2</f>
        <v>13.413670095684434</v>
      </c>
      <c r="V63" s="55">
        <f>1-U63/$B63</f>
        <v>0.72403385800999209</v>
      </c>
      <c r="W63" s="44">
        <f>+S29/$K29*$K63</f>
        <v>3.7586784457721309</v>
      </c>
      <c r="X63" s="55">
        <f>1-W63/$B63</f>
        <v>0.92267082891844399</v>
      </c>
    </row>
    <row r="64" spans="1:24" x14ac:dyDescent="0.25">
      <c r="A64" s="85" t="s">
        <v>123</v>
      </c>
      <c r="B64" s="121">
        <f>+B32</f>
        <v>185.10746678359001</v>
      </c>
      <c r="C64" s="53">
        <f>+C32</f>
        <v>114.35003004088999</v>
      </c>
      <c r="D64" s="59">
        <f t="shared" si="47"/>
        <v>0.38225058109310561</v>
      </c>
      <c r="E64" s="53">
        <f>+E32</f>
        <v>124.19747224093</v>
      </c>
      <c r="F64" s="59">
        <f>1-E64/B64</f>
        <v>0.32905206689403932</v>
      </c>
      <c r="G64" s="45">
        <f>+G32</f>
        <v>124.74246437067001</v>
      </c>
      <c r="H64" s="41">
        <f t="shared" si="48"/>
        <v>0.32610787377633454</v>
      </c>
      <c r="I64" s="53">
        <f>+I32</f>
        <v>120.31749042782999</v>
      </c>
      <c r="J64" s="59">
        <f t="shared" si="49"/>
        <v>0.35001276545751814</v>
      </c>
      <c r="K64" s="45">
        <f>+K32</f>
        <v>125.97643497111</v>
      </c>
      <c r="L64" s="41">
        <f t="shared" si="50"/>
        <v>0.3194416348510154</v>
      </c>
      <c r="M64" s="155">
        <f>+K64+((O64-K64)/(O54-K54)*(M54-K54))</f>
        <v>104.80046652015722</v>
      </c>
      <c r="N64" s="59">
        <f>1-M64/$B64</f>
        <v>0.43383987506738497</v>
      </c>
      <c r="O64" s="45">
        <f>+O32</f>
        <v>95.508971217621053</v>
      </c>
      <c r="P64" s="59">
        <f>1-O64/$B64</f>
        <v>0.48403501556595219</v>
      </c>
      <c r="Q64" s="53">
        <f>+(O64+S64)/2</f>
        <v>77.324107617531425</v>
      </c>
      <c r="R64" s="59">
        <f>1-Q64/$B64</f>
        <v>0.58227450809463344</v>
      </c>
      <c r="S64" s="45">
        <f>+Q32</f>
        <v>59.139244017441797</v>
      </c>
      <c r="T64" s="41">
        <f>1-S64/$B64</f>
        <v>0.68051400062331491</v>
      </c>
      <c r="U64" s="53">
        <f>+(S64+W64)/2</f>
        <v>34.38753048210787</v>
      </c>
      <c r="V64" s="59">
        <f>1-U64/$B64</f>
        <v>0.81422937129645612</v>
      </c>
      <c r="W64" s="53">
        <f>+S32</f>
        <v>9.6358169467739465</v>
      </c>
      <c r="X64" s="59">
        <f>1-W64/$B64</f>
        <v>0.94794474196959744</v>
      </c>
    </row>
    <row r="65" spans="1:24" x14ac:dyDescent="0.25">
      <c r="A65" s="135" t="s">
        <v>126</v>
      </c>
      <c r="B65" s="141">
        <f>+B61+B62+B63+B64</f>
        <v>989.77163993497993</v>
      </c>
      <c r="C65" s="138">
        <f>+C61+C62+C63+C64</f>
        <v>811.40843261117004</v>
      </c>
      <c r="D65" s="136">
        <f t="shared" si="47"/>
        <v>0.18020642350949445</v>
      </c>
      <c r="E65" s="139">
        <f>+E61+E62+E63+E64</f>
        <v>784.23611343457003</v>
      </c>
      <c r="F65" s="148">
        <f>1-E65/B65</f>
        <v>0.20765954307794876</v>
      </c>
      <c r="G65" s="151">
        <f>+G61+G62+G63+G64</f>
        <v>763.94391259113013</v>
      </c>
      <c r="H65" s="137">
        <f t="shared" si="48"/>
        <v>0.22816144475374633</v>
      </c>
      <c r="I65" s="138">
        <f>+I61+I62+I63+I64</f>
        <v>746.94278646599003</v>
      </c>
      <c r="J65" s="136">
        <f t="shared" si="49"/>
        <v>0.24533826154580651</v>
      </c>
      <c r="K65" s="139">
        <f>+K61+K62+K63+K64</f>
        <v>744.32556358426996</v>
      </c>
      <c r="L65" s="137">
        <f t="shared" si="50"/>
        <v>0.24798253096727829</v>
      </c>
      <c r="M65" s="139">
        <f>+M61+M62+M63+M64</f>
        <v>545.67732638945176</v>
      </c>
      <c r="N65" s="136">
        <f>1-M65/$B65</f>
        <v>0.44868361107487542</v>
      </c>
      <c r="O65" s="151">
        <f>+O61+O62+O63+O64</f>
        <v>440.8670507457507</v>
      </c>
      <c r="P65" s="148">
        <f>1-O65/$B65</f>
        <v>0.55457700245410946</v>
      </c>
      <c r="Q65" s="138">
        <f>+Q61+Q62+Q63+Q64</f>
        <v>356.92616978580435</v>
      </c>
      <c r="R65" s="136">
        <f>1-Q65/$B65</f>
        <v>0.63938533356113181</v>
      </c>
      <c r="S65" s="152">
        <f>+S61+S62+S63+S64</f>
        <v>272.98528882585799</v>
      </c>
      <c r="T65" s="150">
        <f>1-S65/$B65</f>
        <v>0.72419366466815416</v>
      </c>
      <c r="U65" s="139">
        <f>+U61+U62+U63+U64</f>
        <v>158.73199085699579</v>
      </c>
      <c r="V65" s="148">
        <f>1-U65/$B65</f>
        <v>0.8396276631371018</v>
      </c>
      <c r="W65" s="139">
        <f>+W61+W62+W63+W64</f>
        <v>44.478692888133551</v>
      </c>
      <c r="X65" s="148">
        <f>1-W65/$B65</f>
        <v>0.95506166160604944</v>
      </c>
    </row>
    <row r="67" spans="1:24" x14ac:dyDescent="0.25">
      <c r="A67" t="s">
        <v>125</v>
      </c>
    </row>
    <row r="68" spans="1:24" x14ac:dyDescent="0.25">
      <c r="A68" t="s">
        <v>118</v>
      </c>
      <c r="H68">
        <v>2011</v>
      </c>
      <c r="I68">
        <v>2015</v>
      </c>
      <c r="J68">
        <v>2020</v>
      </c>
      <c r="K68">
        <v>2025</v>
      </c>
      <c r="L68">
        <v>2030</v>
      </c>
      <c r="M68">
        <v>2035</v>
      </c>
      <c r="N68">
        <v>2040</v>
      </c>
      <c r="O68">
        <v>2045</v>
      </c>
      <c r="P68">
        <v>2050</v>
      </c>
    </row>
    <row r="69" spans="1:24" x14ac:dyDescent="0.25">
      <c r="A69" t="str">
        <f>+A61</f>
        <v>energy (COL, CRU, GAS, OIL, ELE)</v>
      </c>
      <c r="H69" s="157">
        <f>+G61/$G61</f>
        <v>1</v>
      </c>
      <c r="I69" s="157">
        <f>+K61/$G61</f>
        <v>0.94459649808308166</v>
      </c>
      <c r="K69" s="157">
        <f>+M61/$G61</f>
        <v>0.64097709457527097</v>
      </c>
      <c r="L69" s="157">
        <f>+O61/$G61</f>
        <v>0.50029419564195221</v>
      </c>
      <c r="M69" s="157">
        <f>+Q61/$G61</f>
        <v>0.40503841399463658</v>
      </c>
      <c r="N69" s="157">
        <f>+S61/$G61</f>
        <v>0.30978263234732106</v>
      </c>
      <c r="O69" s="157">
        <f>+U61/$G61</f>
        <v>0.18012843907049869</v>
      </c>
      <c r="P69" s="157">
        <f>+W61/$G61</f>
        <v>5.0474245793676334E-2</v>
      </c>
      <c r="R69" t="s">
        <v>128</v>
      </c>
    </row>
    <row r="70" spans="1:24" x14ac:dyDescent="0.25">
      <c r="A70" t="str">
        <f>+A62</f>
        <v>buildings (FINAL CONSUMPTION, AGR, SER, BUI)</v>
      </c>
      <c r="H70" s="157">
        <f>+G62/$G62</f>
        <v>1</v>
      </c>
      <c r="I70" s="157">
        <f>+K62/$G62</f>
        <v>0.9776480230419462</v>
      </c>
      <c r="K70" s="157">
        <f>+M62/$G62</f>
        <v>0.72542184573217083</v>
      </c>
      <c r="L70" s="157">
        <f>+O62/$G62</f>
        <v>0.57403179920756398</v>
      </c>
      <c r="M70" s="157">
        <f>+Q62/$G62</f>
        <v>0.46473641221277978</v>
      </c>
      <c r="N70" s="157">
        <f>+S62/$G62</f>
        <v>0.3554410252179957</v>
      </c>
      <c r="O70" s="157">
        <f>+U62/$G62</f>
        <v>0.2066772968161493</v>
      </c>
      <c r="P70" s="157">
        <f>+W62/$G62</f>
        <v>5.7913568414302882E-2</v>
      </c>
      <c r="R70" t="s">
        <v>128</v>
      </c>
    </row>
    <row r="71" spans="1:24" x14ac:dyDescent="0.25">
      <c r="A71" t="str">
        <f>+A63</f>
        <v>transport (TRN)</v>
      </c>
      <c r="H71" s="157">
        <f>+G63/$G63</f>
        <v>1</v>
      </c>
      <c r="I71" s="157">
        <f>+K63/$G63</f>
        <v>1.066249872137881</v>
      </c>
      <c r="K71" s="157">
        <f>+M63/$G63</f>
        <v>0.84626080891585131</v>
      </c>
      <c r="L71" s="157">
        <f>+O63/$G63</f>
        <v>0.65085090289525427</v>
      </c>
      <c r="M71" s="157">
        <f>+Q63/$G63</f>
        <v>0.52692919436614227</v>
      </c>
      <c r="N71" s="157">
        <f>+S63/$G63</f>
        <v>0.40300748583703039</v>
      </c>
      <c r="O71" s="157">
        <f>+U63/$G63</f>
        <v>0.23433563336811175</v>
      </c>
      <c r="P71" s="157">
        <f>+W63/$G63</f>
        <v>6.5663780899193169E-2</v>
      </c>
      <c r="R71" t="s">
        <v>128</v>
      </c>
    </row>
    <row r="72" spans="1:24" x14ac:dyDescent="0.25">
      <c r="A72" t="str">
        <f>+A64</f>
        <v>industry (IRS, NFM, NMM, PPP, CHM, FOT, MVH, MAC, ROI)</v>
      </c>
      <c r="H72" s="157">
        <f>+G64/$G64</f>
        <v>1</v>
      </c>
      <c r="I72" s="157">
        <f>+K64/$G64</f>
        <v>1.0098921454427361</v>
      </c>
      <c r="K72" s="157">
        <f>+M64/$G64</f>
        <v>0.84013464900568657</v>
      </c>
      <c r="L72" s="157">
        <f>+O64/$G64</f>
        <v>0.76564922538180624</v>
      </c>
      <c r="M72" s="157">
        <f>+Q64/$G64</f>
        <v>0.61986996976237552</v>
      </c>
      <c r="N72" s="157">
        <f>+S64/$G64</f>
        <v>0.47409071414294485</v>
      </c>
      <c r="O72" s="157">
        <f>+U64/$G64</f>
        <v>0.27566819892162736</v>
      </c>
      <c r="P72" s="157">
        <f>+W64/$G64</f>
        <v>7.7245683700309847E-2</v>
      </c>
      <c r="R72" t="s">
        <v>128</v>
      </c>
    </row>
    <row r="73" spans="1:24" x14ac:dyDescent="0.25">
      <c r="A73" t="str">
        <f>+A65</f>
        <v>Energiebedingt</v>
      </c>
      <c r="H73" s="157">
        <f>+G65/$G65</f>
        <v>1</v>
      </c>
      <c r="I73" s="157">
        <f>+K65/$G65</f>
        <v>0.97431964744595057</v>
      </c>
      <c r="K73" s="157">
        <f>+M65/$G65</f>
        <v>0.71428977624631373</v>
      </c>
      <c r="L73" s="157">
        <f>+O65/$G65</f>
        <v>0.57709347961216995</v>
      </c>
      <c r="M73" s="157">
        <f>+Q65/$G65</f>
        <v>0.46721515009549469</v>
      </c>
      <c r="N73" s="157">
        <f>+S65/$G65</f>
        <v>0.35733682057881944</v>
      </c>
      <c r="O73" s="157">
        <f>+U65/$G65</f>
        <v>0.20777963963167362</v>
      </c>
      <c r="P73" s="157">
        <f>+W65/$G65</f>
        <v>5.8222458684527745E-2</v>
      </c>
      <c r="R73" t="s">
        <v>127</v>
      </c>
    </row>
  </sheetData>
  <mergeCells count="50">
    <mergeCell ref="C24:D24"/>
    <mergeCell ref="C43:D43"/>
    <mergeCell ref="C48:D48"/>
    <mergeCell ref="A25:T25"/>
    <mergeCell ref="G4:H4"/>
    <mergeCell ref="G24:H24"/>
    <mergeCell ref="G43:H43"/>
    <mergeCell ref="I43:J43"/>
    <mergeCell ref="M43:P43"/>
    <mergeCell ref="S43:T43"/>
    <mergeCell ref="K4:L4"/>
    <mergeCell ref="K43:L43"/>
    <mergeCell ref="E4:F4"/>
    <mergeCell ref="G48:H48"/>
    <mergeCell ref="I48:J48"/>
    <mergeCell ref="K48:L48"/>
    <mergeCell ref="E48:F48"/>
    <mergeCell ref="E59:F59"/>
    <mergeCell ref="A2:T2"/>
    <mergeCell ref="Q4:R4"/>
    <mergeCell ref="Q43:R43"/>
    <mergeCell ref="I24:J24"/>
    <mergeCell ref="K24:L24"/>
    <mergeCell ref="M24:P24"/>
    <mergeCell ref="Q24:R24"/>
    <mergeCell ref="M4:P4"/>
    <mergeCell ref="S4:T4"/>
    <mergeCell ref="M5:N5"/>
    <mergeCell ref="O5:P5"/>
    <mergeCell ref="I4:J4"/>
    <mergeCell ref="S24:T24"/>
    <mergeCell ref="E24:F24"/>
    <mergeCell ref="E43:F43"/>
    <mergeCell ref="C4:D4"/>
    <mergeCell ref="W48:X48"/>
    <mergeCell ref="C59:D59"/>
    <mergeCell ref="G59:H59"/>
    <mergeCell ref="I59:J59"/>
    <mergeCell ref="K59:L59"/>
    <mergeCell ref="M59:N59"/>
    <mergeCell ref="O59:P59"/>
    <mergeCell ref="Q59:R59"/>
    <mergeCell ref="S59:T59"/>
    <mergeCell ref="U59:V59"/>
    <mergeCell ref="W59:X59"/>
    <mergeCell ref="Q48:R48"/>
    <mergeCell ref="S48:T48"/>
    <mergeCell ref="M48:N48"/>
    <mergeCell ref="O48:P48"/>
    <mergeCell ref="U48:V48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headerFooter>
    <oddHeader>&amp;C&amp;F&amp;R&amp;D</oddHeader>
    <oddFooter>&amp;C&amp;A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73"/>
  <sheetViews>
    <sheetView topLeftCell="A30" workbookViewId="0">
      <selection activeCell="A65" sqref="A65"/>
    </sheetView>
  </sheetViews>
  <sheetFormatPr baseColWidth="10" defaultColWidth="9.140625" defaultRowHeight="15" x14ac:dyDescent="0.25"/>
  <cols>
    <col min="1" max="1" width="18.7109375" customWidth="1"/>
    <col min="4" max="4" width="13.7109375" customWidth="1"/>
    <col min="5" max="5" width="9.140625" customWidth="1"/>
    <col min="6" max="6" width="13.7109375" customWidth="1"/>
    <col min="7" max="7" width="9.140625" customWidth="1"/>
    <col min="8" max="8" width="13.7109375" customWidth="1"/>
    <col min="10" max="10" width="13.7109375" customWidth="1"/>
    <col min="11" max="11" width="9.140625" customWidth="1"/>
    <col min="12" max="12" width="13.7109375" customWidth="1"/>
    <col min="14" max="14" width="13.7109375" customWidth="1"/>
    <col min="16" max="16" width="13.7109375" customWidth="1"/>
    <col min="17" max="17" width="9.140625" customWidth="1"/>
    <col min="18" max="18" width="13.7109375" customWidth="1"/>
    <col min="20" max="20" width="13.7109375" customWidth="1"/>
    <col min="22" max="22" width="13.7109375" customWidth="1"/>
    <col min="24" max="24" width="13.7109375" customWidth="1"/>
  </cols>
  <sheetData>
    <row r="2" spans="1:20" ht="30" customHeight="1" x14ac:dyDescent="0.25">
      <c r="A2" s="238" t="s">
        <v>110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4" spans="1:20" x14ac:dyDescent="0.25">
      <c r="A4" s="102" t="s">
        <v>96</v>
      </c>
      <c r="B4" s="100">
        <v>1990</v>
      </c>
      <c r="C4" s="234">
        <v>2005</v>
      </c>
      <c r="D4" s="235"/>
      <c r="E4" s="234">
        <v>2010</v>
      </c>
      <c r="F4" s="235"/>
      <c r="G4" s="236">
        <v>2011</v>
      </c>
      <c r="H4" s="236"/>
      <c r="I4" s="234">
        <v>2014</v>
      </c>
      <c r="J4" s="235"/>
      <c r="K4" s="236">
        <v>2015</v>
      </c>
      <c r="L4" s="236"/>
      <c r="M4" s="249">
        <v>2030</v>
      </c>
      <c r="N4" s="250"/>
      <c r="O4" s="250"/>
      <c r="P4" s="251"/>
      <c r="Q4" s="239">
        <v>2040</v>
      </c>
      <c r="R4" s="240"/>
      <c r="S4" s="249">
        <v>2050</v>
      </c>
      <c r="T4" s="251"/>
    </row>
    <row r="5" spans="1:20" x14ac:dyDescent="0.25">
      <c r="A5" s="54"/>
      <c r="B5" s="34"/>
      <c r="C5" s="28"/>
      <c r="D5" s="56"/>
      <c r="E5" s="28"/>
      <c r="F5" s="56"/>
      <c r="G5" s="30"/>
      <c r="H5" s="38"/>
      <c r="I5" s="28"/>
      <c r="J5" s="56"/>
      <c r="K5" s="30"/>
      <c r="L5" s="38"/>
      <c r="M5" s="252" t="s">
        <v>66</v>
      </c>
      <c r="N5" s="253"/>
      <c r="O5" s="253" t="s">
        <v>67</v>
      </c>
      <c r="P5" s="254"/>
      <c r="Q5" s="90"/>
      <c r="R5" s="49"/>
      <c r="S5" s="28"/>
      <c r="T5" s="56"/>
    </row>
    <row r="6" spans="1:20" ht="30" customHeight="1" x14ac:dyDescent="0.35">
      <c r="A6" s="86" t="s">
        <v>65</v>
      </c>
      <c r="B6" s="35" t="s">
        <v>68</v>
      </c>
      <c r="C6" s="29" t="s">
        <v>68</v>
      </c>
      <c r="D6" s="46" t="s">
        <v>69</v>
      </c>
      <c r="E6" s="29" t="s">
        <v>68</v>
      </c>
      <c r="F6" s="46" t="s">
        <v>69</v>
      </c>
      <c r="G6" s="31" t="s">
        <v>68</v>
      </c>
      <c r="H6" s="39" t="s">
        <v>69</v>
      </c>
      <c r="I6" s="29" t="s">
        <v>68</v>
      </c>
      <c r="J6" s="46" t="s">
        <v>69</v>
      </c>
      <c r="K6" s="31" t="s">
        <v>68</v>
      </c>
      <c r="L6" s="20" t="s">
        <v>69</v>
      </c>
      <c r="M6" s="29" t="s">
        <v>68</v>
      </c>
      <c r="N6" s="20" t="s">
        <v>69</v>
      </c>
      <c r="O6" s="20" t="s">
        <v>68</v>
      </c>
      <c r="P6" s="46" t="s">
        <v>69</v>
      </c>
      <c r="Q6" s="31" t="s">
        <v>68</v>
      </c>
      <c r="R6" s="39" t="s">
        <v>69</v>
      </c>
      <c r="S6" s="29" t="s">
        <v>68</v>
      </c>
      <c r="T6" s="46" t="s">
        <v>69</v>
      </c>
    </row>
    <row r="7" spans="1:20" x14ac:dyDescent="0.25">
      <c r="A7" s="54" t="s">
        <v>70</v>
      </c>
      <c r="B7" s="36">
        <f>+([1]Table10s1!$C$10+[1]Table10s1!$C$15)/1000</f>
        <v>465.32020133321998</v>
      </c>
      <c r="C7" s="57">
        <f>+([1]Table10s1!$R$10+[1]Table10s1!$R$15)/1000</f>
        <v>395.22243224266003</v>
      </c>
      <c r="D7" s="55">
        <f t="shared" ref="D7:D16" si="0">1-C7/B7</f>
        <v>0.15064415619549321</v>
      </c>
      <c r="E7" s="57">
        <f>+([1]Table10s1!$W$10+[1]Table10s1!$W$15)/1000</f>
        <v>367.60714447986004</v>
      </c>
      <c r="F7" s="55">
        <f t="shared" ref="F7:F18" si="1">1-E7/B7</f>
        <v>0.2099910052763575</v>
      </c>
      <c r="G7" s="158">
        <f>+([1]Table10s1!$X$10+[1]Table10s1!$X$15)/1000</f>
        <v>365.16948473683999</v>
      </c>
      <c r="H7" s="40">
        <f t="shared" ref="H7:H21" si="2">1-G7/B7</f>
        <v>0.21522967691802652</v>
      </c>
      <c r="I7" s="57">
        <f>+([1]Table10s1!$AA$10+[1]Table10s1!$AA$15)/1000</f>
        <v>357.81341291827999</v>
      </c>
      <c r="J7" s="55">
        <f t="shared" ref="J7:J16" si="3">1-I7/B7</f>
        <v>0.23103830030786354</v>
      </c>
      <c r="K7" s="57">
        <f>+([1]Table10s1!$AB$10+[1]Table10s1!$AB$15)/1000</f>
        <v>346.09988907923002</v>
      </c>
      <c r="L7" s="21">
        <f t="shared" ref="L7:L16" si="4">1-K7/B7</f>
        <v>0.25621133987392741</v>
      </c>
      <c r="M7" s="42" t="s">
        <v>78</v>
      </c>
      <c r="N7" s="23" t="s">
        <v>85</v>
      </c>
      <c r="O7" s="25">
        <f>+O16-O13-O10-O9-O8</f>
        <v>183.30765143640491</v>
      </c>
      <c r="P7" s="47">
        <f>1-O7/$B7</f>
        <v>0.60606126510046643</v>
      </c>
      <c r="Q7" s="44">
        <f>+(Q$16-Q$11-Q$15)/($O$16-$O$11-O$15)*$O7</f>
        <v>91.651836846684944</v>
      </c>
      <c r="R7" s="50">
        <f t="shared" ref="R7:R17" si="5">1-Q7/$B7</f>
        <v>0.80303490675004618</v>
      </c>
      <c r="S7" s="52">
        <f>+(S$16-S$11-S$15)/($O$16-$O$11-O$15)*$O7</f>
        <v>-3.9777430350093988E-3</v>
      </c>
      <c r="T7" s="47">
        <f t="shared" ref="T7:T17" si="6">1-S7/$B7</f>
        <v>1.0000085483996259</v>
      </c>
    </row>
    <row r="8" spans="1:20" x14ac:dyDescent="0.25">
      <c r="A8" s="85" t="s">
        <v>71</v>
      </c>
      <c r="B8" s="37">
        <f>+[1]Table10s1!$C$13/1000</f>
        <v>208.17361982692</v>
      </c>
      <c r="C8" s="58">
        <f>+[1]Table10s1!$R$13/1000</f>
        <v>158.10512805230999</v>
      </c>
      <c r="D8" s="59">
        <f t="shared" si="0"/>
        <v>0.24051314386634592</v>
      </c>
      <c r="E8" s="58">
        <f>+[1]Table10s1!$W$13/1000</f>
        <v>153.26492210974001</v>
      </c>
      <c r="F8" s="59">
        <f t="shared" si="1"/>
        <v>0.26376395704139777</v>
      </c>
      <c r="G8" s="32">
        <f>+[1]Table10s1!$X$13/1000</f>
        <v>132.81745949794001</v>
      </c>
      <c r="H8" s="41">
        <f t="shared" si="2"/>
        <v>0.36198707786141548</v>
      </c>
      <c r="I8" s="58">
        <f>+[1]Table10s1!$AA$13/1000</f>
        <v>124.08811192839001</v>
      </c>
      <c r="J8" s="59">
        <f t="shared" si="3"/>
        <v>0.40392009308595622</v>
      </c>
      <c r="K8" s="58">
        <f>+[1]Table10s1!$AB$13/1000</f>
        <v>127.28217557149</v>
      </c>
      <c r="L8" s="22">
        <f t="shared" si="4"/>
        <v>0.38857682506882896</v>
      </c>
      <c r="M8" s="43" t="s">
        <v>79</v>
      </c>
      <c r="N8" s="24" t="s">
        <v>86</v>
      </c>
      <c r="O8" s="26">
        <f>72*557.9/557</f>
        <v>72.11633752244164</v>
      </c>
      <c r="P8" s="48">
        <f>1-O8/$B8</f>
        <v>0.65357600265393523</v>
      </c>
      <c r="Q8" s="45">
        <f>+(Q$16-Q$11-Q$15)/($O$16-$O$11-O$15)*$O8</f>
        <v>36.057386305450308</v>
      </c>
      <c r="R8" s="51">
        <f t="shared" si="5"/>
        <v>0.82679175999615517</v>
      </c>
      <c r="S8" s="53">
        <f>+(S$16-S$11-S$15)/($O$16-$O$11-O$15)*$O8</f>
        <v>-1.56491154102097E-3</v>
      </c>
      <c r="T8" s="48">
        <f t="shared" si="6"/>
        <v>1.0000075173383751</v>
      </c>
    </row>
    <row r="9" spans="1:20" x14ac:dyDescent="0.25">
      <c r="A9" s="115" t="s">
        <v>72</v>
      </c>
      <c r="B9" s="36">
        <f>+[1]Table10s1!$C$12/1000</f>
        <v>164.40387239634998</v>
      </c>
      <c r="C9" s="57">
        <f>+[1]Table10s1!$R$12/1000</f>
        <v>161.38184578841</v>
      </c>
      <c r="D9" s="55">
        <f t="shared" si="0"/>
        <v>1.838172400619853E-2</v>
      </c>
      <c r="E9" s="57">
        <f>+[1]Table10s1!$W$12/1000</f>
        <v>154.2098118685</v>
      </c>
      <c r="F9" s="55">
        <f t="shared" si="1"/>
        <v>6.2006206905356964E-2</v>
      </c>
      <c r="G9" s="158">
        <f>+[1]Table10s1!$X$12/1000</f>
        <v>156.36736891071999</v>
      </c>
      <c r="H9" s="40">
        <f t="shared" si="2"/>
        <v>4.888268973528398E-2</v>
      </c>
      <c r="I9" s="57">
        <f>+[1]Table10s1!$AA$12/1000</f>
        <v>160.12498447677001</v>
      </c>
      <c r="J9" s="55">
        <f t="shared" si="3"/>
        <v>2.6026685729544696E-2</v>
      </c>
      <c r="K9" s="57">
        <f>+[1]Table10s1!$AB$12/1000</f>
        <v>160.80691576616002</v>
      </c>
      <c r="L9" s="21">
        <f t="shared" si="4"/>
        <v>2.1878782888509529E-2</v>
      </c>
      <c r="M9" s="42" t="s">
        <v>80</v>
      </c>
      <c r="N9" s="23" t="s">
        <v>87</v>
      </c>
      <c r="O9" s="25">
        <f>98*557.9/557</f>
        <v>98.158348294434461</v>
      </c>
      <c r="P9" s="47">
        <f t="shared" ref="P9:P17" si="7">1-O9/B9</f>
        <v>0.40294381839260296</v>
      </c>
      <c r="Q9" s="44">
        <f>+(Q$16-Q$11-Q$15)/($O$16-$O$11-O$15)*$O9</f>
        <v>49.078109137974032</v>
      </c>
      <c r="R9" s="50">
        <f t="shared" si="5"/>
        <v>0.70147838720212752</v>
      </c>
      <c r="S9" s="52">
        <f>+(S$16-S$11-S$15)/($O$16-$O$11-O$15)*$O9</f>
        <v>-2.1300184863896538E-3</v>
      </c>
      <c r="T9" s="47">
        <f t="shared" si="6"/>
        <v>1.000012956011652</v>
      </c>
    </row>
    <row r="10" spans="1:20" x14ac:dyDescent="0.25">
      <c r="A10" s="85" t="s">
        <v>73</v>
      </c>
      <c r="B10" s="37">
        <f>+B11+B12</f>
        <v>283.34292635759084</v>
      </c>
      <c r="C10" s="58">
        <f>+C11+C12</f>
        <v>190.78615492510923</v>
      </c>
      <c r="D10" s="59">
        <f t="shared" si="0"/>
        <v>0.32665989803349116</v>
      </c>
      <c r="E10" s="58">
        <f>+E11+E12</f>
        <v>187.78911702224491</v>
      </c>
      <c r="F10" s="59">
        <f t="shared" si="1"/>
        <v>0.33723732073957957</v>
      </c>
      <c r="G10" s="32">
        <f>+G11+G12</f>
        <v>188.31427653184889</v>
      </c>
      <c r="H10" s="41">
        <f t="shared" si="2"/>
        <v>0.33538387934135949</v>
      </c>
      <c r="I10" s="58">
        <f>+I11+I12</f>
        <v>182.84048194879503</v>
      </c>
      <c r="J10" s="59">
        <f t="shared" si="3"/>
        <v>0.35470250025567052</v>
      </c>
      <c r="K10" s="32">
        <f>+K11+K12</f>
        <v>188.59525640005205</v>
      </c>
      <c r="L10" s="22">
        <f t="shared" si="4"/>
        <v>0.33439221926423957</v>
      </c>
      <c r="M10" s="43" t="s">
        <v>81</v>
      </c>
      <c r="N10" s="24" t="s">
        <v>88</v>
      </c>
      <c r="O10" s="26">
        <f>143*557.9/557</f>
        <v>143.23105924596049</v>
      </c>
      <c r="P10" s="48">
        <f t="shared" si="7"/>
        <v>0.49449572965447253</v>
      </c>
      <c r="Q10" s="45">
        <f>+Q11+Q12</f>
        <v>85.114484439658753</v>
      </c>
      <c r="R10" s="51">
        <f t="shared" si="5"/>
        <v>0.69960610792788724</v>
      </c>
      <c r="S10" s="53">
        <f>+S11+S12</f>
        <v>26.997909633356993</v>
      </c>
      <c r="T10" s="48">
        <f t="shared" si="6"/>
        <v>0.90471648620130196</v>
      </c>
    </row>
    <row r="11" spans="1:20" x14ac:dyDescent="0.25">
      <c r="A11" s="115" t="s">
        <v>108</v>
      </c>
      <c r="B11" s="120">
        <f>+[1]Table10s1!$C$19/1000</f>
        <v>96.642840360870807</v>
      </c>
      <c r="C11" s="119">
        <f>+[1]Table10s1!$R$19/1000</f>
        <v>75.488133783619233</v>
      </c>
      <c r="D11" s="55">
        <f t="shared" si="0"/>
        <v>0.21889574538846845</v>
      </c>
      <c r="E11" s="119">
        <f>+[1]Table10s1!$W$19/1000</f>
        <v>62.534271152564926</v>
      </c>
      <c r="F11" s="55">
        <f t="shared" si="1"/>
        <v>0.35293425856423721</v>
      </c>
      <c r="G11" s="159">
        <f>+[1]Table10s1!$X$19/1000</f>
        <v>62.462770339148889</v>
      </c>
      <c r="H11" s="40">
        <f t="shared" si="2"/>
        <v>0.3536741045078069</v>
      </c>
      <c r="I11" s="119">
        <f>+[1]Table10s1!$AA$19/1000</f>
        <v>61.445931746665025</v>
      </c>
      <c r="J11" s="55">
        <f t="shared" si="3"/>
        <v>0.36419571778704118</v>
      </c>
      <c r="K11" s="119">
        <f>+[1]Table10s1!$AB$19/1000</f>
        <v>61.534486442162049</v>
      </c>
      <c r="L11" s="21">
        <f t="shared" si="4"/>
        <v>0.36327940887924881</v>
      </c>
      <c r="M11" s="116"/>
      <c r="N11" s="117"/>
      <c r="O11" s="118">
        <v>46.9</v>
      </c>
      <c r="P11" s="47">
        <f t="shared" si="7"/>
        <v>0.51470797190074014</v>
      </c>
      <c r="Q11" s="198">
        <f>+(O11+S11)/2</f>
        <v>36.950000000000003</v>
      </c>
      <c r="R11" s="50">
        <f t="shared" si="5"/>
        <v>0.61766438297936777</v>
      </c>
      <c r="S11" s="119">
        <v>27</v>
      </c>
      <c r="T11" s="47">
        <f t="shared" si="6"/>
        <v>0.7206207940579954</v>
      </c>
    </row>
    <row r="12" spans="1:20" x14ac:dyDescent="0.25">
      <c r="A12" s="85" t="s">
        <v>109</v>
      </c>
      <c r="B12" s="121">
        <f>+[1]Table10s1!$C$11/1000</f>
        <v>186.70008599672002</v>
      </c>
      <c r="C12" s="53">
        <f>+[1]Table10s1!$R$11/1000</f>
        <v>115.29802114149</v>
      </c>
      <c r="D12" s="59">
        <f t="shared" si="0"/>
        <v>0.38244259221436261</v>
      </c>
      <c r="E12" s="53">
        <f>+[1]Table10s1!$W$11/1000</f>
        <v>125.25484586968</v>
      </c>
      <c r="F12" s="59">
        <f t="shared" si="1"/>
        <v>0.32911200762981707</v>
      </c>
      <c r="G12" s="45">
        <f>+[1]Table10s1!$X$11/1000</f>
        <v>125.8515061927</v>
      </c>
      <c r="H12" s="41">
        <f t="shared" si="2"/>
        <v>0.32591618519709209</v>
      </c>
      <c r="I12" s="53">
        <f>+[1]Table10s1!$AA$11/1000</f>
        <v>121.39455020213001</v>
      </c>
      <c r="J12" s="59">
        <f t="shared" si="3"/>
        <v>0.34978846124225837</v>
      </c>
      <c r="K12" s="53">
        <f>+[1]Table10s1!$AB$11/1000</f>
        <v>127.06076995789</v>
      </c>
      <c r="L12" s="22">
        <f t="shared" si="4"/>
        <v>0.31943914605308632</v>
      </c>
      <c r="M12" s="43"/>
      <c r="N12" s="24"/>
      <c r="O12" s="26">
        <f>+O10-O11</f>
        <v>96.331059245960489</v>
      </c>
      <c r="P12" s="48">
        <f t="shared" si="7"/>
        <v>0.484033128685046</v>
      </c>
      <c r="Q12" s="45">
        <f>+(Q$16-Q$11-Q$15)/($O$16-$O$11-O$15)*$O12</f>
        <v>48.164484439658743</v>
      </c>
      <c r="R12" s="51">
        <f t="shared" si="5"/>
        <v>0.74202216253663156</v>
      </c>
      <c r="S12" s="53">
        <f>+(S$16-S$11-S$15)/($O$16-$O$11-O$15)*$O12</f>
        <v>-2.0903666430074478E-3</v>
      </c>
      <c r="T12" s="48">
        <f t="shared" si="6"/>
        <v>1.0000111963882172</v>
      </c>
    </row>
    <row r="13" spans="1:20" x14ac:dyDescent="0.25">
      <c r="A13" s="54" t="s">
        <v>74</v>
      </c>
      <c r="B13" s="36">
        <f>+([1]Table10s1!$C$28+[1]Table10s1!$C$14)/1000</f>
        <v>91.719796163336795</v>
      </c>
      <c r="C13" s="57">
        <f>+([1]Table10s1!$R$28+[1]Table10s1!$R$14)/1000</f>
        <v>65.186415457165197</v>
      </c>
      <c r="D13" s="55">
        <f t="shared" si="0"/>
        <v>0.28928739286468019</v>
      </c>
      <c r="E13" s="57">
        <f>+([1]Table10s1!$W$28+[1]Table10s1!$W$14)/1000</f>
        <v>64.169305009243601</v>
      </c>
      <c r="F13" s="55">
        <f t="shared" si="1"/>
        <v>0.30037671589490478</v>
      </c>
      <c r="G13" s="158">
        <f>+([1]Table10s1!$X$28+[1]Table10s1!$X$14)/1000</f>
        <v>65.757824800099201</v>
      </c>
      <c r="H13" s="40">
        <f t="shared" si="2"/>
        <v>0.28305744723858628</v>
      </c>
      <c r="I13" s="57">
        <f>+([1]Table10s1!$AA$28+[1]Table10s1!$AA$14)/1000</f>
        <v>67.579096393173216</v>
      </c>
      <c r="J13" s="55">
        <f t="shared" si="3"/>
        <v>0.26320053881468775</v>
      </c>
      <c r="K13" s="57">
        <f>+([1]Table10s1!$AB$28+[1]Table10s1!$AB$14)/1000</f>
        <v>67.936776338781996</v>
      </c>
      <c r="L13" s="21">
        <f t="shared" si="4"/>
        <v>0.25930083601801113</v>
      </c>
      <c r="M13" s="42" t="s">
        <v>82</v>
      </c>
      <c r="N13" s="23" t="s">
        <v>89</v>
      </c>
      <c r="O13" s="25">
        <f>61*557.9/557</f>
        <v>61.098563734290849</v>
      </c>
      <c r="P13" s="47">
        <f t="shared" si="7"/>
        <v>0.33385630703446967</v>
      </c>
      <c r="Q13" s="44">
        <f>+Q14+Q15</f>
        <v>48.049272288861076</v>
      </c>
      <c r="R13" s="50">
        <f t="shared" si="5"/>
        <v>0.47612975280392267</v>
      </c>
      <c r="S13" s="52">
        <f>+S14+S15</f>
        <v>34.999980843431295</v>
      </c>
      <c r="T13" s="47">
        <f t="shared" si="6"/>
        <v>0.61840319857337556</v>
      </c>
    </row>
    <row r="14" spans="1:20" x14ac:dyDescent="0.25">
      <c r="A14" s="85" t="s">
        <v>112</v>
      </c>
      <c r="B14" s="37">
        <f>+[1]Table10s1!$C$14/1000</f>
        <v>12.138238285170001</v>
      </c>
      <c r="C14" s="58">
        <f>+[1]Table10s1!$R$14/1000</f>
        <v>1.7399619018400001</v>
      </c>
      <c r="D14" s="59">
        <f t="shared" si="0"/>
        <v>0.85665449458462073</v>
      </c>
      <c r="E14" s="58">
        <f>+[1]Table10s1!$W$14/1000</f>
        <v>1.3159568861499999</v>
      </c>
      <c r="F14" s="59">
        <f t="shared" si="1"/>
        <v>0.89158584176438671</v>
      </c>
      <c r="G14" s="32">
        <f>+[1]Table10s1!$X$14/1000</f>
        <v>1.2203109108500001</v>
      </c>
      <c r="H14" s="41">
        <f t="shared" si="2"/>
        <v>0.8994655664042347</v>
      </c>
      <c r="I14" s="58">
        <f>+[1]Table10s1!$AA$14/1000</f>
        <v>0.98820749968999999</v>
      </c>
      <c r="J14" s="59">
        <f t="shared" si="3"/>
        <v>0.91858723840531686</v>
      </c>
      <c r="K14" s="58">
        <f>+[1]Table10s1!$AB$14/1000</f>
        <v>0.98160220403999998</v>
      </c>
      <c r="L14" s="22">
        <f t="shared" si="4"/>
        <v>0.91913141091987949</v>
      </c>
      <c r="M14" s="43"/>
      <c r="N14" s="24"/>
      <c r="O14" s="26">
        <f>+O13/K13*K14</f>
        <v>0.88279850851594832</v>
      </c>
      <c r="P14" s="48">
        <f t="shared" si="7"/>
        <v>0.92727128206121023</v>
      </c>
      <c r="Q14" s="45">
        <f>+(Q$16-Q$11-Q$15)/($O$16-$O$11-O$15)*$O14</f>
        <v>0.44138967597362255</v>
      </c>
      <c r="R14" s="51">
        <f t="shared" si="5"/>
        <v>0.96363643013064804</v>
      </c>
      <c r="S14" s="53">
        <f>+(S$16-S$11-S$15)/($O$16-$O$11-O$15)*$O14</f>
        <v>-1.9156568703212385E-5</v>
      </c>
      <c r="T14" s="48">
        <f t="shared" si="6"/>
        <v>1.0000015782000857</v>
      </c>
    </row>
    <row r="15" spans="1:20" x14ac:dyDescent="0.25">
      <c r="A15" s="187" t="s">
        <v>109</v>
      </c>
      <c r="B15" s="188">
        <f>+B13-B14</f>
        <v>79.581557878166791</v>
      </c>
      <c r="C15" s="189">
        <f>+C13-C14</f>
        <v>63.446453555325199</v>
      </c>
      <c r="D15" s="55">
        <f t="shared" si="0"/>
        <v>0.20274928957212912</v>
      </c>
      <c r="E15" s="189">
        <f>+E13-E14</f>
        <v>62.853348123093603</v>
      </c>
      <c r="F15" s="55">
        <f t="shared" si="1"/>
        <v>0.21020208954294139</v>
      </c>
      <c r="G15" s="191">
        <f>+G13-G14</f>
        <v>64.537513889249198</v>
      </c>
      <c r="H15" s="40">
        <f t="shared" si="2"/>
        <v>0.18903932506509691</v>
      </c>
      <c r="I15" s="189">
        <f>+I13-I14</f>
        <v>66.590888893483211</v>
      </c>
      <c r="J15" s="55">
        <f t="shared" si="3"/>
        <v>0.16323717870126753</v>
      </c>
      <c r="K15" s="191">
        <f>+K13-K14</f>
        <v>66.955174134741995</v>
      </c>
      <c r="L15" s="21">
        <f t="shared" si="4"/>
        <v>0.15865967040699069</v>
      </c>
      <c r="M15" s="194"/>
      <c r="N15" s="195"/>
      <c r="O15" s="196">
        <f>+O13-O14</f>
        <v>60.215765225774902</v>
      </c>
      <c r="P15" s="47">
        <f t="shared" si="7"/>
        <v>0.24334523184428503</v>
      </c>
      <c r="Q15" s="198">
        <f>+(O15+S15)/2</f>
        <v>47.607882612887451</v>
      </c>
      <c r="R15" s="50">
        <f t="shared" si="5"/>
        <v>0.40177242212609821</v>
      </c>
      <c r="S15" s="200">
        <v>35</v>
      </c>
      <c r="T15" s="47">
        <f t="shared" si="6"/>
        <v>0.56019961240791116</v>
      </c>
    </row>
    <row r="16" spans="1:20" x14ac:dyDescent="0.25">
      <c r="A16" s="85" t="s">
        <v>75</v>
      </c>
      <c r="B16" s="37">
        <f>SUM(B7:B13)-B11-B12</f>
        <v>1212.9604160774174</v>
      </c>
      <c r="C16" s="58">
        <f>SUM(C7:C13)-C11-C12</f>
        <v>970.6819764656542</v>
      </c>
      <c r="D16" s="59">
        <f t="shared" si="0"/>
        <v>0.19974142305093967</v>
      </c>
      <c r="E16" s="58">
        <f>SUM(E7:E13)-E11-E12</f>
        <v>927.04030048958828</v>
      </c>
      <c r="F16" s="59">
        <f t="shared" si="1"/>
        <v>0.23572089558574705</v>
      </c>
      <c r="G16" s="32">
        <f>SUM(G7:G13)-G11-G12</f>
        <v>908.42641447744802</v>
      </c>
      <c r="H16" s="41">
        <f t="shared" si="2"/>
        <v>0.25106672696278032</v>
      </c>
      <c r="I16" s="58">
        <f>SUM(I7:I13)-I11-I12</f>
        <v>892.44608766540819</v>
      </c>
      <c r="J16" s="59">
        <f t="shared" si="3"/>
        <v>0.2642413752037498</v>
      </c>
      <c r="K16" s="32">
        <f>SUM(K7:K13)-K11-K12</f>
        <v>890.72101315571422</v>
      </c>
      <c r="L16" s="22">
        <f t="shared" si="4"/>
        <v>0.26566357702239829</v>
      </c>
      <c r="M16" s="43" t="s">
        <v>83</v>
      </c>
      <c r="N16" s="24" t="s">
        <v>90</v>
      </c>
      <c r="O16" s="26">
        <f>+O18-O17</f>
        <v>557.91196023353234</v>
      </c>
      <c r="P16" s="48">
        <f t="shared" si="7"/>
        <v>0.54004108226568581</v>
      </c>
      <c r="Q16" s="45">
        <f>+Q18-Q17</f>
        <v>309.95108901862909</v>
      </c>
      <c r="R16" s="51">
        <f t="shared" si="5"/>
        <v>0.74446726792538098</v>
      </c>
      <c r="S16" s="53">
        <f>+S18-S17</f>
        <v>61.990217803725869</v>
      </c>
      <c r="T16" s="48">
        <f t="shared" si="6"/>
        <v>0.94889345358507615</v>
      </c>
    </row>
    <row r="17" spans="1:20" x14ac:dyDescent="0.25">
      <c r="A17" s="88" t="s">
        <v>76</v>
      </c>
      <c r="B17" s="201">
        <f>+[1]Table10s1!$C$48/1000</f>
        <v>37.95505110821</v>
      </c>
      <c r="C17" s="202">
        <f>+[1]Table10s1!$R$48/1000</f>
        <v>21.250688441089999</v>
      </c>
      <c r="D17" s="190">
        <f>1-C17/$B17</f>
        <v>0.44010908112060754</v>
      </c>
      <c r="E17" s="202">
        <f>+[1]Table10s1!$W$48/1000</f>
        <v>14.7099680183</v>
      </c>
      <c r="F17" s="190">
        <f t="shared" si="1"/>
        <v>0.61243714370554203</v>
      </c>
      <c r="G17" s="203">
        <f>+[1]Table10s1!$X$48/1000</f>
        <v>13.936959157130001</v>
      </c>
      <c r="H17" s="192">
        <f t="shared" si="2"/>
        <v>0.63280357290533806</v>
      </c>
      <c r="I17" s="202">
        <f>+[1]Table10s1!$AA$48/1000</f>
        <v>11.816128600840001</v>
      </c>
      <c r="J17" s="190">
        <f>1-I17/$B17</f>
        <v>0.68868099881746514</v>
      </c>
      <c r="K17" s="202">
        <f>+[1]Table10s1!$AB$48/1000</f>
        <v>11.21049930379</v>
      </c>
      <c r="L17" s="193">
        <f>1-K17/$B17</f>
        <v>0.7046374862774174</v>
      </c>
      <c r="M17" s="204">
        <v>5</v>
      </c>
      <c r="N17" s="205" t="s">
        <v>91</v>
      </c>
      <c r="O17" s="206">
        <f>+M17</f>
        <v>5</v>
      </c>
      <c r="P17" s="197">
        <f t="shared" si="7"/>
        <v>0.868265228105082</v>
      </c>
      <c r="Q17" s="207">
        <f>+Q18/$O18*$O17</f>
        <v>2.7777777777777777</v>
      </c>
      <c r="R17" s="199">
        <f t="shared" si="5"/>
        <v>0.92681401561393439</v>
      </c>
      <c r="S17" s="208">
        <f>+S18/$O18*$O17</f>
        <v>0.55555555555555602</v>
      </c>
      <c r="T17" s="197">
        <f t="shared" si="6"/>
        <v>0.9853628031227869</v>
      </c>
    </row>
    <row r="18" spans="1:20" x14ac:dyDescent="0.25">
      <c r="A18" s="87" t="s">
        <v>77</v>
      </c>
      <c r="B18" s="214">
        <f>+B16+B17</f>
        <v>1250.9154671856274</v>
      </c>
      <c r="C18" s="60">
        <f>+C16+C17</f>
        <v>991.93266490674421</v>
      </c>
      <c r="D18" s="215">
        <f>1-C18/B18</f>
        <v>0.20703461510597176</v>
      </c>
      <c r="E18" s="60">
        <f>+E16+E17</f>
        <v>941.75026850788822</v>
      </c>
      <c r="F18" s="215">
        <f t="shared" si="1"/>
        <v>0.2471511519266083</v>
      </c>
      <c r="G18" s="216">
        <f>+G16+G17</f>
        <v>922.36337363457801</v>
      </c>
      <c r="H18" s="217">
        <f t="shared" si="2"/>
        <v>0.26264931737573161</v>
      </c>
      <c r="I18" s="60">
        <f>+I16+I17</f>
        <v>904.26221626624817</v>
      </c>
      <c r="J18" s="215">
        <f>1-I18/B18</f>
        <v>0.27711964558188507</v>
      </c>
      <c r="K18" s="216">
        <f>+K16+K17</f>
        <v>901.93151245950423</v>
      </c>
      <c r="L18" s="218">
        <f>1-K18/B18</f>
        <v>0.2789828440696196</v>
      </c>
      <c r="M18" s="219" t="s">
        <v>84</v>
      </c>
      <c r="N18" s="220" t="s">
        <v>92</v>
      </c>
      <c r="O18" s="27">
        <f>+$B18*(1-P18)</f>
        <v>562.91196023353234</v>
      </c>
      <c r="P18" s="215">
        <v>0.55000000000000004</v>
      </c>
      <c r="Q18" s="221">
        <f>+$B18*(1-R18)</f>
        <v>312.72886679640686</v>
      </c>
      <c r="R18" s="217">
        <v>0.75</v>
      </c>
      <c r="S18" s="222">
        <f>+$B18*(1-T18)</f>
        <v>62.545773359281426</v>
      </c>
      <c r="T18" s="215">
        <v>0.95</v>
      </c>
    </row>
    <row r="19" spans="1:20" x14ac:dyDescent="0.25">
      <c r="A19" s="88" t="s">
        <v>114</v>
      </c>
      <c r="B19" s="201"/>
      <c r="C19" s="203">
        <v>518.94500000000005</v>
      </c>
      <c r="D19" s="190"/>
      <c r="E19" s="202">
        <v>478.92</v>
      </c>
      <c r="F19" s="190"/>
      <c r="G19" s="203">
        <v>473.577</v>
      </c>
      <c r="H19" s="192"/>
      <c r="I19" s="202">
        <v>461.23399999999998</v>
      </c>
      <c r="J19" s="190"/>
      <c r="K19" s="203">
        <v>455.7</v>
      </c>
      <c r="L19" s="193"/>
      <c r="M19" s="204"/>
      <c r="N19" s="205"/>
      <c r="O19" s="206"/>
      <c r="P19" s="197"/>
      <c r="Q19" s="207"/>
      <c r="R19" s="199"/>
      <c r="S19" s="208"/>
      <c r="T19" s="197"/>
    </row>
    <row r="20" spans="1:20" x14ac:dyDescent="0.25">
      <c r="A20" s="85" t="s">
        <v>113</v>
      </c>
      <c r="B20" s="37">
        <f>+B7+B8+B9+B10+B14</f>
        <v>1133.3788581992508</v>
      </c>
      <c r="C20" s="126">
        <f>+C7+C8+C9+C10+C14</f>
        <v>907.23552291032934</v>
      </c>
      <c r="D20" s="59">
        <f t="shared" ref="D20" si="8">1-C20/B20</f>
        <v>0.19953022209027738</v>
      </c>
      <c r="E20" s="58">
        <f>+E7+E8+E9+E10+E14</f>
        <v>864.18695236649501</v>
      </c>
      <c r="F20" s="59">
        <f>1-E20/B20</f>
        <v>0.2375127292037692</v>
      </c>
      <c r="G20" s="32">
        <f>+G7+G8+G9+G10+G14</f>
        <v>843.88890058819891</v>
      </c>
      <c r="H20" s="125">
        <f t="shared" si="2"/>
        <v>0.25542205549078523</v>
      </c>
      <c r="I20" s="126">
        <f>+I7+I8+I9+I10+I14</f>
        <v>825.85519877192507</v>
      </c>
      <c r="J20" s="59">
        <f t="shared" ref="J20" si="9">1-I20/B20</f>
        <v>0.27133350618162166</v>
      </c>
      <c r="K20" s="58">
        <f>+K7+K8+K9+K10+K14</f>
        <v>823.76583902097218</v>
      </c>
      <c r="L20" s="125">
        <f t="shared" ref="L20" si="10">1-K20/B20</f>
        <v>0.2731769848523572</v>
      </c>
      <c r="M20" s="179"/>
      <c r="N20" s="223"/>
      <c r="O20" s="26">
        <f>+O7+O8+O9+O10+O14</f>
        <v>497.69619500775752</v>
      </c>
      <c r="P20" s="128">
        <f t="shared" ref="P20:P21" si="11">1-O20/B20</f>
        <v>0.56087393777706995</v>
      </c>
      <c r="Q20" s="104">
        <f>+Q7+Q8+Q9+Q10+Q14</f>
        <v>262.34320640574163</v>
      </c>
      <c r="R20" s="51">
        <f t="shared" ref="R20:R21" si="12">1-Q20/$B20</f>
        <v>0.76852999814857936</v>
      </c>
      <c r="S20" s="53">
        <f>+S7+S8+S9+S10+S14</f>
        <v>26.990217803725869</v>
      </c>
      <c r="T20" s="128">
        <f t="shared" ref="T20:T21" si="13">1-S20/$B20</f>
        <v>0.97618605852008855</v>
      </c>
    </row>
    <row r="21" spans="1:20" x14ac:dyDescent="0.25">
      <c r="A21" s="88" t="s">
        <v>112</v>
      </c>
      <c r="B21" s="201">
        <f>+B7+B8+B9+B12+B14</f>
        <v>1036.7360178383799</v>
      </c>
      <c r="C21" s="209">
        <f>+C7+C8+C9+C12+C14</f>
        <v>831.74738912671012</v>
      </c>
      <c r="D21" s="190">
        <f>1-C21/$B21</f>
        <v>0.19772499959929635</v>
      </c>
      <c r="E21" s="202">
        <f>+E7+E8+E9+E12+E14</f>
        <v>801.65268121393012</v>
      </c>
      <c r="F21" s="190">
        <f>1-E21/B21</f>
        <v>0.22675332252332114</v>
      </c>
      <c r="G21" s="203">
        <f>+G7+G8+G9+G12+G14</f>
        <v>781.42613024904995</v>
      </c>
      <c r="H21" s="210">
        <f t="shared" si="2"/>
        <v>0.24626315975947022</v>
      </c>
      <c r="I21" s="209">
        <f>+I7+I8+I9+I12+I14</f>
        <v>764.40926702525996</v>
      </c>
      <c r="J21" s="190">
        <f>1-I21/$B21</f>
        <v>0.26267704230140276</v>
      </c>
      <c r="K21" s="202">
        <f>+K7+K8+K9+K12+K14</f>
        <v>762.23135257881006</v>
      </c>
      <c r="L21" s="210">
        <f>1-K21/$B21</f>
        <v>0.26477778386818163</v>
      </c>
      <c r="M21" s="88"/>
      <c r="N21" s="70"/>
      <c r="O21" s="211">
        <f>+O7+O8+O9+O12+O14</f>
        <v>450.79619500775749</v>
      </c>
      <c r="P21" s="212">
        <f t="shared" si="11"/>
        <v>0.56517745380576367</v>
      </c>
      <c r="Q21" s="213">
        <f>+Q7+Q8+Q9+Q12+Q14</f>
        <v>225.39320640574164</v>
      </c>
      <c r="R21" s="199">
        <f t="shared" si="12"/>
        <v>0.78259344468836722</v>
      </c>
      <c r="S21" s="208">
        <f>+S7+S8+S9+S12+S14</f>
        <v>-9.7821962741306816E-3</v>
      </c>
      <c r="T21" s="212">
        <f t="shared" si="13"/>
        <v>1.0000094355709706</v>
      </c>
    </row>
    <row r="22" spans="1:20" hidden="1" x14ac:dyDescent="0.25">
      <c r="A22" s="88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101"/>
    </row>
    <row r="23" spans="1:20" x14ac:dyDescent="0.25">
      <c r="A23" s="88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101"/>
    </row>
    <row r="24" spans="1:20" x14ac:dyDescent="0.25">
      <c r="A24" s="87" t="s">
        <v>93</v>
      </c>
      <c r="B24" s="33">
        <v>1990</v>
      </c>
      <c r="C24" s="243">
        <v>2005</v>
      </c>
      <c r="D24" s="244"/>
      <c r="E24" s="243">
        <v>2010</v>
      </c>
      <c r="F24" s="244"/>
      <c r="G24" s="245">
        <v>2011</v>
      </c>
      <c r="H24" s="245"/>
      <c r="I24" s="243">
        <v>2014</v>
      </c>
      <c r="J24" s="244"/>
      <c r="K24" s="245">
        <v>2015</v>
      </c>
      <c r="L24" s="245"/>
      <c r="M24" s="246">
        <v>2030</v>
      </c>
      <c r="N24" s="247"/>
      <c r="O24" s="247"/>
      <c r="P24" s="248"/>
      <c r="Q24" s="241">
        <v>2040</v>
      </c>
      <c r="R24" s="242"/>
      <c r="S24" s="246">
        <v>2050</v>
      </c>
      <c r="T24" s="248"/>
    </row>
    <row r="25" spans="1:20" x14ac:dyDescent="0.25">
      <c r="A25" s="255" t="s">
        <v>111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7"/>
    </row>
    <row r="26" spans="1:20" ht="33" x14ac:dyDescent="0.35">
      <c r="A26" s="86" t="s">
        <v>65</v>
      </c>
      <c r="B26" s="35" t="s">
        <v>95</v>
      </c>
      <c r="C26" s="29" t="s">
        <v>95</v>
      </c>
      <c r="D26" s="46" t="s">
        <v>69</v>
      </c>
      <c r="E26" s="29" t="s">
        <v>95</v>
      </c>
      <c r="F26" s="46" t="s">
        <v>69</v>
      </c>
      <c r="G26" s="31" t="s">
        <v>95</v>
      </c>
      <c r="H26" s="39" t="s">
        <v>69</v>
      </c>
      <c r="I26" s="29" t="s">
        <v>95</v>
      </c>
      <c r="J26" s="46" t="s">
        <v>69</v>
      </c>
      <c r="K26" s="31" t="s">
        <v>95</v>
      </c>
      <c r="L26" s="20" t="s">
        <v>69</v>
      </c>
      <c r="M26" s="29"/>
      <c r="N26" s="20"/>
      <c r="O26" s="20" t="s">
        <v>95</v>
      </c>
      <c r="P26" s="46" t="s">
        <v>69</v>
      </c>
      <c r="Q26" s="31" t="s">
        <v>95</v>
      </c>
      <c r="R26" s="39" t="s">
        <v>69</v>
      </c>
      <c r="S26" s="29" t="s">
        <v>95</v>
      </c>
      <c r="T26" s="46" t="s">
        <v>69</v>
      </c>
    </row>
    <row r="27" spans="1:20" x14ac:dyDescent="0.25">
      <c r="A27" s="54" t="s">
        <v>70</v>
      </c>
      <c r="B27" s="36">
        <f>+([1]Table10s2!$C$9+[1]Table10s2!$C$14)/1000</f>
        <v>427.97252634130001</v>
      </c>
      <c r="C27" s="57">
        <f>+([1]Table10s2!$R$9+[1]Table10s2!$R$14)/1000</f>
        <v>378.45989442561</v>
      </c>
      <c r="D27" s="55">
        <f t="shared" ref="D27:D36" si="14">1-C27/B27</f>
        <v>0.11569114573537975</v>
      </c>
      <c r="E27" s="57">
        <f>+([1]Table10s2!$W$9+[1]Table10s2!$W$14)/1000</f>
        <v>354.57975115187003</v>
      </c>
      <c r="F27" s="55">
        <f t="shared" ref="F27:F36" si="15">1-E27/B27</f>
        <v>0.17148945474808497</v>
      </c>
      <c r="G27" s="158">
        <f>+([1]Table10s2!$X$9+[1]Table10s2!$X$14)/1000</f>
        <v>352.07411041039995</v>
      </c>
      <c r="H27" s="40">
        <f t="shared" ref="H27:H36" si="16">1-G27/B27</f>
        <v>0.17734413136223726</v>
      </c>
      <c r="I27" s="57">
        <f>+([1]Table10s2!$AA$9+[1]Table10s2!$AA$14)/1000</f>
        <v>344.60624447371003</v>
      </c>
      <c r="J27" s="55">
        <f t="shared" ref="J27:J36" si="17">1-I27/B27</f>
        <v>0.19479353635216046</v>
      </c>
      <c r="K27" s="57">
        <f>+([1]Table10s2!$AB$9+[1]Table10s2!$AB$14)/1000</f>
        <v>332.56797175938004</v>
      </c>
      <c r="L27" s="21">
        <f t="shared" ref="L27:L36" si="18">1-K27/B27</f>
        <v>0.22292214735727367</v>
      </c>
      <c r="M27" s="42"/>
      <c r="N27" s="23"/>
      <c r="O27" s="25">
        <f>+O7/$K7*$K27</f>
        <v>176.14063387412691</v>
      </c>
      <c r="P27" s="47">
        <f>1-O27/$B27</f>
        <v>0.58843004390973896</v>
      </c>
      <c r="Q27" s="44">
        <f>+Q7/$K7*$K27</f>
        <v>88.06840582704136</v>
      </c>
      <c r="R27" s="50">
        <f t="shared" ref="R27:R36" si="19">1-Q27/$B27</f>
        <v>0.79421948745184534</v>
      </c>
      <c r="S27" s="52">
        <f>+S7/$K7*$K27</f>
        <v>-3.8222200441972456E-3</v>
      </c>
      <c r="T27" s="47">
        <f t="shared" ref="T27:T36" si="20">1-S27/$B27</f>
        <v>1.0000089309939515</v>
      </c>
    </row>
    <row r="28" spans="1:20" x14ac:dyDescent="0.25">
      <c r="A28" s="85" t="s">
        <v>71</v>
      </c>
      <c r="B28" s="37">
        <f>+[1]Table10s2!$C$12/1000</f>
        <v>203.0117365774</v>
      </c>
      <c r="C28" s="58">
        <f>+[1]Table10s2!$R$12/1000</f>
        <v>156.82422702900001</v>
      </c>
      <c r="D28" s="59">
        <f t="shared" si="14"/>
        <v>0.22751152385118678</v>
      </c>
      <c r="E28" s="58">
        <f>+[1]Table10s2!$W$12/1000</f>
        <v>151.37063507724</v>
      </c>
      <c r="F28" s="59">
        <f t="shared" si="15"/>
        <v>0.25437495570839264</v>
      </c>
      <c r="G28" s="32">
        <f>+[1]Table10s2!$X$12/1000</f>
        <v>131.05209269521998</v>
      </c>
      <c r="H28" s="41">
        <f t="shared" si="16"/>
        <v>0.35446051098008702</v>
      </c>
      <c r="I28" s="58">
        <f>+[1]Table10s2!$AA$12/1000</f>
        <v>122.56852810229</v>
      </c>
      <c r="J28" s="59">
        <f t="shared" si="17"/>
        <v>0.396249053534106</v>
      </c>
      <c r="K28" s="58">
        <f>+[1]Table10s2!$AB$12/1000</f>
        <v>125.69418121307</v>
      </c>
      <c r="L28" s="22">
        <f t="shared" si="18"/>
        <v>0.38085263772349442</v>
      </c>
      <c r="M28" s="43"/>
      <c r="N28" s="24"/>
      <c r="O28" s="26">
        <f>+O8/$K8*$K28</f>
        <v>71.216601666880081</v>
      </c>
      <c r="P28" s="48">
        <f>1-O28/$B28</f>
        <v>0.649199583888451</v>
      </c>
      <c r="Q28" s="45">
        <f>+Q8/$K8*$K28</f>
        <v>35.607528139722568</v>
      </c>
      <c r="R28" s="51">
        <f t="shared" si="19"/>
        <v>0.82460359809716277</v>
      </c>
      <c r="S28" s="53">
        <f>+S8/$K8*$K28</f>
        <v>-1.5453874349361247E-3</v>
      </c>
      <c r="T28" s="48">
        <f t="shared" si="20"/>
        <v>1.0000076123058745</v>
      </c>
    </row>
    <row r="29" spans="1:20" x14ac:dyDescent="0.25">
      <c r="A29" s="54" t="s">
        <v>72</v>
      </c>
      <c r="B29" s="36">
        <f>+[1]Table10s2!$C$11/1000</f>
        <v>161.88241281320998</v>
      </c>
      <c r="C29" s="57">
        <f>+[1]Table10s2!$R$11/1000</f>
        <v>160.04444558950999</v>
      </c>
      <c r="D29" s="55">
        <f t="shared" si="14"/>
        <v>1.1353717749566505E-2</v>
      </c>
      <c r="E29" s="57">
        <f>+[1]Table10s2!$W$11/1000</f>
        <v>152.77884917689002</v>
      </c>
      <c r="F29" s="55">
        <f t="shared" si="15"/>
        <v>5.6235655733796186E-2</v>
      </c>
      <c r="G29" s="158">
        <f>+[1]Table10s2!$X$11/1000</f>
        <v>154.86149814981002</v>
      </c>
      <c r="H29" s="40">
        <f t="shared" si="16"/>
        <v>4.3370459714491272E-2</v>
      </c>
      <c r="I29" s="57">
        <f>+[1]Table10s2!$AA$11/1000</f>
        <v>158.46802943776001</v>
      </c>
      <c r="J29" s="55">
        <f t="shared" si="17"/>
        <v>2.1091749969094575E-2</v>
      </c>
      <c r="K29" s="57">
        <f>+[1]Table10s2!$AB$11/1000</f>
        <v>159.11112652536002</v>
      </c>
      <c r="L29" s="21">
        <f t="shared" si="18"/>
        <v>1.71191313478114E-2</v>
      </c>
      <c r="M29" s="42"/>
      <c r="N29" s="23"/>
      <c r="O29" s="25">
        <f>+O9/$K9*$K29</f>
        <v>97.123219487073612</v>
      </c>
      <c r="P29" s="47">
        <f t="shared" ref="P29:P36" si="21">1-O29/B29</f>
        <v>0.40003847361022205</v>
      </c>
      <c r="Q29" s="44">
        <f>+Q9/$K9*$K29</f>
        <v>48.560555965347994</v>
      </c>
      <c r="R29" s="50">
        <f t="shared" si="19"/>
        <v>0.70002574633366632</v>
      </c>
      <c r="S29" s="52">
        <f>+S9/$K9*$K29</f>
        <v>-2.107556377625767E-3</v>
      </c>
      <c r="T29" s="47">
        <f t="shared" si="20"/>
        <v>1.0000130190571106</v>
      </c>
    </row>
    <row r="30" spans="1:20" x14ac:dyDescent="0.25">
      <c r="A30" s="85" t="s">
        <v>73</v>
      </c>
      <c r="B30" s="37">
        <f>+B31+B32</f>
        <v>244.39901891070002</v>
      </c>
      <c r="C30" s="58">
        <f>+C31+C32</f>
        <v>166.48198123874454</v>
      </c>
      <c r="D30" s="59">
        <f t="shared" si="14"/>
        <v>0.31881076290418853</v>
      </c>
      <c r="E30" s="58">
        <f>+E31+E32</f>
        <v>170.07296061387024</v>
      </c>
      <c r="F30" s="59">
        <f t="shared" si="15"/>
        <v>0.30411766228892878</v>
      </c>
      <c r="G30" s="32">
        <f>+G31+G32</f>
        <v>170.74007121834813</v>
      </c>
      <c r="H30" s="41">
        <f t="shared" si="16"/>
        <v>0.30138806620686898</v>
      </c>
      <c r="I30" s="58">
        <f>+I31+I32</f>
        <v>165.26369229850181</v>
      </c>
      <c r="J30" s="59">
        <f t="shared" si="17"/>
        <v>0.32379559854580742</v>
      </c>
      <c r="K30" s="32">
        <f>+K31+K32</f>
        <v>170.63436917565832</v>
      </c>
      <c r="L30" s="22">
        <f t="shared" si="18"/>
        <v>0.30182056402605395</v>
      </c>
      <c r="M30" s="43"/>
      <c r="N30" s="24"/>
      <c r="O30" s="26">
        <f>+O31+O32</f>
        <v>129.54609796218168</v>
      </c>
      <c r="P30" s="48">
        <f t="shared" si="21"/>
        <v>0.46994018822343964</v>
      </c>
      <c r="Q30" s="45">
        <f>+Q31+Q32</f>
        <v>74.569479903951049</v>
      </c>
      <c r="R30" s="51">
        <f t="shared" si="19"/>
        <v>0.69488633695703306</v>
      </c>
      <c r="S30" s="53">
        <f>+S31+S32</f>
        <v>19.592861845720417</v>
      </c>
      <c r="T30" s="48">
        <f t="shared" si="20"/>
        <v>0.91983248569062637</v>
      </c>
    </row>
    <row r="31" spans="1:20" x14ac:dyDescent="0.25">
      <c r="A31" s="115" t="s">
        <v>108</v>
      </c>
      <c r="B31" s="120">
        <f>+[1]Table10s2!$C$18/1000</f>
        <v>59.291552127110002</v>
      </c>
      <c r="C31" s="119">
        <f>+[1]Table10s2!$R$18/1000</f>
        <v>52.131951197854555</v>
      </c>
      <c r="D31" s="55">
        <f t="shared" si="14"/>
        <v>0.12075246257521821</v>
      </c>
      <c r="E31" s="119">
        <f>+[1]Table10s2!$W$18/1000</f>
        <v>45.875488372940225</v>
      </c>
      <c r="F31" s="55">
        <f t="shared" si="15"/>
        <v>0.22627277028282622</v>
      </c>
      <c r="G31" s="159">
        <f>+[1]Table10s2!$X$18/1000</f>
        <v>45.997606847678142</v>
      </c>
      <c r="H31" s="40">
        <f t="shared" si="16"/>
        <v>0.22421314339911569</v>
      </c>
      <c r="I31" s="119">
        <f>+[1]Table10s2!$AA$18/1000</f>
        <v>44.946201870671814</v>
      </c>
      <c r="J31" s="55">
        <f t="shared" si="17"/>
        <v>0.24194593903840533</v>
      </c>
      <c r="K31" s="119">
        <f>+[1]Table10s2!$AB$18/1000</f>
        <v>44.65793420454834</v>
      </c>
      <c r="L31" s="21">
        <f t="shared" si="18"/>
        <v>0.24680780646777334</v>
      </c>
      <c r="M31" s="116"/>
      <c r="N31" s="117"/>
      <c r="O31" s="25">
        <f>+O11/$K11*$K31</f>
        <v>34.037126744560624</v>
      </c>
      <c r="P31" s="47">
        <f t="shared" si="21"/>
        <v>0.42593631767993878</v>
      </c>
      <c r="Q31" s="44">
        <f>+Q11/$K11*$K31</f>
        <v>26.816030558880922</v>
      </c>
      <c r="R31" s="50">
        <f t="shared" si="19"/>
        <v>0.5477259475111671</v>
      </c>
      <c r="S31" s="52">
        <f>+S11/$K11*$K31</f>
        <v>19.594934373201212</v>
      </c>
      <c r="T31" s="47">
        <f t="shared" si="20"/>
        <v>0.66951557734239553</v>
      </c>
    </row>
    <row r="32" spans="1:20" x14ac:dyDescent="0.25">
      <c r="A32" s="85" t="s">
        <v>109</v>
      </c>
      <c r="B32" s="121">
        <f>+[1]Table10s2!$C$10/1000</f>
        <v>185.10746678359001</v>
      </c>
      <c r="C32" s="53">
        <f>+[1]Table10s2!$R$10/1000</f>
        <v>114.35003004088999</v>
      </c>
      <c r="D32" s="59">
        <f t="shared" si="14"/>
        <v>0.38225058109310561</v>
      </c>
      <c r="E32" s="53">
        <f>+[1]Table10s2!$W$10/1000</f>
        <v>124.19747224093</v>
      </c>
      <c r="F32" s="59">
        <f t="shared" si="15"/>
        <v>0.32905206689403932</v>
      </c>
      <c r="G32" s="45">
        <f>+[1]Table10s2!$X$10/1000</f>
        <v>124.74246437067001</v>
      </c>
      <c r="H32" s="41">
        <f t="shared" si="16"/>
        <v>0.32610787377633454</v>
      </c>
      <c r="I32" s="53">
        <f>+[1]Table10s2!$AA$10/1000</f>
        <v>120.31749042782999</v>
      </c>
      <c r="J32" s="59">
        <f t="shared" si="17"/>
        <v>0.35001276545751814</v>
      </c>
      <c r="K32" s="53">
        <f>+[1]Table10s2!$AB$10/1000</f>
        <v>125.97643497111</v>
      </c>
      <c r="L32" s="22">
        <f t="shared" si="18"/>
        <v>0.3194416348510154</v>
      </c>
      <c r="M32" s="43"/>
      <c r="N32" s="24"/>
      <c r="O32" s="26">
        <f>+O12/$K12*$K32</f>
        <v>95.508971217621053</v>
      </c>
      <c r="P32" s="48">
        <f t="shared" si="21"/>
        <v>0.48403501556595219</v>
      </c>
      <c r="Q32" s="45">
        <f>+Q12/$K12*$K32</f>
        <v>47.753449345070131</v>
      </c>
      <c r="R32" s="51">
        <f t="shared" si="19"/>
        <v>0.74202310595661225</v>
      </c>
      <c r="S32" s="53">
        <f>+S12/$K12*$K32</f>
        <v>-2.072527480794264E-3</v>
      </c>
      <c r="T32" s="48">
        <f t="shared" si="20"/>
        <v>1.0000111963472722</v>
      </c>
    </row>
    <row r="33" spans="1:24" x14ac:dyDescent="0.25">
      <c r="A33" s="54" t="s">
        <v>74</v>
      </c>
      <c r="B33" s="36">
        <f>+([1]Table10s2!$C$27+[1]Table10s2!$C$13)/1000</f>
        <v>14.9811114704268</v>
      </c>
      <c r="C33" s="57">
        <f>+([1]Table10s2!$R$27+[1]Table10s2!$R$13)/1000</f>
        <v>4.0551835891951997</v>
      </c>
      <c r="D33" s="55">
        <f t="shared" si="14"/>
        <v>0.72931356947712034</v>
      </c>
      <c r="E33" s="57">
        <f>+([1]Table10s2!$W$27+[1]Table10s2!$W$13)/1000</f>
        <v>3.6344500820435997</v>
      </c>
      <c r="F33" s="55">
        <f t="shared" si="15"/>
        <v>0.75739783465211363</v>
      </c>
      <c r="G33" s="158">
        <f>+([1]Table10s2!$X$27+[1]Table10s2!$X$13)/1000</f>
        <v>3.8493338313091998</v>
      </c>
      <c r="H33" s="40">
        <f t="shared" si="16"/>
        <v>0.74305418934316658</v>
      </c>
      <c r="I33" s="57">
        <f>+([1]Table10s2!$AA$27+[1]Table10s2!$AA$13)/1000</f>
        <v>3.9224722826231999</v>
      </c>
      <c r="J33" s="55">
        <f t="shared" si="17"/>
        <v>0.73817214494623529</v>
      </c>
      <c r="K33" s="57">
        <f>+([1]Table10s2!$AB$27+[1]Table10s2!$AB$13)/1000</f>
        <v>4.0468507341719997</v>
      </c>
      <c r="L33" s="21">
        <f t="shared" si="18"/>
        <v>0.72986979356233928</v>
      </c>
      <c r="M33" s="42"/>
      <c r="N33" s="23"/>
      <c r="O33" s="25">
        <f>+O34+O35</f>
        <v>3.6395128063181605</v>
      </c>
      <c r="P33" s="47">
        <f t="shared" si="21"/>
        <v>0.75705989415386987</v>
      </c>
      <c r="Q33" s="44">
        <f>+Q34+Q35</f>
        <v>2.6224111862567216</v>
      </c>
      <c r="R33" s="50">
        <f t="shared" si="19"/>
        <v>0.82495216116418024</v>
      </c>
      <c r="S33" s="52">
        <f>+S34+S35</f>
        <v>1.6053095661952832</v>
      </c>
      <c r="T33" s="47">
        <f t="shared" si="20"/>
        <v>0.8928444281744905</v>
      </c>
    </row>
    <row r="34" spans="1:24" x14ac:dyDescent="0.25">
      <c r="A34" s="85" t="s">
        <v>112</v>
      </c>
      <c r="B34" s="121">
        <f>+[1]Table10s2!$C$13/1000</f>
        <v>11.797497419479999</v>
      </c>
      <c r="C34" s="53">
        <f>+[1]Table10s2!$R$13/1000</f>
        <v>1.72983552616</v>
      </c>
      <c r="D34" s="59">
        <f t="shared" si="14"/>
        <v>0.853372671791926</v>
      </c>
      <c r="E34" s="53">
        <f>+[1]Table10s2!$W$13/1000</f>
        <v>1.30940578764</v>
      </c>
      <c r="F34" s="59">
        <f t="shared" si="15"/>
        <v>0.88900986869656673</v>
      </c>
      <c r="G34" s="45">
        <f>+[1]Table10s2!$X$13/1000</f>
        <v>1.2137469650299999</v>
      </c>
      <c r="H34" s="41">
        <f t="shared" si="16"/>
        <v>0.8971182682332387</v>
      </c>
      <c r="I34" s="53">
        <f>+[1]Table10s2!$AA$13/1000</f>
        <v>0.9824940244</v>
      </c>
      <c r="J34" s="59">
        <f t="shared" si="17"/>
        <v>0.91672013229028482</v>
      </c>
      <c r="K34" s="53">
        <f>+[1]Table10s2!$AB$13/1000</f>
        <v>0.97584911535000007</v>
      </c>
      <c r="L34" s="22">
        <f t="shared" si="18"/>
        <v>0.91728337963111728</v>
      </c>
      <c r="M34" s="43"/>
      <c r="N34" s="24"/>
      <c r="O34" s="26">
        <f>+O14/$K14*$K34</f>
        <v>0.87762450004898596</v>
      </c>
      <c r="P34" s="48">
        <f t="shared" si="21"/>
        <v>0.92560926535149268</v>
      </c>
      <c r="Q34" s="45">
        <f>+Q14/$K14*$K34</f>
        <v>0.43880272787766744</v>
      </c>
      <c r="R34" s="51">
        <f t="shared" si="19"/>
        <v>0.96280543980852096</v>
      </c>
      <c r="S34" s="53">
        <f>+S14/$K14*$K34</f>
        <v>-1.9044293650964065E-5</v>
      </c>
      <c r="T34" s="48">
        <f t="shared" si="20"/>
        <v>1.0000016142655492</v>
      </c>
    </row>
    <row r="35" spans="1:24" x14ac:dyDescent="0.25">
      <c r="A35" s="88" t="s">
        <v>109</v>
      </c>
      <c r="B35" s="230">
        <f>+B33-B34</f>
        <v>3.1836140509468009</v>
      </c>
      <c r="C35" s="208">
        <f>+C33-C34</f>
        <v>2.3253480630351997</v>
      </c>
      <c r="D35" s="190">
        <f t="shared" si="14"/>
        <v>0.26958857894736155</v>
      </c>
      <c r="E35" s="208">
        <f>+E33-E34</f>
        <v>2.3250442944035994</v>
      </c>
      <c r="F35" s="190">
        <f t="shared" si="15"/>
        <v>0.26968399523424158</v>
      </c>
      <c r="G35" s="207">
        <f>+G33-G34</f>
        <v>2.6355868662791999</v>
      </c>
      <c r="H35" s="192">
        <f t="shared" si="16"/>
        <v>0.17213995663344261</v>
      </c>
      <c r="I35" s="208">
        <f>+I33-I34</f>
        <v>2.9399782582232001</v>
      </c>
      <c r="J35" s="190">
        <f t="shared" si="17"/>
        <v>7.6528055481833279E-2</v>
      </c>
      <c r="K35" s="207">
        <f>+K33-K34</f>
        <v>3.0710016188219997</v>
      </c>
      <c r="L35" s="193">
        <f t="shared" si="18"/>
        <v>3.5372513854595722E-2</v>
      </c>
      <c r="M35" s="227"/>
      <c r="N35" s="205"/>
      <c r="O35" s="211">
        <f>+O15/$K15*$K35</f>
        <v>2.7618883062691744</v>
      </c>
      <c r="P35" s="197">
        <f t="shared" si="21"/>
        <v>0.13246761005851393</v>
      </c>
      <c r="Q35" s="207">
        <f>+Q15/$K15*$K35</f>
        <v>2.1836084583790543</v>
      </c>
      <c r="R35" s="199">
        <f t="shared" si="19"/>
        <v>0.31411018313301731</v>
      </c>
      <c r="S35" s="208">
        <f>+S15/$K15*$K35</f>
        <v>1.6053286104889342</v>
      </c>
      <c r="T35" s="197">
        <f t="shared" si="20"/>
        <v>0.49575275620752068</v>
      </c>
    </row>
    <row r="36" spans="1:24" x14ac:dyDescent="0.25">
      <c r="A36" s="85" t="s">
        <v>75</v>
      </c>
      <c r="B36" s="37">
        <f>SUM(B27:B33)-B31-B32</f>
        <v>1052.2468061130369</v>
      </c>
      <c r="C36" s="58">
        <f>SUM(C27:C33)-C31-C32</f>
        <v>865.86573187205977</v>
      </c>
      <c r="D36" s="59">
        <f t="shared" si="14"/>
        <v>0.17712676641848157</v>
      </c>
      <c r="E36" s="58">
        <f>SUM(E27:E33)-E31-E32</f>
        <v>832.43664610191388</v>
      </c>
      <c r="F36" s="59">
        <f t="shared" si="15"/>
        <v>0.2088960106451585</v>
      </c>
      <c r="G36" s="32">
        <f>SUM(G27:G33)-G31-G32</f>
        <v>812.57710630508723</v>
      </c>
      <c r="H36" s="41">
        <f t="shared" si="16"/>
        <v>0.22776947234772915</v>
      </c>
      <c r="I36" s="58">
        <f>SUM(I27:I33)-I31-I32</f>
        <v>794.82896659488495</v>
      </c>
      <c r="J36" s="59">
        <f t="shared" si="17"/>
        <v>0.24463637050041942</v>
      </c>
      <c r="K36" s="32">
        <f>SUM(K27:K33)-K31-K32</f>
        <v>792.05449940764038</v>
      </c>
      <c r="L36" s="22">
        <f t="shared" si="18"/>
        <v>0.24727307813509825</v>
      </c>
      <c r="M36" s="43"/>
      <c r="N36" s="24"/>
      <c r="O36" s="26">
        <f>+O27+O28+O29+O30+O33</f>
        <v>477.66606579658048</v>
      </c>
      <c r="P36" s="48">
        <f t="shared" si="21"/>
        <v>0.54605130372306632</v>
      </c>
      <c r="Q36" s="45">
        <f>+Q27+Q28+Q29+Q30+Q33</f>
        <v>249.42838102231968</v>
      </c>
      <c r="R36" s="51">
        <f t="shared" si="19"/>
        <v>0.76295639048437747</v>
      </c>
      <c r="S36" s="53">
        <f>+S27+S28+S29+S30+S33</f>
        <v>21.190696248058941</v>
      </c>
      <c r="T36" s="48">
        <f t="shared" si="20"/>
        <v>0.97986147724568851</v>
      </c>
    </row>
    <row r="37" spans="1:24" x14ac:dyDescent="0.25">
      <c r="A37" s="88" t="s">
        <v>76</v>
      </c>
      <c r="B37" s="201">
        <v>0</v>
      </c>
      <c r="C37" s="202">
        <v>0</v>
      </c>
      <c r="D37" s="190"/>
      <c r="E37" s="202">
        <v>0</v>
      </c>
      <c r="F37" s="190"/>
      <c r="G37" s="203">
        <v>0</v>
      </c>
      <c r="H37" s="192"/>
      <c r="I37" s="202">
        <v>0</v>
      </c>
      <c r="J37" s="190"/>
      <c r="K37" s="203">
        <v>0</v>
      </c>
      <c r="L37" s="193"/>
      <c r="M37" s="204"/>
      <c r="N37" s="205"/>
      <c r="O37" s="211">
        <v>0</v>
      </c>
      <c r="P37" s="197"/>
      <c r="Q37" s="207">
        <v>0</v>
      </c>
      <c r="R37" s="199"/>
      <c r="S37" s="208">
        <v>0</v>
      </c>
      <c r="T37" s="197"/>
    </row>
    <row r="38" spans="1:24" x14ac:dyDescent="0.25">
      <c r="A38" s="87" t="s">
        <v>77</v>
      </c>
      <c r="B38" s="214">
        <f>+B36+B37</f>
        <v>1052.2468061130369</v>
      </c>
      <c r="C38" s="60">
        <f>+C36+C37</f>
        <v>865.86573187205977</v>
      </c>
      <c r="D38" s="215">
        <f>1-C38/B38</f>
        <v>0.17712676641848157</v>
      </c>
      <c r="E38" s="60">
        <f>+E36+E37</f>
        <v>832.43664610191388</v>
      </c>
      <c r="F38" s="215">
        <f>1-E38/B38</f>
        <v>0.2088960106451585</v>
      </c>
      <c r="G38" s="216">
        <f>+G36+G37</f>
        <v>812.57710630508723</v>
      </c>
      <c r="H38" s="217">
        <f>1-G38/B38</f>
        <v>0.22776947234772915</v>
      </c>
      <c r="I38" s="60">
        <f>+I36+I37</f>
        <v>794.82896659488495</v>
      </c>
      <c r="J38" s="215">
        <f>1-I38/B38</f>
        <v>0.24463637050041942</v>
      </c>
      <c r="K38" s="216">
        <f>+K36+K37</f>
        <v>792.05449940764038</v>
      </c>
      <c r="L38" s="218">
        <f>1-K38/B38</f>
        <v>0.24727307813509825</v>
      </c>
      <c r="M38" s="219"/>
      <c r="N38" s="220"/>
      <c r="O38" s="27">
        <f>+O36+O37</f>
        <v>477.66606579658048</v>
      </c>
      <c r="P38" s="215">
        <f>1-O38/$B38</f>
        <v>0.54605130372306632</v>
      </c>
      <c r="Q38" s="221">
        <f>+Q36+Q37</f>
        <v>249.42838102231968</v>
      </c>
      <c r="R38" s="217">
        <f>1-Q38/$B38</f>
        <v>0.76295639048437747</v>
      </c>
      <c r="S38" s="222">
        <f>+S36+S37</f>
        <v>21.190696248058941</v>
      </c>
      <c r="T38" s="215">
        <f>1-S38/$B38</f>
        <v>0.97986147724568851</v>
      </c>
    </row>
    <row r="39" spans="1:24" x14ac:dyDescent="0.25">
      <c r="A39" s="88" t="s">
        <v>113</v>
      </c>
      <c r="B39" s="201">
        <f>+B27+B28+B29+B30+B34</f>
        <v>1049.0631920620899</v>
      </c>
      <c r="C39" s="209">
        <f>+C27+C28+C29+C30+C34</f>
        <v>863.54038380902455</v>
      </c>
      <c r="D39" s="190">
        <f t="shared" ref="D39:D40" si="22">1-C39/B39</f>
        <v>0.17684617061856178</v>
      </c>
      <c r="E39" s="202">
        <f>+E27+E28+E29+E30+E34</f>
        <v>830.11160180751028</v>
      </c>
      <c r="F39" s="190">
        <f>1-E39/B39</f>
        <v>0.20871153607457882</v>
      </c>
      <c r="G39" s="203">
        <f>+G27+G28+G29+G30+G34</f>
        <v>809.9415194388082</v>
      </c>
      <c r="H39" s="210">
        <f t="shared" ref="H39:H40" si="23">1-G39/B39</f>
        <v>0.22793829240472396</v>
      </c>
      <c r="I39" s="209">
        <f>+I27+I28+I29+I30+I34</f>
        <v>791.8889883366619</v>
      </c>
      <c r="J39" s="190">
        <f t="shared" ref="J39:J40" si="24">1-I39/B39</f>
        <v>0.24514653232653583</v>
      </c>
      <c r="K39" s="202">
        <f>+K27+K28+K29+K30+K34</f>
        <v>788.98349778881834</v>
      </c>
      <c r="L39" s="228">
        <f t="shared" ref="L39:L40" si="25">1-K39/B39</f>
        <v>0.24791613721766959</v>
      </c>
      <c r="M39" s="204"/>
      <c r="N39" s="229"/>
      <c r="O39" s="211">
        <f>+O27+O28+O29+O30+O34</f>
        <v>474.90417749031127</v>
      </c>
      <c r="P39" s="212">
        <f t="shared" ref="P39:P40" si="26">1-O39/B39</f>
        <v>0.54730641482443354</v>
      </c>
      <c r="Q39" s="213">
        <f>+Q27+Q28+Q29+Q30+Q34</f>
        <v>247.24477256394061</v>
      </c>
      <c r="R39" s="199">
        <f t="shared" ref="R39:R40" si="27">1-Q39/$B39</f>
        <v>0.7643185134749183</v>
      </c>
      <c r="S39" s="208">
        <f>+S27+S28+S29+S30+S34</f>
        <v>19.585367637570005</v>
      </c>
      <c r="T39" s="212">
        <f t="shared" ref="T39:T40" si="28">1-S39/$B39</f>
        <v>0.98133061212540296</v>
      </c>
    </row>
    <row r="40" spans="1:24" s="129" customFormat="1" x14ac:dyDescent="0.25">
      <c r="A40" s="180" t="s">
        <v>112</v>
      </c>
      <c r="B40" s="181">
        <f>+B27+B28+B29+B32+B34</f>
        <v>989.77163993497993</v>
      </c>
      <c r="C40" s="224">
        <f>+C27+C28+C29+C32+C34</f>
        <v>811.40843261117004</v>
      </c>
      <c r="D40" s="59">
        <f t="shared" si="22"/>
        <v>0.18020642350949445</v>
      </c>
      <c r="E40" s="182">
        <f>+E27+E28+E29+E32+E34</f>
        <v>784.23611343457003</v>
      </c>
      <c r="F40" s="59">
        <f>1-E40/B40</f>
        <v>0.20765954307794876</v>
      </c>
      <c r="G40" s="183">
        <f>+G27+G28+G29+G32+G34</f>
        <v>763.94391259113002</v>
      </c>
      <c r="H40" s="125">
        <f t="shared" si="23"/>
        <v>0.22816144475374645</v>
      </c>
      <c r="I40" s="224">
        <f>+I27+I28+I29+I32+I34</f>
        <v>746.94278646599003</v>
      </c>
      <c r="J40" s="59">
        <f t="shared" si="24"/>
        <v>0.24533826154580651</v>
      </c>
      <c r="K40" s="182">
        <f>+K27+K28+K29+K32+K34</f>
        <v>744.32556358426996</v>
      </c>
      <c r="L40" s="127">
        <f t="shared" si="25"/>
        <v>0.24798253096727829</v>
      </c>
      <c r="M40" s="184"/>
      <c r="N40" s="225"/>
      <c r="O40" s="185">
        <f>+O27+O28+O29+O32+O34</f>
        <v>440.86705074575065</v>
      </c>
      <c r="P40" s="128">
        <f t="shared" si="26"/>
        <v>0.55457700245410946</v>
      </c>
      <c r="Q40" s="226">
        <f>+Q27+Q28+Q29+Q32+Q34</f>
        <v>220.42874200505969</v>
      </c>
      <c r="R40" s="51">
        <f t="shared" si="27"/>
        <v>0.77729333402648304</v>
      </c>
      <c r="S40" s="186">
        <f>+S27+S28+S29+S32+S34</f>
        <v>-9.5667356312043664E-3</v>
      </c>
      <c r="T40" s="128">
        <f t="shared" si="28"/>
        <v>1.0000096655988566</v>
      </c>
    </row>
    <row r="41" spans="1:24" hidden="1" x14ac:dyDescent="0.25">
      <c r="A41" s="88"/>
      <c r="B41" s="91"/>
      <c r="C41" s="91"/>
      <c r="D41" s="91"/>
      <c r="E41" s="91"/>
      <c r="F41" s="91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101"/>
    </row>
    <row r="42" spans="1:24" x14ac:dyDescent="0.25">
      <c r="A42" s="88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101"/>
    </row>
    <row r="43" spans="1:24" x14ac:dyDescent="0.25">
      <c r="A43" s="87" t="s">
        <v>93</v>
      </c>
      <c r="B43" s="33">
        <v>1990</v>
      </c>
      <c r="C43" s="243">
        <v>2005</v>
      </c>
      <c r="D43" s="244"/>
      <c r="E43" s="243">
        <v>2010</v>
      </c>
      <c r="F43" s="244"/>
      <c r="G43" s="245">
        <v>2011</v>
      </c>
      <c r="H43" s="245"/>
      <c r="I43" s="243">
        <v>2014</v>
      </c>
      <c r="J43" s="244"/>
      <c r="K43" s="245">
        <v>2015</v>
      </c>
      <c r="L43" s="245"/>
      <c r="M43" s="246">
        <v>2030</v>
      </c>
      <c r="N43" s="247"/>
      <c r="O43" s="247"/>
      <c r="P43" s="248"/>
      <c r="Q43" s="241">
        <v>2040</v>
      </c>
      <c r="R43" s="242"/>
      <c r="S43" s="246">
        <v>2050</v>
      </c>
      <c r="T43" s="248"/>
    </row>
    <row r="44" spans="1:24" x14ac:dyDescent="0.25">
      <c r="A44" s="96" t="s">
        <v>94</v>
      </c>
      <c r="B44" s="92">
        <v>366</v>
      </c>
      <c r="C44" s="93">
        <v>333</v>
      </c>
      <c r="D44" s="94">
        <f>1-C44/$B44</f>
        <v>9.0163934426229497E-2</v>
      </c>
      <c r="E44" s="124">
        <v>316</v>
      </c>
      <c r="F44" s="94">
        <f>1-E44/$B44</f>
        <v>0.13661202185792354</v>
      </c>
      <c r="G44" s="93">
        <v>315</v>
      </c>
      <c r="H44" s="95">
        <f>1-G44/$B44</f>
        <v>0.13934426229508201</v>
      </c>
      <c r="I44" s="124">
        <v>316</v>
      </c>
      <c r="J44" s="94">
        <f>1-I44/$B44</f>
        <v>0.13661202185792354</v>
      </c>
      <c r="K44" s="93">
        <v>309</v>
      </c>
      <c r="L44" s="95">
        <f>1-K44/$B44</f>
        <v>0.15573770491803274</v>
      </c>
      <c r="M44" s="96"/>
      <c r="N44" s="81"/>
      <c r="O44" s="97">
        <f>+O$7/$K$7*$K44</f>
        <v>163.65814055745761</v>
      </c>
      <c r="P44" s="94">
        <f>1-O44/$B44</f>
        <v>0.55284661049874972</v>
      </c>
      <c r="Q44" s="98">
        <f>+Q$7/$K$7*$K44</f>
        <v>81.827294602635575</v>
      </c>
      <c r="R44" s="95">
        <f>1-Q44/$B44</f>
        <v>0.77642815682340005</v>
      </c>
      <c r="S44" s="99">
        <f>+S$7/$K$7*$K44</f>
        <v>-3.5513521864681398E-3</v>
      </c>
      <c r="T44" s="94">
        <f>1-S44/$B44</f>
        <v>1.0000097031480504</v>
      </c>
    </row>
    <row r="46" spans="1:24" x14ac:dyDescent="0.25">
      <c r="A46" t="s">
        <v>115</v>
      </c>
    </row>
    <row r="47" spans="1:24" x14ac:dyDescent="0.25">
      <c r="A47" t="s">
        <v>130</v>
      </c>
    </row>
    <row r="48" spans="1:24" x14ac:dyDescent="0.25">
      <c r="A48" s="102"/>
      <c r="B48" s="100">
        <v>1990</v>
      </c>
      <c r="C48" s="234">
        <v>2005</v>
      </c>
      <c r="D48" s="235"/>
      <c r="E48" s="234">
        <v>2010</v>
      </c>
      <c r="F48" s="235"/>
      <c r="G48" s="236">
        <v>2011</v>
      </c>
      <c r="H48" s="236"/>
      <c r="I48" s="234">
        <v>2014</v>
      </c>
      <c r="J48" s="235"/>
      <c r="K48" s="236">
        <v>2015</v>
      </c>
      <c r="L48" s="236"/>
      <c r="M48" s="232">
        <v>2025</v>
      </c>
      <c r="N48" s="233"/>
      <c r="O48" s="237">
        <v>2030</v>
      </c>
      <c r="P48" s="233"/>
      <c r="Q48" s="232">
        <v>2035</v>
      </c>
      <c r="R48" s="233"/>
      <c r="S48" s="232">
        <v>2040</v>
      </c>
      <c r="T48" s="233"/>
      <c r="U48" s="232">
        <v>2045</v>
      </c>
      <c r="V48" s="233"/>
      <c r="W48" s="232">
        <v>2050</v>
      </c>
      <c r="X48" s="233"/>
    </row>
    <row r="49" spans="1:24" ht="30" customHeight="1" x14ac:dyDescent="0.35">
      <c r="A49" s="147" t="s">
        <v>118</v>
      </c>
      <c r="B49" s="130" t="s">
        <v>68</v>
      </c>
      <c r="C49" s="131" t="s">
        <v>68</v>
      </c>
      <c r="D49" s="132" t="s">
        <v>69</v>
      </c>
      <c r="E49" s="131" t="s">
        <v>68</v>
      </c>
      <c r="F49" s="132" t="s">
        <v>69</v>
      </c>
      <c r="G49" s="133" t="s">
        <v>68</v>
      </c>
      <c r="H49" s="134" t="s">
        <v>69</v>
      </c>
      <c r="I49" s="131" t="s">
        <v>68</v>
      </c>
      <c r="J49" s="132" t="s">
        <v>69</v>
      </c>
      <c r="K49" s="133" t="s">
        <v>68</v>
      </c>
      <c r="L49" s="134" t="s">
        <v>69</v>
      </c>
      <c r="M49" s="131" t="s">
        <v>68</v>
      </c>
      <c r="N49" s="132" t="s">
        <v>69</v>
      </c>
      <c r="O49" s="133" t="s">
        <v>68</v>
      </c>
      <c r="P49" s="132" t="s">
        <v>69</v>
      </c>
      <c r="Q49" s="131" t="s">
        <v>68</v>
      </c>
      <c r="R49" s="132" t="s">
        <v>69</v>
      </c>
      <c r="S49" s="133" t="s">
        <v>68</v>
      </c>
      <c r="T49" s="134" t="s">
        <v>69</v>
      </c>
      <c r="U49" s="131" t="s">
        <v>68</v>
      </c>
      <c r="V49" s="132" t="s">
        <v>69</v>
      </c>
      <c r="W49" s="131" t="s">
        <v>68</v>
      </c>
      <c r="X49" s="132" t="s">
        <v>69</v>
      </c>
    </row>
    <row r="50" spans="1:24" x14ac:dyDescent="0.25">
      <c r="A50" s="84" t="s">
        <v>70</v>
      </c>
      <c r="B50" s="142">
        <f>+B7</f>
        <v>465.32020133321998</v>
      </c>
      <c r="C50" s="143">
        <f>+C7</f>
        <v>395.22243224266003</v>
      </c>
      <c r="D50" s="144">
        <f t="shared" ref="D50:D55" si="29">1-C50/B50</f>
        <v>0.15064415619549321</v>
      </c>
      <c r="E50" s="143">
        <f>+E7</f>
        <v>367.60714447986004</v>
      </c>
      <c r="F50" s="144">
        <f>1-E50/B50</f>
        <v>0.2099910052763575</v>
      </c>
      <c r="G50" s="146">
        <f>+G7</f>
        <v>365.16948473683999</v>
      </c>
      <c r="H50" s="145">
        <f t="shared" ref="H50:H55" si="30">1-G50/B50</f>
        <v>0.21522967691802652</v>
      </c>
      <c r="I50" s="143">
        <f>+I7</f>
        <v>357.81341291827999</v>
      </c>
      <c r="J50" s="144">
        <f t="shared" ref="J50:J55" si="31">1-I50/B50</f>
        <v>0.23103830030786354</v>
      </c>
      <c r="K50" s="143">
        <f>+K7</f>
        <v>346.09988907923002</v>
      </c>
      <c r="L50" s="145">
        <f t="shared" ref="L50:L55" si="32">1-K50/B50</f>
        <v>0.25621133987392741</v>
      </c>
      <c r="M50" s="154">
        <f>+(286.4+O50)/2</f>
        <v>234.85382571820244</v>
      </c>
      <c r="N50" s="144">
        <f>1-M50/$B50</f>
        <v>0.49528555810534969</v>
      </c>
      <c r="O50" s="146">
        <f>+O7</f>
        <v>183.30765143640491</v>
      </c>
      <c r="P50" s="144">
        <f>1-O50/$B50</f>
        <v>0.60606126510046643</v>
      </c>
      <c r="Q50" s="143">
        <f>+(O50+S50)/2</f>
        <v>137.47974414154493</v>
      </c>
      <c r="R50" s="144">
        <f>1-Q50/$B50</f>
        <v>0.70454808592525642</v>
      </c>
      <c r="S50" s="146">
        <f>+Q7</f>
        <v>91.651836846684944</v>
      </c>
      <c r="T50" s="145">
        <f>1-S50/$B50</f>
        <v>0.80303490675004618</v>
      </c>
      <c r="U50" s="143">
        <f>+(S50+W50)/2</f>
        <v>45.823929551824968</v>
      </c>
      <c r="V50" s="144">
        <f>1-U50/$B50</f>
        <v>0.90152172757483606</v>
      </c>
      <c r="W50" s="143">
        <f>+S7</f>
        <v>-3.9777430350093988E-3</v>
      </c>
      <c r="X50" s="144">
        <f>1-W50/$B50</f>
        <v>1.0000085483996259</v>
      </c>
    </row>
    <row r="51" spans="1:24" x14ac:dyDescent="0.25">
      <c r="A51" s="264" t="s">
        <v>116</v>
      </c>
      <c r="B51" s="121">
        <f>+B8</f>
        <v>208.17361982692</v>
      </c>
      <c r="C51" s="53">
        <f>+C8</f>
        <v>158.10512805230999</v>
      </c>
      <c r="D51" s="59">
        <f t="shared" si="29"/>
        <v>0.24051314386634592</v>
      </c>
      <c r="E51" s="53">
        <f>+E8</f>
        <v>153.26492210974001</v>
      </c>
      <c r="F51" s="59">
        <f>1-E51/B51</f>
        <v>0.26376395704139777</v>
      </c>
      <c r="G51" s="45">
        <f>+G8</f>
        <v>132.81745949794001</v>
      </c>
      <c r="H51" s="41">
        <f t="shared" si="30"/>
        <v>0.36198707786141548</v>
      </c>
      <c r="I51" s="53">
        <f>+I8</f>
        <v>124.08811192839001</v>
      </c>
      <c r="J51" s="59">
        <f t="shared" si="31"/>
        <v>0.40392009308595622</v>
      </c>
      <c r="K51" s="53">
        <f>+K8</f>
        <v>127.28217557149</v>
      </c>
      <c r="L51" s="41">
        <f t="shared" si="32"/>
        <v>0.38857682506882896</v>
      </c>
      <c r="M51" s="155">
        <f>+(113.5+O51)/2</f>
        <v>92.808168761220827</v>
      </c>
      <c r="N51" s="153">
        <f>1-M51/$B51</f>
        <v>0.55417901250704327</v>
      </c>
      <c r="O51" s="45">
        <f>+O8</f>
        <v>72.11633752244164</v>
      </c>
      <c r="P51" s="59">
        <f>1-O51/$B51</f>
        <v>0.65357600265393523</v>
      </c>
      <c r="Q51" s="123">
        <f>+(O51+S51)/2</f>
        <v>54.086861913945974</v>
      </c>
      <c r="R51" s="153">
        <f>1-Q51/$B51</f>
        <v>0.7401838813250452</v>
      </c>
      <c r="S51" s="122">
        <f>+Q8</f>
        <v>36.057386305450308</v>
      </c>
      <c r="T51" s="149">
        <f>1-S51/$B51</f>
        <v>0.82679175999615517</v>
      </c>
      <c r="U51" s="123">
        <f>+(S51+W51)/2</f>
        <v>18.027910696954642</v>
      </c>
      <c r="V51" s="59">
        <f>1-U51/$B51</f>
        <v>0.91339963866726515</v>
      </c>
      <c r="W51" s="123">
        <f>+S8</f>
        <v>-1.56491154102097E-3</v>
      </c>
      <c r="X51" s="59">
        <f>1-W51/$B51</f>
        <v>1.0000075173383751</v>
      </c>
    </row>
    <row r="52" spans="1:24" x14ac:dyDescent="0.25">
      <c r="A52" s="88" t="s">
        <v>74</v>
      </c>
      <c r="B52" s="230">
        <f>+B13</f>
        <v>91.719796163336795</v>
      </c>
      <c r="C52" s="208">
        <f>+C13</f>
        <v>65.186415457165197</v>
      </c>
      <c r="D52" s="190">
        <f t="shared" si="29"/>
        <v>0.28928739286468019</v>
      </c>
      <c r="E52" s="208">
        <f>+E13</f>
        <v>64.169305009243601</v>
      </c>
      <c r="F52" s="190">
        <f>1-E52/B52</f>
        <v>0.30037671589490478</v>
      </c>
      <c r="G52" s="207">
        <f>+G13</f>
        <v>65.757824800099201</v>
      </c>
      <c r="H52" s="192">
        <f t="shared" si="30"/>
        <v>0.28305744723858628</v>
      </c>
      <c r="I52" s="208">
        <f>+I13</f>
        <v>67.579096393173216</v>
      </c>
      <c r="J52" s="190">
        <f t="shared" si="31"/>
        <v>0.26320053881468775</v>
      </c>
      <c r="K52" s="208">
        <f>+K13</f>
        <v>67.936776338781996</v>
      </c>
      <c r="L52" s="192">
        <f t="shared" si="32"/>
        <v>0.25930083601801113</v>
      </c>
      <c r="M52" s="275">
        <f>+(65.6+O52)/2</f>
        <v>63.349281867145422</v>
      </c>
      <c r="N52" s="190">
        <f>1-M52/$B52</f>
        <v>0.30931724102034075</v>
      </c>
      <c r="O52" s="207">
        <f>+O13</f>
        <v>61.098563734290849</v>
      </c>
      <c r="P52" s="190">
        <f>1-O52/$B52</f>
        <v>0.33385630703446967</v>
      </c>
      <c r="Q52" s="208">
        <f>+(O52+S52)/2</f>
        <v>54.573918011575962</v>
      </c>
      <c r="R52" s="190">
        <f>1-Q52/$B52</f>
        <v>0.40499302991919617</v>
      </c>
      <c r="S52" s="207">
        <f>+Q13</f>
        <v>48.049272288861076</v>
      </c>
      <c r="T52" s="192">
        <f>1-S52/$B52</f>
        <v>0.47612975280392267</v>
      </c>
      <c r="U52" s="208">
        <f>+(S52+W52)/2</f>
        <v>41.524626566146182</v>
      </c>
      <c r="V52" s="190">
        <f>1-U52/$B52</f>
        <v>0.54726647568864917</v>
      </c>
      <c r="W52" s="208">
        <f>+S13</f>
        <v>34.999980843431295</v>
      </c>
      <c r="X52" s="190">
        <f>1-W52/$B52</f>
        <v>0.61840319857337556</v>
      </c>
    </row>
    <row r="53" spans="1:24" x14ac:dyDescent="0.25">
      <c r="A53" s="264" t="s">
        <v>72</v>
      </c>
      <c r="B53" s="265">
        <f>+B9</f>
        <v>164.40387239634998</v>
      </c>
      <c r="C53" s="123">
        <f>+C9</f>
        <v>161.38184578841</v>
      </c>
      <c r="D53" s="153">
        <f t="shared" si="29"/>
        <v>1.838172400619853E-2</v>
      </c>
      <c r="E53" s="123">
        <f>+E9</f>
        <v>154.2098118685</v>
      </c>
      <c r="F53" s="153">
        <f>1-E53/B53</f>
        <v>6.2006206905356964E-2</v>
      </c>
      <c r="G53" s="122">
        <f>+G9</f>
        <v>156.36736891071999</v>
      </c>
      <c r="H53" s="149">
        <f t="shared" si="30"/>
        <v>4.888268973528398E-2</v>
      </c>
      <c r="I53" s="123">
        <f>+I9</f>
        <v>160.12498447677001</v>
      </c>
      <c r="J53" s="153">
        <f t="shared" si="31"/>
        <v>2.6026685729544696E-2</v>
      </c>
      <c r="K53" s="123">
        <f>+K9</f>
        <v>160.80691576616002</v>
      </c>
      <c r="L53" s="149">
        <f t="shared" si="32"/>
        <v>2.1878782888509529E-2</v>
      </c>
      <c r="M53" s="266">
        <f>+(157.1+O53)/2</f>
        <v>127.62917414721723</v>
      </c>
      <c r="N53" s="153">
        <f>1-M53/$B53</f>
        <v>0.22368510980371048</v>
      </c>
      <c r="O53" s="122">
        <f>+O9</f>
        <v>98.158348294434461</v>
      </c>
      <c r="P53" s="153">
        <f>1-O53/$B53</f>
        <v>0.40294381839260296</v>
      </c>
      <c r="Q53" s="123">
        <f>+(O53+S53)/2</f>
        <v>73.618228716204243</v>
      </c>
      <c r="R53" s="153">
        <f>1-Q53/$B53</f>
        <v>0.55221110279736529</v>
      </c>
      <c r="S53" s="122">
        <f>+Q9</f>
        <v>49.078109137974032</v>
      </c>
      <c r="T53" s="149">
        <f>1-S53/$B53</f>
        <v>0.70147838720212752</v>
      </c>
      <c r="U53" s="123">
        <f>+(S53+W53)/2</f>
        <v>24.537989559743821</v>
      </c>
      <c r="V53" s="153">
        <f>1-U53/$B53</f>
        <v>0.85074567160688974</v>
      </c>
      <c r="W53" s="123">
        <f>+S9</f>
        <v>-2.1300184863896538E-3</v>
      </c>
      <c r="X53" s="153">
        <f>1-W53/$B53</f>
        <v>1.000012956011652</v>
      </c>
    </row>
    <row r="54" spans="1:24" x14ac:dyDescent="0.25">
      <c r="A54" s="88" t="s">
        <v>73</v>
      </c>
      <c r="B54" s="230">
        <f>+B10</f>
        <v>283.34292635759084</v>
      </c>
      <c r="C54" s="208">
        <f>+C10</f>
        <v>190.78615492510923</v>
      </c>
      <c r="D54" s="190">
        <f t="shared" si="29"/>
        <v>0.32665989803349116</v>
      </c>
      <c r="E54" s="208">
        <f>+E10</f>
        <v>187.78911702224491</v>
      </c>
      <c r="F54" s="190">
        <f>1-E54/B54</f>
        <v>0.33723732073957957</v>
      </c>
      <c r="G54" s="207">
        <f>+G10</f>
        <v>188.31427653184889</v>
      </c>
      <c r="H54" s="192">
        <f t="shared" si="30"/>
        <v>0.33538387934135949</v>
      </c>
      <c r="I54" s="208">
        <f>+I10</f>
        <v>182.84048194879503</v>
      </c>
      <c r="J54" s="190">
        <f t="shared" si="31"/>
        <v>0.35470250025567052</v>
      </c>
      <c r="K54" s="207">
        <f>+K10</f>
        <v>188.59525640005205</v>
      </c>
      <c r="L54" s="192">
        <f t="shared" si="32"/>
        <v>0.33439221926423957</v>
      </c>
      <c r="M54" s="275">
        <f>+(170.9+O54)/2</f>
        <v>157.06552962298025</v>
      </c>
      <c r="N54" s="190">
        <f>1-M54/$B54</f>
        <v>0.44566984028125389</v>
      </c>
      <c r="O54" s="207">
        <f>+O10</f>
        <v>143.23105924596049</v>
      </c>
      <c r="P54" s="190">
        <f>1-O54/$B54</f>
        <v>0.49449572965447253</v>
      </c>
      <c r="Q54" s="208">
        <f>+(O54+S54)/2</f>
        <v>114.17277184280962</v>
      </c>
      <c r="R54" s="190">
        <f>1-Q54/$B54</f>
        <v>0.59705091879117989</v>
      </c>
      <c r="S54" s="207">
        <f>+Q10</f>
        <v>85.114484439658753</v>
      </c>
      <c r="T54" s="192">
        <f>1-S54/$B54</f>
        <v>0.69960610792788724</v>
      </c>
      <c r="U54" s="208">
        <f>+(S54+W54)/2</f>
        <v>56.056197036507875</v>
      </c>
      <c r="V54" s="190">
        <f>1-U54/$B54</f>
        <v>0.8021612970645946</v>
      </c>
      <c r="W54" s="208">
        <f>+S10</f>
        <v>26.997909633356993</v>
      </c>
      <c r="X54" s="190">
        <f>1-W54/$B54</f>
        <v>0.90471648620130196</v>
      </c>
    </row>
    <row r="55" spans="1:24" x14ac:dyDescent="0.25">
      <c r="A55" s="267" t="s">
        <v>117</v>
      </c>
      <c r="B55" s="268">
        <f>SUM(B50:B54)</f>
        <v>1212.9604160774177</v>
      </c>
      <c r="C55" s="269">
        <f>SUM(C50:C54)</f>
        <v>970.68197646565443</v>
      </c>
      <c r="D55" s="270">
        <f t="shared" si="29"/>
        <v>0.19974142305093967</v>
      </c>
      <c r="E55" s="269">
        <f>SUM(E50:E54)</f>
        <v>927.0403004895885</v>
      </c>
      <c r="F55" s="272">
        <f>1-E55/B55</f>
        <v>0.23572089558574694</v>
      </c>
      <c r="G55" s="269">
        <f>SUM(G50:G54)</f>
        <v>908.42641447744813</v>
      </c>
      <c r="H55" s="273">
        <f t="shared" si="30"/>
        <v>0.25106672696278043</v>
      </c>
      <c r="I55" s="269">
        <f>SUM(I50:I54)</f>
        <v>892.4460876654083</v>
      </c>
      <c r="J55" s="270">
        <f t="shared" si="31"/>
        <v>0.2642413752037498</v>
      </c>
      <c r="K55" s="269">
        <f>SUM(K50:K54)</f>
        <v>890.72101315571422</v>
      </c>
      <c r="L55" s="273">
        <f t="shared" si="32"/>
        <v>0.2656635770223984</v>
      </c>
      <c r="M55" s="269">
        <f>SUM(M50:M54)</f>
        <v>675.70598011676611</v>
      </c>
      <c r="N55" s="270">
        <f>1-M55/$B55</f>
        <v>0.4429282512763888</v>
      </c>
      <c r="O55" s="269">
        <f>SUM(O50:O54)</f>
        <v>557.91196023353234</v>
      </c>
      <c r="P55" s="272">
        <f>1-O55/$B55</f>
        <v>0.54004108226568592</v>
      </c>
      <c r="Q55" s="269">
        <f>SUM(Q50:Q54)</f>
        <v>433.93152462608077</v>
      </c>
      <c r="R55" s="270">
        <f>1-Q55/$B55</f>
        <v>0.64225417509553351</v>
      </c>
      <c r="S55" s="269">
        <f>SUM(S50:S54)</f>
        <v>309.95108901862909</v>
      </c>
      <c r="T55" s="274">
        <f>1-S55/$B55</f>
        <v>0.74446726792538098</v>
      </c>
      <c r="U55" s="269">
        <f>SUM(U50:U54)</f>
        <v>185.97065341117749</v>
      </c>
      <c r="V55" s="272">
        <f>1-U55/$B55</f>
        <v>0.84668036075522857</v>
      </c>
      <c r="W55" s="269">
        <f>SUM(W50:W54)</f>
        <v>61.990217803725869</v>
      </c>
      <c r="X55" s="272">
        <f>1-W55/$B55</f>
        <v>0.94889345358507615</v>
      </c>
    </row>
    <row r="57" spans="1:24" x14ac:dyDescent="0.25">
      <c r="A57" t="s">
        <v>119</v>
      </c>
    </row>
    <row r="58" spans="1:24" x14ac:dyDescent="0.25">
      <c r="A58" t="s">
        <v>120</v>
      </c>
    </row>
    <row r="59" spans="1:24" x14ac:dyDescent="0.25">
      <c r="A59" s="102"/>
      <c r="B59" s="100">
        <v>1990</v>
      </c>
      <c r="C59" s="234">
        <v>2005</v>
      </c>
      <c r="D59" s="235"/>
      <c r="E59" s="234">
        <v>2010</v>
      </c>
      <c r="F59" s="235"/>
      <c r="G59" s="236">
        <v>2011</v>
      </c>
      <c r="H59" s="236"/>
      <c r="I59" s="234">
        <v>2014</v>
      </c>
      <c r="J59" s="235"/>
      <c r="K59" s="236">
        <v>2015</v>
      </c>
      <c r="L59" s="236"/>
      <c r="M59" s="232">
        <v>2025</v>
      </c>
      <c r="N59" s="233"/>
      <c r="O59" s="237">
        <v>2030</v>
      </c>
      <c r="P59" s="233"/>
      <c r="Q59" s="232">
        <v>2035</v>
      </c>
      <c r="R59" s="233"/>
      <c r="S59" s="232">
        <v>2040</v>
      </c>
      <c r="T59" s="233"/>
      <c r="U59" s="232">
        <v>2045</v>
      </c>
      <c r="V59" s="233"/>
      <c r="W59" s="232">
        <v>2050</v>
      </c>
      <c r="X59" s="233"/>
    </row>
    <row r="60" spans="1:24" ht="30" customHeight="1" x14ac:dyDescent="0.35">
      <c r="A60" s="147" t="s">
        <v>118</v>
      </c>
      <c r="B60" s="130" t="s">
        <v>95</v>
      </c>
      <c r="C60" s="131" t="s">
        <v>95</v>
      </c>
      <c r="D60" s="132" t="s">
        <v>69</v>
      </c>
      <c r="E60" s="131" t="s">
        <v>95</v>
      </c>
      <c r="F60" s="132" t="s">
        <v>69</v>
      </c>
      <c r="G60" s="133" t="s">
        <v>95</v>
      </c>
      <c r="H60" s="134" t="s">
        <v>69</v>
      </c>
      <c r="I60" s="131" t="s">
        <v>95</v>
      </c>
      <c r="J60" s="132" t="s">
        <v>69</v>
      </c>
      <c r="K60" s="133" t="s">
        <v>95</v>
      </c>
      <c r="L60" s="134" t="s">
        <v>69</v>
      </c>
      <c r="M60" s="131" t="s">
        <v>95</v>
      </c>
      <c r="N60" s="132" t="s">
        <v>69</v>
      </c>
      <c r="O60" s="133" t="s">
        <v>95</v>
      </c>
      <c r="P60" s="132" t="s">
        <v>69</v>
      </c>
      <c r="Q60" s="131" t="s">
        <v>95</v>
      </c>
      <c r="R60" s="132" t="s">
        <v>69</v>
      </c>
      <c r="S60" s="133" t="s">
        <v>95</v>
      </c>
      <c r="T60" s="134" t="s">
        <v>69</v>
      </c>
      <c r="U60" s="131" t="s">
        <v>95</v>
      </c>
      <c r="V60" s="132" t="s">
        <v>69</v>
      </c>
      <c r="W60" s="131" t="s">
        <v>95</v>
      </c>
      <c r="X60" s="132" t="s">
        <v>69</v>
      </c>
    </row>
    <row r="61" spans="1:24" x14ac:dyDescent="0.25">
      <c r="A61" s="84" t="s">
        <v>121</v>
      </c>
      <c r="B61" s="142">
        <f>+B27</f>
        <v>427.97252634130001</v>
      </c>
      <c r="C61" s="143">
        <f>+C27</f>
        <v>378.45989442561</v>
      </c>
      <c r="D61" s="144">
        <f t="shared" ref="D61:D65" si="33">1-C61/B61</f>
        <v>0.11569114573537975</v>
      </c>
      <c r="E61" s="143">
        <f>+E27</f>
        <v>354.57975115187003</v>
      </c>
      <c r="F61" s="144">
        <f>1-E61/B61</f>
        <v>0.17148945474808497</v>
      </c>
      <c r="G61" s="146">
        <f>+G27</f>
        <v>352.07411041039995</v>
      </c>
      <c r="H61" s="145">
        <f t="shared" ref="H61:H65" si="34">1-G61/B61</f>
        <v>0.17734413136223726</v>
      </c>
      <c r="I61" s="143">
        <f>+I27</f>
        <v>344.60624447371003</v>
      </c>
      <c r="J61" s="144">
        <f t="shared" ref="J61:J65" si="35">1-I61/B61</f>
        <v>0.19479353635216046</v>
      </c>
      <c r="K61" s="143">
        <f>+K27</f>
        <v>332.56797175938004</v>
      </c>
      <c r="L61" s="145">
        <f t="shared" ref="L61:L65" si="36">1-K61/B61</f>
        <v>0.22292214735727367</v>
      </c>
      <c r="M61" s="154">
        <f>+K61+((O61-K61)/(O50-K50)*(M50-K50))</f>
        <v>225.67144036603133</v>
      </c>
      <c r="N61" s="144">
        <f>1-M61/$B61</f>
        <v>0.47269643148527107</v>
      </c>
      <c r="O61" s="146">
        <f>+O27</f>
        <v>176.14063387412691</v>
      </c>
      <c r="P61" s="144">
        <f>1-O61/$B61</f>
        <v>0.58843004390973896</v>
      </c>
      <c r="Q61" s="143">
        <f>+(O61+S61)/2</f>
        <v>132.10451985058413</v>
      </c>
      <c r="R61" s="144">
        <f>1-Q61/$B61</f>
        <v>0.69132476568079215</v>
      </c>
      <c r="S61" s="146">
        <f>+Q27</f>
        <v>88.06840582704136</v>
      </c>
      <c r="T61" s="145">
        <f>1-S61/$B61</f>
        <v>0.79421948745184534</v>
      </c>
      <c r="U61" s="143">
        <f>+(S61+W61)/2</f>
        <v>44.03229180349858</v>
      </c>
      <c r="V61" s="144">
        <f>1-U61/$B61</f>
        <v>0.89711420922289842</v>
      </c>
      <c r="W61" s="143">
        <f>+S27</f>
        <v>-3.8222200441972456E-3</v>
      </c>
      <c r="X61" s="144">
        <f>1-W61/$B61</f>
        <v>1.0000089309939515</v>
      </c>
    </row>
    <row r="62" spans="1:24" x14ac:dyDescent="0.25">
      <c r="A62" s="85" t="s">
        <v>124</v>
      </c>
      <c r="B62" s="121">
        <f>+B40-B61-B63-B64</f>
        <v>328.08543012365999</v>
      </c>
      <c r="C62" s="53">
        <f>+C40-C61-C63-C64</f>
        <v>262.06491254326005</v>
      </c>
      <c r="D62" s="59">
        <f t="shared" si="33"/>
        <v>0.20122965398224446</v>
      </c>
      <c r="E62" s="53">
        <f>+E40-E61-E63-E64</f>
        <v>248.21761647663004</v>
      </c>
      <c r="F62" s="59">
        <f>1-E62/B62</f>
        <v>0.24343602706443457</v>
      </c>
      <c r="G62" s="45">
        <f>+G40-G61-G63-G64</f>
        <v>229.88606424492008</v>
      </c>
      <c r="H62" s="41">
        <f t="shared" si="34"/>
        <v>0.29931035292157659</v>
      </c>
      <c r="I62" s="53">
        <f>+I40-I61-I63-I64</f>
        <v>223.46134216906998</v>
      </c>
      <c r="J62" s="59">
        <f t="shared" si="35"/>
        <v>0.31889281982182427</v>
      </c>
      <c r="K62" s="53">
        <f>+K40-K61-K63-K64</f>
        <v>224.74765623393995</v>
      </c>
      <c r="L62" s="41">
        <f t="shared" si="36"/>
        <v>0.31497215176782034</v>
      </c>
      <c r="M62" s="155">
        <f>+K62+((O62-K62)/(O51-K51)*(M51-K51))</f>
        <v>166.76437303265433</v>
      </c>
      <c r="N62" s="153">
        <f>1-M62/$B62</f>
        <v>0.49170442293094663</v>
      </c>
      <c r="O62" s="45">
        <f>+O40-O61-O63-O64</f>
        <v>131.96191107125711</v>
      </c>
      <c r="P62" s="59">
        <f>1-O62/$B62</f>
        <v>0.5977818612014596</v>
      </c>
      <c r="Q62" s="123">
        <f>+(O62+S62)/2</f>
        <v>98.970717416014566</v>
      </c>
      <c r="R62" s="153">
        <f>1-Q62/$B62</f>
        <v>0.69833857791639475</v>
      </c>
      <c r="S62" s="122">
        <f>+Q40-S61-S63-S64</f>
        <v>65.979523760772025</v>
      </c>
      <c r="T62" s="149">
        <f>1-S62/$B62</f>
        <v>0.79889529463132991</v>
      </c>
      <c r="U62" s="123">
        <f>+(S62+W62)/2</f>
        <v>32.988330105529542</v>
      </c>
      <c r="V62" s="59">
        <f>1-U62/$B62</f>
        <v>0.89945201134626496</v>
      </c>
      <c r="W62" s="123">
        <f>+S40-W61-W63-W64</f>
        <v>-2.8635497129389075E-3</v>
      </c>
      <c r="X62" s="59">
        <f>1-W62/$B62</f>
        <v>1.0000087280612</v>
      </c>
    </row>
    <row r="63" spans="1:24" x14ac:dyDescent="0.25">
      <c r="A63" s="115" t="s">
        <v>122</v>
      </c>
      <c r="B63" s="140">
        <f>+('[2]Table1.A(a)s3'!$G$15+'[2]Table1.A(a)s3'!$G$35+'[2]Table1.A(a)s3'!$G$43+'[2]Table1.A(a)s3'!$G$63+'[2]Table1.A(a)s3'!$G$69+'[2]Table1.A(a)s3'!$G$77)/1000</f>
        <v>48.606216686430002</v>
      </c>
      <c r="C63" s="52">
        <f>+('[3]Table1.A(a)s3'!$G$15+'[3]Table1.A(a)s3'!$G$35+'[3]Table1.A(a)s3'!$G$43+'[3]Table1.A(a)s3'!$G$63+'[3]Table1.A(a)s3'!$G$69+'[3]Table1.A(a)s3'!$G$77)/1000</f>
        <v>56.533595601410006</v>
      </c>
      <c r="D63" s="55">
        <f t="shared" si="33"/>
        <v>-0.1630939302707175</v>
      </c>
      <c r="E63" s="52">
        <f>+('[4]Table1.A(a)s3'!$G$15+'[4]Table1.A(a)s3'!$G$35+'[4]Table1.A(a)s3'!$G$43+'[4]Table1.A(a)s3'!$G$63+'[4]Table1.A(a)s3'!$G$69+'[4]Table1.A(a)s3'!$G$77)/1000</f>
        <v>57.241273565139998</v>
      </c>
      <c r="F63" s="55">
        <f>1-E63/B63</f>
        <v>-0.17765334287210122</v>
      </c>
      <c r="G63" s="44">
        <f>+('[4]Table1.A(a)s3'!$G$15+'[4]Table1.A(a)s3'!$G$35+'[4]Table1.A(a)s3'!$G$43+'[4]Table1.A(a)s3'!$G$63+'[4]Table1.A(a)s3'!$G$69+'[4]Table1.A(a)s3'!$G$77)/1000</f>
        <v>57.241273565139998</v>
      </c>
      <c r="H63" s="40">
        <f t="shared" si="34"/>
        <v>-0.17765334287210122</v>
      </c>
      <c r="I63" s="52">
        <f>+('[5]Table1.A(a)s3'!$G$15+'[5]Table1.A(a)s3'!$G$35+'[5]Table1.A(a)s3'!$G$43+'[5]Table1.A(a)s3'!$G$63+'[5]Table1.A(a)s3'!$G$69+'[5]Table1.A(a)s3'!$G$77)/1000</f>
        <v>58.557709395380016</v>
      </c>
      <c r="J63" s="55">
        <f t="shared" si="35"/>
        <v>-0.20473703545267474</v>
      </c>
      <c r="K63" s="52">
        <f>+('[1]Table1.A(a)s3'!$G$15+'[1]Table1.A(a)s3'!$G$35+'[1]Table1.A(a)s3'!$G$43+'[1]Table1.A(a)s3'!$G$63+'[1]Table1.A(a)s3'!$G$69+'[1]Table1.A(a)s3'!$G$77)/1000</f>
        <v>61.033500619839998</v>
      </c>
      <c r="L63" s="40">
        <f t="shared" si="36"/>
        <v>-0.25567272626012616</v>
      </c>
      <c r="M63" s="156">
        <f>+K63+((O63-K63)/(O53-K53)*(M53-K53))</f>
        <v>48.44104647060891</v>
      </c>
      <c r="N63" s="55">
        <f>1-M63/$B63</f>
        <v>3.3981294385992955E-3</v>
      </c>
      <c r="O63" s="44">
        <f>+O29/$K29*$K63</f>
        <v>37.255534582745618</v>
      </c>
      <c r="P63" s="55">
        <f>1-O63/$B63</f>
        <v>0.23352325849407851</v>
      </c>
      <c r="Q63" s="52">
        <f>+(O63+S63)/2</f>
        <v>27.941448827460896</v>
      </c>
      <c r="R63" s="55">
        <f>1-Q63/$B63</f>
        <v>0.42514660197238408</v>
      </c>
      <c r="S63" s="44">
        <f>+Q29/$K29*$K63</f>
        <v>18.62736307217617</v>
      </c>
      <c r="T63" s="40">
        <f>1-S63/$B63</f>
        <v>0.61676994545068964</v>
      </c>
      <c r="U63" s="52">
        <f>+(S63+W63)/2</f>
        <v>9.3132773168914476</v>
      </c>
      <c r="V63" s="55">
        <f>1-U63/$B63</f>
        <v>0.8083932889289952</v>
      </c>
      <c r="W63" s="44">
        <f>+S29/$K29*$K63</f>
        <v>-8.0843839327394854E-4</v>
      </c>
      <c r="X63" s="55">
        <f>1-W63/$B63</f>
        <v>1.0000166324073008</v>
      </c>
    </row>
    <row r="64" spans="1:24" x14ac:dyDescent="0.25">
      <c r="A64" s="85" t="s">
        <v>123</v>
      </c>
      <c r="B64" s="121">
        <f>+B32</f>
        <v>185.10746678359001</v>
      </c>
      <c r="C64" s="53">
        <f>+C32</f>
        <v>114.35003004088999</v>
      </c>
      <c r="D64" s="59">
        <f t="shared" si="33"/>
        <v>0.38225058109310561</v>
      </c>
      <c r="E64" s="53">
        <f>+E32</f>
        <v>124.19747224093</v>
      </c>
      <c r="F64" s="59">
        <f>1-E64/B64</f>
        <v>0.32905206689403932</v>
      </c>
      <c r="G64" s="45">
        <f>+G32</f>
        <v>124.74246437067001</v>
      </c>
      <c r="H64" s="41">
        <f t="shared" si="34"/>
        <v>0.32610787377633454</v>
      </c>
      <c r="I64" s="53">
        <f>+I32</f>
        <v>120.31749042782999</v>
      </c>
      <c r="J64" s="59">
        <f t="shared" si="35"/>
        <v>0.35001276545751814</v>
      </c>
      <c r="K64" s="45">
        <f>+K32</f>
        <v>125.97643497111</v>
      </c>
      <c r="L64" s="41">
        <f t="shared" si="36"/>
        <v>0.3194416348510154</v>
      </c>
      <c r="M64" s="155">
        <f>+K64+((O64-K64)/(O54-K54)*(M54-K54))</f>
        <v>104.80046652015722</v>
      </c>
      <c r="N64" s="59">
        <f>1-M64/$B64</f>
        <v>0.43383987506738497</v>
      </c>
      <c r="O64" s="45">
        <f>+O32</f>
        <v>95.508971217621053</v>
      </c>
      <c r="P64" s="59">
        <f>1-O64/$B64</f>
        <v>0.48403501556595219</v>
      </c>
      <c r="Q64" s="53">
        <f>+(O64+S64)/2</f>
        <v>71.631210281345588</v>
      </c>
      <c r="R64" s="59">
        <f>1-Q64/$B64</f>
        <v>0.61302906076128216</v>
      </c>
      <c r="S64" s="45">
        <f>+Q32</f>
        <v>47.753449345070131</v>
      </c>
      <c r="T64" s="41">
        <f>1-S64/$B64</f>
        <v>0.74202310595661225</v>
      </c>
      <c r="U64" s="53">
        <f>+(S64+W64)/2</f>
        <v>23.875688408794669</v>
      </c>
      <c r="V64" s="59">
        <f>1-U64/$B64</f>
        <v>0.87101715115194223</v>
      </c>
      <c r="W64" s="53">
        <f>+S32</f>
        <v>-2.072527480794264E-3</v>
      </c>
      <c r="X64" s="59">
        <f>1-W64/$B64</f>
        <v>1.0000111963472722</v>
      </c>
    </row>
    <row r="65" spans="1:24" x14ac:dyDescent="0.25">
      <c r="A65" s="135" t="s">
        <v>126</v>
      </c>
      <c r="B65" s="141">
        <f>+B61+B62+B63+B64</f>
        <v>989.77163993497993</v>
      </c>
      <c r="C65" s="138">
        <f>+C61+C62+C63+C64</f>
        <v>811.40843261117004</v>
      </c>
      <c r="D65" s="136">
        <f t="shared" si="33"/>
        <v>0.18020642350949445</v>
      </c>
      <c r="E65" s="139">
        <f>+E61+E62+E63+E64</f>
        <v>784.23611343457003</v>
      </c>
      <c r="F65" s="148">
        <f>1-E65/B65</f>
        <v>0.20765954307794876</v>
      </c>
      <c r="G65" s="151">
        <f>+G61+G62+G63+G64</f>
        <v>763.94391259113013</v>
      </c>
      <c r="H65" s="137">
        <f t="shared" si="34"/>
        <v>0.22816144475374633</v>
      </c>
      <c r="I65" s="138">
        <f>+I61+I62+I63+I64</f>
        <v>746.94278646599003</v>
      </c>
      <c r="J65" s="136">
        <f t="shared" si="35"/>
        <v>0.24533826154580651</v>
      </c>
      <c r="K65" s="139">
        <f>+K61+K62+K63+K64</f>
        <v>744.32556358426996</v>
      </c>
      <c r="L65" s="137">
        <f t="shared" si="36"/>
        <v>0.24798253096727829</v>
      </c>
      <c r="M65" s="139">
        <f>+M61+M62+M63+M64</f>
        <v>545.67732638945176</v>
      </c>
      <c r="N65" s="136">
        <f>1-M65/$B65</f>
        <v>0.44868361107487542</v>
      </c>
      <c r="O65" s="151">
        <f>+O61+O62+O63+O64</f>
        <v>440.8670507457507</v>
      </c>
      <c r="P65" s="148">
        <f>1-O65/$B65</f>
        <v>0.55457700245410946</v>
      </c>
      <c r="Q65" s="138">
        <f>+Q61+Q62+Q63+Q64</f>
        <v>330.6478963754052</v>
      </c>
      <c r="R65" s="136">
        <f>1-Q65/$B65</f>
        <v>0.66593516824029619</v>
      </c>
      <c r="S65" s="152">
        <f>+S61+S62+S63+S64</f>
        <v>220.42874200505966</v>
      </c>
      <c r="T65" s="150">
        <f>1-S65/$B65</f>
        <v>0.77729333402648304</v>
      </c>
      <c r="U65" s="139">
        <f>+U61+U62+U63+U64</f>
        <v>110.20958763471424</v>
      </c>
      <c r="V65" s="148">
        <f>1-U65/$B65</f>
        <v>0.88865149981266978</v>
      </c>
      <c r="W65" s="139">
        <f>+W61+W62+W63+W64</f>
        <v>-9.5667356312043664E-3</v>
      </c>
      <c r="X65" s="148">
        <f>1-W65/$B65</f>
        <v>1.0000096655988566</v>
      </c>
    </row>
    <row r="67" spans="1:24" x14ac:dyDescent="0.25">
      <c r="A67" t="s">
        <v>125</v>
      </c>
    </row>
    <row r="68" spans="1:24" x14ac:dyDescent="0.25">
      <c r="A68" t="s">
        <v>118</v>
      </c>
      <c r="H68">
        <v>2011</v>
      </c>
      <c r="I68">
        <v>2015</v>
      </c>
      <c r="J68">
        <v>2020</v>
      </c>
      <c r="K68">
        <v>2025</v>
      </c>
      <c r="L68">
        <v>2030</v>
      </c>
      <c r="M68">
        <v>2035</v>
      </c>
      <c r="N68">
        <v>2040</v>
      </c>
      <c r="O68">
        <v>2045</v>
      </c>
      <c r="P68">
        <v>2050</v>
      </c>
    </row>
    <row r="69" spans="1:24" x14ac:dyDescent="0.25">
      <c r="A69" t="str">
        <f>+A61</f>
        <v>energy (COL, CRU, GAS, OIL, ELE)</v>
      </c>
      <c r="H69" s="157">
        <f>+G61/$G61</f>
        <v>1</v>
      </c>
      <c r="I69" s="157">
        <f>+K61/$G61</f>
        <v>0.94459649808308166</v>
      </c>
      <c r="K69" s="157">
        <f>+M61/$G61</f>
        <v>0.64097709457527097</v>
      </c>
      <c r="L69" s="157">
        <f>+O61/$G61</f>
        <v>0.50029419564195221</v>
      </c>
      <c r="M69" s="157">
        <f>+Q61/$G61</f>
        <v>0.37521793265796993</v>
      </c>
      <c r="N69" s="157">
        <f>+S61/$G61</f>
        <v>0.25014166967398777</v>
      </c>
      <c r="O69" s="157">
        <f>+U61/$G61</f>
        <v>0.12506540669000554</v>
      </c>
      <c r="P69" s="157">
        <f>+W61/$G61</f>
        <v>-1.0856293976690939E-5</v>
      </c>
      <c r="R69" t="s">
        <v>128</v>
      </c>
    </row>
    <row r="70" spans="1:24" x14ac:dyDescent="0.25">
      <c r="A70" t="str">
        <f>+A62</f>
        <v>buildings (FINAL CONSUMPTION, AGR, SER, BUI)</v>
      </c>
      <c r="H70" s="157">
        <f>+G62/$G62</f>
        <v>1</v>
      </c>
      <c r="I70" s="157">
        <f>+K62/$G62</f>
        <v>0.9776480230419462</v>
      </c>
      <c r="K70" s="157">
        <f>+M62/$G62</f>
        <v>0.72542184573217083</v>
      </c>
      <c r="L70" s="157">
        <f>+O62/$G62</f>
        <v>0.57403179920756398</v>
      </c>
      <c r="M70" s="157">
        <f>+Q62/$G62</f>
        <v>0.43052073530899809</v>
      </c>
      <c r="N70" s="157">
        <f>+S62/$G62</f>
        <v>0.28700967141043221</v>
      </c>
      <c r="O70" s="157">
        <f>+U62/$G62</f>
        <v>0.14349860751186663</v>
      </c>
      <c r="P70" s="157">
        <f>+W62/$G62</f>
        <v>-1.2456386698969662E-5</v>
      </c>
      <c r="R70" t="s">
        <v>128</v>
      </c>
    </row>
    <row r="71" spans="1:24" x14ac:dyDescent="0.25">
      <c r="A71" t="str">
        <f>+A63</f>
        <v>transport (TRN)</v>
      </c>
      <c r="H71" s="157">
        <f>+G63/$G63</f>
        <v>1</v>
      </c>
      <c r="I71" s="157">
        <f>+K63/$G63</f>
        <v>1.066249872137881</v>
      </c>
      <c r="K71" s="157">
        <f>+M63/$G63</f>
        <v>0.84626080891585131</v>
      </c>
      <c r="L71" s="157">
        <f>+O63/$G63</f>
        <v>0.65085090289525427</v>
      </c>
      <c r="M71" s="157">
        <f>+Q63/$G63</f>
        <v>0.48813464633458592</v>
      </c>
      <c r="N71" s="157">
        <f>+S63/$G63</f>
        <v>0.32541838977391752</v>
      </c>
      <c r="O71" s="157">
        <f>+U63/$G63</f>
        <v>0.16270213321324919</v>
      </c>
      <c r="P71" s="157">
        <f>+W63/$G63</f>
        <v>-1.4123347419130248E-5</v>
      </c>
      <c r="R71" t="s">
        <v>128</v>
      </c>
    </row>
    <row r="72" spans="1:24" x14ac:dyDescent="0.25">
      <c r="A72" t="str">
        <f>+A64</f>
        <v>industry (IRS, NFM, NMM, PPP, CHM, FOT, MVH, MAC, ROI)</v>
      </c>
      <c r="H72" s="157">
        <f>+G64/$G64</f>
        <v>1</v>
      </c>
      <c r="I72" s="157">
        <f>+K64/$G64</f>
        <v>1.0098921454427361</v>
      </c>
      <c r="K72" s="157">
        <f>+M64/$G64</f>
        <v>0.84013464900568657</v>
      </c>
      <c r="L72" s="157">
        <f>+O64/$G64</f>
        <v>0.76564922538180624</v>
      </c>
      <c r="M72" s="157">
        <f>+Q64/$G64</f>
        <v>0.57423276542376722</v>
      </c>
      <c r="N72" s="157">
        <f>+S64/$G64</f>
        <v>0.38281630546572826</v>
      </c>
      <c r="O72" s="157">
        <f>+U64/$G64</f>
        <v>0.19139984550768924</v>
      </c>
      <c r="P72" s="157">
        <f>+W64/$G64</f>
        <v>-1.6614450349768508E-5</v>
      </c>
      <c r="R72" t="s">
        <v>128</v>
      </c>
    </row>
    <row r="73" spans="1:24" x14ac:dyDescent="0.25">
      <c r="A73" t="str">
        <f>+A65</f>
        <v>Energiebedingt</v>
      </c>
      <c r="H73" s="157">
        <f>+G65/$G65</f>
        <v>1</v>
      </c>
      <c r="I73" s="157">
        <f>+K65/$G65</f>
        <v>0.97431964744595057</v>
      </c>
      <c r="K73" s="157">
        <f>+M65/$G65</f>
        <v>0.71428977624631373</v>
      </c>
      <c r="L73" s="157">
        <f>+O65/$G65</f>
        <v>0.57709347961216995</v>
      </c>
      <c r="M73" s="157">
        <f>+Q65/$G65</f>
        <v>0.43281697900297428</v>
      </c>
      <c r="N73" s="157">
        <f>+S65/$G65</f>
        <v>0.28854047839377861</v>
      </c>
      <c r="O73" s="157">
        <f>+U65/$G65</f>
        <v>0.14426397778458303</v>
      </c>
      <c r="P73" s="157">
        <f>+W65/$G65</f>
        <v>-1.2522824612550545E-5</v>
      </c>
      <c r="R73" t="s">
        <v>127</v>
      </c>
    </row>
  </sheetData>
  <mergeCells count="50">
    <mergeCell ref="A2:T2"/>
    <mergeCell ref="C4:D4"/>
    <mergeCell ref="E4:F4"/>
    <mergeCell ref="G4:H4"/>
    <mergeCell ref="I4:J4"/>
    <mergeCell ref="K4:L4"/>
    <mergeCell ref="M4:P4"/>
    <mergeCell ref="Q4:R4"/>
    <mergeCell ref="S4:T4"/>
    <mergeCell ref="M5:N5"/>
    <mergeCell ref="O5:P5"/>
    <mergeCell ref="C24:D24"/>
    <mergeCell ref="E24:F24"/>
    <mergeCell ref="G24:H24"/>
    <mergeCell ref="I24:J24"/>
    <mergeCell ref="K24:L24"/>
    <mergeCell ref="M24:P24"/>
    <mergeCell ref="Q24:R24"/>
    <mergeCell ref="S24:T24"/>
    <mergeCell ref="A25:T25"/>
    <mergeCell ref="C43:D43"/>
    <mergeCell ref="E43:F43"/>
    <mergeCell ref="G43:H43"/>
    <mergeCell ref="I43:J43"/>
    <mergeCell ref="K43:L43"/>
    <mergeCell ref="M43:P43"/>
    <mergeCell ref="Q43:R43"/>
    <mergeCell ref="M59:N59"/>
    <mergeCell ref="O59:P59"/>
    <mergeCell ref="Q59:R59"/>
    <mergeCell ref="S43:T43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C59:D59"/>
    <mergeCell ref="E59:F59"/>
    <mergeCell ref="G59:H59"/>
    <mergeCell ref="I59:J59"/>
    <mergeCell ref="K59:L59"/>
    <mergeCell ref="S59:T59"/>
    <mergeCell ref="U59:V59"/>
    <mergeCell ref="W59:X59"/>
    <mergeCell ref="U48:V48"/>
    <mergeCell ref="W48:X48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headerFooter>
    <oddHeader>&amp;C&amp;F&amp;R&amp;D</oddHeader>
    <oddFooter>&amp;C&amp;A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workbookViewId="0">
      <selection activeCell="R7" sqref="R7"/>
    </sheetView>
  </sheetViews>
  <sheetFormatPr baseColWidth="10" defaultColWidth="9.140625" defaultRowHeight="15" x14ac:dyDescent="0.25"/>
  <cols>
    <col min="1" max="1" width="18.42578125" customWidth="1"/>
    <col min="5" max="5" width="2.7109375" customWidth="1"/>
    <col min="13" max="13" width="2.7109375" customWidth="1"/>
  </cols>
  <sheetData>
    <row r="1" spans="1:30" x14ac:dyDescent="0.25">
      <c r="A1" s="84"/>
      <c r="B1" s="258" t="s">
        <v>98</v>
      </c>
      <c r="C1" s="259"/>
      <c r="D1" s="260"/>
      <c r="E1" s="258">
        <v>2030</v>
      </c>
      <c r="F1" s="259"/>
      <c r="G1" s="259"/>
      <c r="H1" s="259"/>
      <c r="I1" s="259"/>
      <c r="J1" s="259"/>
      <c r="K1" s="259"/>
      <c r="L1" s="259"/>
      <c r="M1" s="260"/>
      <c r="N1" s="261">
        <v>2050</v>
      </c>
      <c r="O1" s="262"/>
      <c r="P1" s="263"/>
      <c r="T1" s="255">
        <v>2030</v>
      </c>
      <c r="U1" s="256"/>
      <c r="V1" s="256"/>
      <c r="W1" s="256"/>
      <c r="X1" s="256"/>
      <c r="Y1" s="256"/>
      <c r="Z1" s="257"/>
      <c r="AA1" s="70"/>
      <c r="AB1" s="252">
        <v>2050</v>
      </c>
      <c r="AC1" s="253"/>
      <c r="AD1" s="254"/>
    </row>
    <row r="2" spans="1:30" s="113" customFormat="1" ht="30" x14ac:dyDescent="0.25">
      <c r="A2" s="107" t="s">
        <v>96</v>
      </c>
      <c r="B2" s="108">
        <v>1990</v>
      </c>
      <c r="C2" s="109">
        <v>2005</v>
      </c>
      <c r="D2" s="110">
        <v>2014</v>
      </c>
      <c r="E2" s="111"/>
      <c r="F2" s="108" t="s">
        <v>105</v>
      </c>
      <c r="G2" s="112" t="s">
        <v>106</v>
      </c>
      <c r="H2" s="109" t="s">
        <v>101</v>
      </c>
      <c r="I2" s="109" t="s">
        <v>104</v>
      </c>
      <c r="J2" s="109" t="s">
        <v>107</v>
      </c>
      <c r="K2" s="109" t="s">
        <v>100</v>
      </c>
      <c r="L2" s="110" t="s">
        <v>99</v>
      </c>
      <c r="M2" s="111"/>
      <c r="N2" s="108" t="s">
        <v>101</v>
      </c>
      <c r="O2" s="109" t="s">
        <v>100</v>
      </c>
      <c r="P2" s="110" t="s">
        <v>99</v>
      </c>
      <c r="T2" s="108" t="str">
        <f t="shared" ref="T2:Z2" si="0">+F2</f>
        <v>MM-S (2017)</v>
      </c>
      <c r="U2" s="109" t="str">
        <f t="shared" si="0"/>
        <v>MM-S (2015)</v>
      </c>
      <c r="V2" s="109" t="str">
        <f t="shared" si="0"/>
        <v>Ref50</v>
      </c>
      <c r="W2" s="109" t="str">
        <f t="shared" si="0"/>
        <v>MwM-S (2017)</v>
      </c>
      <c r="X2" s="109" t="str">
        <f t="shared" si="0"/>
        <v>MwM-S (2015)</v>
      </c>
      <c r="Y2" s="109" t="str">
        <f t="shared" si="0"/>
        <v>Ziel50</v>
      </c>
      <c r="Z2" s="110" t="str">
        <f t="shared" si="0"/>
        <v>Klima50</v>
      </c>
      <c r="AA2" s="114"/>
      <c r="AB2" s="108" t="s">
        <v>101</v>
      </c>
      <c r="AC2" s="109" t="s">
        <v>100</v>
      </c>
      <c r="AD2" s="110" t="s">
        <v>99</v>
      </c>
    </row>
    <row r="3" spans="1:30" x14ac:dyDescent="0.25">
      <c r="A3" s="54"/>
      <c r="B3" s="28"/>
      <c r="C3" s="19"/>
      <c r="D3" s="56"/>
      <c r="E3" s="77"/>
      <c r="F3" s="28"/>
      <c r="G3" s="30"/>
      <c r="H3" s="19"/>
      <c r="I3" s="19"/>
      <c r="J3" s="19"/>
      <c r="K3" s="19"/>
      <c r="L3" s="56"/>
      <c r="M3" s="77"/>
      <c r="N3" s="28"/>
      <c r="O3" s="19"/>
      <c r="P3" s="56"/>
      <c r="T3" s="28"/>
      <c r="U3" s="19"/>
      <c r="V3" s="19"/>
      <c r="W3" s="19"/>
      <c r="X3" s="19"/>
      <c r="Y3" s="19"/>
      <c r="Z3" s="56"/>
      <c r="AA3" s="70"/>
      <c r="AB3" s="28"/>
      <c r="AC3" s="19"/>
      <c r="AD3" s="56"/>
    </row>
    <row r="4" spans="1:30" ht="33" x14ac:dyDescent="0.35">
      <c r="A4" s="86" t="s">
        <v>65</v>
      </c>
      <c r="B4" s="29" t="s">
        <v>68</v>
      </c>
      <c r="C4" s="20" t="s">
        <v>68</v>
      </c>
      <c r="D4" s="46" t="s">
        <v>68</v>
      </c>
      <c r="E4" s="77"/>
      <c r="F4" s="29" t="s">
        <v>68</v>
      </c>
      <c r="G4" s="20" t="s">
        <v>68</v>
      </c>
      <c r="H4" s="20" t="s">
        <v>68</v>
      </c>
      <c r="I4" s="20" t="s">
        <v>68</v>
      </c>
      <c r="J4" s="20" t="s">
        <v>68</v>
      </c>
      <c r="K4" s="20" t="s">
        <v>68</v>
      </c>
      <c r="L4" s="46" t="s">
        <v>68</v>
      </c>
      <c r="M4" s="71"/>
      <c r="N4" s="29" t="s">
        <v>68</v>
      </c>
      <c r="O4" s="20" t="s">
        <v>68</v>
      </c>
      <c r="P4" s="46" t="s">
        <v>68</v>
      </c>
      <c r="T4" s="29" t="s">
        <v>68</v>
      </c>
      <c r="U4" s="20" t="s">
        <v>68</v>
      </c>
      <c r="V4" s="20" t="s">
        <v>68</v>
      </c>
      <c r="W4" s="20" t="s">
        <v>68</v>
      </c>
      <c r="X4" s="20" t="s">
        <v>68</v>
      </c>
      <c r="Y4" s="20" t="s">
        <v>68</v>
      </c>
      <c r="Z4" s="46" t="s">
        <v>68</v>
      </c>
      <c r="AA4" s="71"/>
      <c r="AB4" s="29" t="s">
        <v>68</v>
      </c>
      <c r="AC4" s="20" t="s">
        <v>68</v>
      </c>
      <c r="AD4" s="46" t="s">
        <v>68</v>
      </c>
    </row>
    <row r="5" spans="1:30" x14ac:dyDescent="0.25">
      <c r="A5" s="54" t="s">
        <v>70</v>
      </c>
      <c r="B5" s="57">
        <v>465.32274999999998</v>
      </c>
      <c r="C5" s="61">
        <v>395.23843173484005</v>
      </c>
      <c r="D5" s="62">
        <v>356.82224000000002</v>
      </c>
      <c r="E5" s="77"/>
      <c r="F5" s="103">
        <v>276</v>
      </c>
      <c r="G5" s="25">
        <f>246.3+6.9</f>
        <v>253.20000000000002</v>
      </c>
      <c r="H5" s="61">
        <f>269+6.12+3.1+4.4</f>
        <v>282.62</v>
      </c>
      <c r="I5" s="25">
        <v>240.7</v>
      </c>
      <c r="J5" s="25">
        <f>217.1+6.12</f>
        <v>223.22</v>
      </c>
      <c r="K5" s="61">
        <f>190+6.12+3.2+3.7</f>
        <v>203.01999999999998</v>
      </c>
      <c r="L5" s="67">
        <f>+Minderungserfordernisse!O7</f>
        <v>183.30765143640491</v>
      </c>
      <c r="M5" s="72"/>
      <c r="N5" s="57">
        <f>131+2.9+2.7+4.9</f>
        <v>141.5</v>
      </c>
      <c r="O5" s="61">
        <f>71+2.8+2+3.7</f>
        <v>79.5</v>
      </c>
      <c r="P5" s="67">
        <f>+Minderungserfordernisse!S7</f>
        <v>18.493749348002222</v>
      </c>
      <c r="T5" s="52">
        <f t="shared" ref="T5:Z12" si="1">+F5-$L5</f>
        <v>92.69234856359509</v>
      </c>
      <c r="U5" s="25">
        <f t="shared" si="1"/>
        <v>69.892348563595107</v>
      </c>
      <c r="V5" s="25">
        <f t="shared" si="1"/>
        <v>99.312348563595094</v>
      </c>
      <c r="W5" s="25">
        <f t="shared" si="1"/>
        <v>57.392348563595078</v>
      </c>
      <c r="X5" s="25">
        <f t="shared" si="1"/>
        <v>39.912348563595089</v>
      </c>
      <c r="Y5" s="25">
        <f t="shared" si="1"/>
        <v>19.712348563595071</v>
      </c>
      <c r="Z5" s="67">
        <f t="shared" si="1"/>
        <v>0</v>
      </c>
      <c r="AA5" s="72"/>
      <c r="AB5" s="52">
        <f t="shared" ref="AB5:AD12" si="2">+N5-$P5</f>
        <v>123.00625065199777</v>
      </c>
      <c r="AC5" s="25">
        <f t="shared" si="2"/>
        <v>61.006250651997775</v>
      </c>
      <c r="AD5" s="67">
        <f t="shared" si="2"/>
        <v>0</v>
      </c>
    </row>
    <row r="6" spans="1:30" x14ac:dyDescent="0.25">
      <c r="A6" s="85" t="s">
        <v>71</v>
      </c>
      <c r="B6" s="58">
        <v>207.13741999999999</v>
      </c>
      <c r="C6" s="63">
        <v>158.07499823791002</v>
      </c>
      <c r="D6" s="64">
        <v>123.65722</v>
      </c>
      <c r="E6" s="77"/>
      <c r="F6" s="104">
        <f>86.6/118.9*D6</f>
        <v>90.064888578637493</v>
      </c>
      <c r="G6" s="26">
        <f>33+60.5</f>
        <v>93.5</v>
      </c>
      <c r="H6" s="63">
        <f>54+21</f>
        <v>75</v>
      </c>
      <c r="I6" s="26">
        <f>84.3/118.9*D6</f>
        <v>87.672864978973919</v>
      </c>
      <c r="J6" s="26">
        <f>28.5+44.8</f>
        <v>73.3</v>
      </c>
      <c r="K6" s="63">
        <f>40+17</f>
        <v>57</v>
      </c>
      <c r="L6" s="68">
        <f>+Minderungserfordernisse!O8</f>
        <v>72.11633752244164</v>
      </c>
      <c r="M6" s="72"/>
      <c r="N6" s="58">
        <f>32+12</f>
        <v>44</v>
      </c>
      <c r="O6" s="63">
        <f>12+7</f>
        <v>19</v>
      </c>
      <c r="P6" s="68">
        <f>+Minderungserfordernisse!S8</f>
        <v>7.2757545011625737</v>
      </c>
      <c r="T6" s="53">
        <f t="shared" si="1"/>
        <v>17.948551056195853</v>
      </c>
      <c r="U6" s="26">
        <f t="shared" si="1"/>
        <v>21.38366247755836</v>
      </c>
      <c r="V6" s="26">
        <f t="shared" si="1"/>
        <v>2.8836624775583601</v>
      </c>
      <c r="W6" s="26">
        <f t="shared" si="1"/>
        <v>15.55652745653228</v>
      </c>
      <c r="X6" s="26">
        <f t="shared" si="1"/>
        <v>1.1836624775583573</v>
      </c>
      <c r="Y6" s="26">
        <f t="shared" si="1"/>
        <v>-15.11633752244164</v>
      </c>
      <c r="Z6" s="68">
        <f t="shared" si="1"/>
        <v>0</v>
      </c>
      <c r="AA6" s="72"/>
      <c r="AB6" s="53">
        <f t="shared" si="2"/>
        <v>36.724245498837426</v>
      </c>
      <c r="AC6" s="26">
        <f t="shared" si="2"/>
        <v>11.724245498837426</v>
      </c>
      <c r="AD6" s="68">
        <f t="shared" si="2"/>
        <v>0</v>
      </c>
    </row>
    <row r="7" spans="1:30" x14ac:dyDescent="0.25">
      <c r="A7" s="54" t="s">
        <v>72</v>
      </c>
      <c r="B7" s="57">
        <v>164.40449000000001</v>
      </c>
      <c r="C7" s="61">
        <v>161.38211131315001</v>
      </c>
      <c r="D7" s="62">
        <v>161.13009</v>
      </c>
      <c r="E7" s="77"/>
      <c r="F7" s="103">
        <v>148.69999999999999</v>
      </c>
      <c r="G7" s="25">
        <v>132.69999999999999</v>
      </c>
      <c r="H7" s="61">
        <v>115</v>
      </c>
      <c r="I7" s="25">
        <v>137.6</v>
      </c>
      <c r="J7" s="25">
        <v>123.3</v>
      </c>
      <c r="K7" s="61">
        <v>92</v>
      </c>
      <c r="L7" s="67">
        <f>+Minderungserfordernisse!O9</f>
        <v>98.158348294434461</v>
      </c>
      <c r="M7" s="72"/>
      <c r="N7" s="57">
        <v>86</v>
      </c>
      <c r="O7" s="61">
        <v>38</v>
      </c>
      <c r="P7" s="67">
        <f>+Minderungserfordernisse!S9</f>
        <v>9.9031102932490587</v>
      </c>
      <c r="T7" s="52">
        <f t="shared" si="1"/>
        <v>50.541651705565528</v>
      </c>
      <c r="U7" s="25">
        <f t="shared" si="1"/>
        <v>34.541651705565528</v>
      </c>
      <c r="V7" s="25">
        <f t="shared" si="1"/>
        <v>16.841651705565539</v>
      </c>
      <c r="W7" s="25">
        <f t="shared" si="1"/>
        <v>39.441651705565533</v>
      </c>
      <c r="X7" s="25">
        <f t="shared" si="1"/>
        <v>25.141651705565536</v>
      </c>
      <c r="Y7" s="25">
        <f t="shared" si="1"/>
        <v>-6.158348294434461</v>
      </c>
      <c r="Z7" s="67">
        <f t="shared" si="1"/>
        <v>0</v>
      </c>
      <c r="AA7" s="72"/>
      <c r="AB7" s="52">
        <f t="shared" si="2"/>
        <v>76.096889706750943</v>
      </c>
      <c r="AC7" s="25">
        <f t="shared" si="2"/>
        <v>28.096889706750943</v>
      </c>
      <c r="AD7" s="67">
        <f t="shared" si="2"/>
        <v>0</v>
      </c>
    </row>
    <row r="8" spans="1:30" x14ac:dyDescent="0.25">
      <c r="A8" s="85" t="s">
        <v>73</v>
      </c>
      <c r="B8" s="58">
        <v>283.06272000000001</v>
      </c>
      <c r="C8" s="63">
        <v>190.53047703508847</v>
      </c>
      <c r="D8" s="64">
        <v>180.68235999999999</v>
      </c>
      <c r="E8" s="77"/>
      <c r="F8" s="104">
        <v>148.30000000000001</v>
      </c>
      <c r="G8" s="26">
        <f>104.1+51.1</f>
        <v>155.19999999999999</v>
      </c>
      <c r="H8" s="63">
        <f>98+48.7</f>
        <v>146.69999999999999</v>
      </c>
      <c r="I8" s="26">
        <v>147</v>
      </c>
      <c r="J8" s="26">
        <f>96.2+48.7</f>
        <v>144.9</v>
      </c>
      <c r="K8" s="63">
        <f>88+48.7</f>
        <v>136.69999999999999</v>
      </c>
      <c r="L8" s="68">
        <f>+Minderungserfordernisse!O10</f>
        <v>143.23105924596049</v>
      </c>
      <c r="M8" s="72"/>
      <c r="N8" s="58">
        <f>80+43.4</f>
        <v>123.4</v>
      </c>
      <c r="O8" s="63">
        <f>63+41.9</f>
        <v>104.9</v>
      </c>
      <c r="P8" s="68">
        <f>+Minderungserfordernisse!S10</f>
        <v>48.218756692163552</v>
      </c>
      <c r="T8" s="53">
        <f t="shared" si="1"/>
        <v>5.0689407540395166</v>
      </c>
      <c r="U8" s="26">
        <f t="shared" si="1"/>
        <v>11.968940754039494</v>
      </c>
      <c r="V8" s="26">
        <f t="shared" si="1"/>
        <v>3.4689407540394939</v>
      </c>
      <c r="W8" s="26">
        <f t="shared" si="1"/>
        <v>3.7689407540395052</v>
      </c>
      <c r="X8" s="26">
        <f t="shared" si="1"/>
        <v>1.6689407540395109</v>
      </c>
      <c r="Y8" s="26">
        <f t="shared" si="1"/>
        <v>-6.5310592459605061</v>
      </c>
      <c r="Z8" s="68">
        <f t="shared" si="1"/>
        <v>0</v>
      </c>
      <c r="AA8" s="72"/>
      <c r="AB8" s="53">
        <f t="shared" si="2"/>
        <v>75.181243307836453</v>
      </c>
      <c r="AC8" s="26">
        <f t="shared" si="2"/>
        <v>56.681243307836453</v>
      </c>
      <c r="AD8" s="68">
        <f t="shared" si="2"/>
        <v>0</v>
      </c>
    </row>
    <row r="9" spans="1:30" x14ac:dyDescent="0.25">
      <c r="A9" s="54" t="s">
        <v>74</v>
      </c>
      <c r="B9" s="57">
        <v>89.836529999999996</v>
      </c>
      <c r="C9" s="61">
        <v>64.659468042293909</v>
      </c>
      <c r="D9" s="62">
        <v>67.091620000000006</v>
      </c>
      <c r="E9" s="77"/>
      <c r="F9" s="103">
        <f>69/72.6*D9</f>
        <v>63.764762809917364</v>
      </c>
      <c r="G9" s="25">
        <f>72.2/71.4*C9</f>
        <v>65.383943874700563</v>
      </c>
      <c r="H9" s="61">
        <f>+F9</f>
        <v>63.764762809917364</v>
      </c>
      <c r="I9" s="25">
        <f>66.9/72.6*D9</f>
        <v>61.824096115702496</v>
      </c>
      <c r="J9" s="25">
        <f>68.3/71.4*C9</f>
        <v>61.852124191718119</v>
      </c>
      <c r="K9" s="61">
        <f>+L9</f>
        <v>61.098563734290849</v>
      </c>
      <c r="L9" s="67">
        <f>+Minderungserfordernisse!O13</f>
        <v>61.098563734290849</v>
      </c>
      <c r="M9" s="72"/>
      <c r="N9" s="57">
        <f>+H9/L9*P9</f>
        <v>41.838458226785782</v>
      </c>
      <c r="O9" s="61">
        <f>+P9</f>
        <v>40.089064772874188</v>
      </c>
      <c r="P9" s="67">
        <f>+Minderungserfordernisse!S13</f>
        <v>40.089064772874188</v>
      </c>
      <c r="T9" s="52">
        <f t="shared" si="1"/>
        <v>2.6661990756265155</v>
      </c>
      <c r="U9" s="25">
        <f t="shared" si="1"/>
        <v>4.285380140409714</v>
      </c>
      <c r="V9" s="25">
        <f t="shared" si="1"/>
        <v>2.6661990756265155</v>
      </c>
      <c r="W9" s="25">
        <f t="shared" si="1"/>
        <v>0.72553238141164655</v>
      </c>
      <c r="X9" s="25">
        <f t="shared" si="1"/>
        <v>0.75356045742726963</v>
      </c>
      <c r="Y9" s="25">
        <f t="shared" si="1"/>
        <v>0</v>
      </c>
      <c r="Z9" s="67">
        <f t="shared" si="1"/>
        <v>0</v>
      </c>
      <c r="AA9" s="72"/>
      <c r="AB9" s="52">
        <f t="shared" si="2"/>
        <v>1.7493934539115941</v>
      </c>
      <c r="AC9" s="25">
        <f t="shared" si="2"/>
        <v>0</v>
      </c>
      <c r="AD9" s="67">
        <f t="shared" si="2"/>
        <v>0</v>
      </c>
    </row>
    <row r="10" spans="1:30" x14ac:dyDescent="0.25">
      <c r="A10" s="85" t="s">
        <v>75</v>
      </c>
      <c r="B10" s="58">
        <f>SUM(B5:B9)</f>
        <v>1209.7639100000001</v>
      </c>
      <c r="C10" s="63">
        <f>SUM(C5:C9)</f>
        <v>969.88548636328255</v>
      </c>
      <c r="D10" s="64">
        <f>SUM(D5:D9)</f>
        <v>889.38353000000006</v>
      </c>
      <c r="E10" s="77"/>
      <c r="F10" s="104">
        <f t="shared" ref="F10:L10" si="3">SUM(F5:F9)</f>
        <v>726.82965138855479</v>
      </c>
      <c r="G10" s="26">
        <f t="shared" si="3"/>
        <v>699.98394387470057</v>
      </c>
      <c r="H10" s="63">
        <f t="shared" si="3"/>
        <v>683.08476280991727</v>
      </c>
      <c r="I10" s="26">
        <f t="shared" si="3"/>
        <v>674.79696109467636</v>
      </c>
      <c r="J10" s="26">
        <f t="shared" si="3"/>
        <v>626.5721241917181</v>
      </c>
      <c r="K10" s="63">
        <f t="shared" si="3"/>
        <v>549.81856373429082</v>
      </c>
      <c r="L10" s="68">
        <f t="shared" si="3"/>
        <v>557.91196023353245</v>
      </c>
      <c r="M10" s="72"/>
      <c r="N10" s="58">
        <f>SUM(N5:N9)</f>
        <v>436.73845822678578</v>
      </c>
      <c r="O10" s="63">
        <f>SUM(O5:O9)</f>
        <v>281.4890647728742</v>
      </c>
      <c r="P10" s="68">
        <f>SUM(P5:P9)</f>
        <v>123.9804356074516</v>
      </c>
      <c r="T10" s="53">
        <f t="shared" si="1"/>
        <v>168.91769115502234</v>
      </c>
      <c r="U10" s="26">
        <f t="shared" si="1"/>
        <v>142.07198364116812</v>
      </c>
      <c r="V10" s="26">
        <f t="shared" si="1"/>
        <v>125.17280257638481</v>
      </c>
      <c r="W10" s="26">
        <f t="shared" si="1"/>
        <v>116.88500086114391</v>
      </c>
      <c r="X10" s="26">
        <f t="shared" si="1"/>
        <v>68.660163958185649</v>
      </c>
      <c r="Y10" s="26">
        <f t="shared" si="1"/>
        <v>-8.093396499241635</v>
      </c>
      <c r="Z10" s="68">
        <f t="shared" si="1"/>
        <v>0</v>
      </c>
      <c r="AA10" s="72"/>
      <c r="AB10" s="53">
        <f t="shared" si="2"/>
        <v>312.75802261933416</v>
      </c>
      <c r="AC10" s="26">
        <f t="shared" si="2"/>
        <v>157.5086291654226</v>
      </c>
      <c r="AD10" s="68">
        <f t="shared" si="2"/>
        <v>0</v>
      </c>
    </row>
    <row r="11" spans="1:30" x14ac:dyDescent="0.25">
      <c r="A11" s="54" t="s">
        <v>76</v>
      </c>
      <c r="B11" s="57">
        <v>36.337569999999999</v>
      </c>
      <c r="C11" s="61">
        <v>20.030305078116342</v>
      </c>
      <c r="D11" s="62">
        <v>10.818630000000001</v>
      </c>
      <c r="E11" s="77"/>
      <c r="F11" s="103">
        <f>734.5-F10</f>
        <v>7.6703486114452062</v>
      </c>
      <c r="G11" s="25">
        <f>715.6-G10</f>
        <v>15.616056125299451</v>
      </c>
      <c r="H11" s="61">
        <f>+F11</f>
        <v>7.6703486114452062</v>
      </c>
      <c r="I11" s="25">
        <f>682-I10</f>
        <v>7.2030389053236377</v>
      </c>
      <c r="J11" s="25">
        <f>641.3-J10</f>
        <v>14.727875808281851</v>
      </c>
      <c r="K11" s="61">
        <f>+L11</f>
        <v>5</v>
      </c>
      <c r="L11" s="67">
        <f>+Minderungserfordernisse!O17</f>
        <v>5</v>
      </c>
      <c r="M11" s="72"/>
      <c r="N11" s="57">
        <f>+H11/L11*P11</f>
        <v>1.7045219136544896</v>
      </c>
      <c r="O11" s="61">
        <f>+P11</f>
        <v>1.1111111111111107</v>
      </c>
      <c r="P11" s="67">
        <f>+Minderungserfordernisse!S17</f>
        <v>1.1111111111111107</v>
      </c>
      <c r="T11" s="52">
        <f t="shared" si="1"/>
        <v>2.6703486114452062</v>
      </c>
      <c r="U11" s="25">
        <f t="shared" si="1"/>
        <v>10.616056125299451</v>
      </c>
      <c r="V11" s="25">
        <f t="shared" si="1"/>
        <v>2.6703486114452062</v>
      </c>
      <c r="W11" s="25">
        <f t="shared" si="1"/>
        <v>2.2030389053236377</v>
      </c>
      <c r="X11" s="25">
        <f t="shared" si="1"/>
        <v>9.7278758082818513</v>
      </c>
      <c r="Y11" s="25">
        <f t="shared" si="1"/>
        <v>0</v>
      </c>
      <c r="Z11" s="67">
        <f t="shared" si="1"/>
        <v>0</v>
      </c>
      <c r="AA11" s="72"/>
      <c r="AB11" s="52">
        <f t="shared" si="2"/>
        <v>0.59341080254337886</v>
      </c>
      <c r="AC11" s="25">
        <f t="shared" si="2"/>
        <v>0</v>
      </c>
      <c r="AD11" s="67">
        <f t="shared" si="2"/>
        <v>0</v>
      </c>
    </row>
    <row r="12" spans="1:30" x14ac:dyDescent="0.25">
      <c r="A12" s="87" t="s">
        <v>77</v>
      </c>
      <c r="B12" s="60">
        <f>+B10+B11</f>
        <v>1246.10148</v>
      </c>
      <c r="C12" s="65">
        <f>+C10+C11</f>
        <v>989.91579144139894</v>
      </c>
      <c r="D12" s="66">
        <f>+D10+D11</f>
        <v>900.20216000000005</v>
      </c>
      <c r="E12" s="77"/>
      <c r="F12" s="105">
        <f t="shared" ref="F12:K12" si="4">+F10+F11</f>
        <v>734.5</v>
      </c>
      <c r="G12" s="27">
        <f t="shared" ref="G12" si="5">+G10+G11</f>
        <v>715.6</v>
      </c>
      <c r="H12" s="65">
        <f>+H10+H11</f>
        <v>690.75511142136247</v>
      </c>
      <c r="I12" s="27">
        <f t="shared" si="4"/>
        <v>682</v>
      </c>
      <c r="J12" s="27">
        <f t="shared" si="4"/>
        <v>641.29999999999995</v>
      </c>
      <c r="K12" s="65">
        <f t="shared" si="4"/>
        <v>554.81856373429082</v>
      </c>
      <c r="L12" s="69">
        <f>+L10+L11</f>
        <v>562.91196023353245</v>
      </c>
      <c r="M12" s="73"/>
      <c r="N12" s="60">
        <f t="shared" ref="N12" si="6">+N10+N11</f>
        <v>438.44298014044028</v>
      </c>
      <c r="O12" s="65">
        <f t="shared" ref="O12" si="7">+O10+O11</f>
        <v>282.60017588398529</v>
      </c>
      <c r="P12" s="69">
        <f t="shared" ref="P12" si="8">+P10+P11</f>
        <v>125.09154671856271</v>
      </c>
      <c r="T12" s="53">
        <f t="shared" si="1"/>
        <v>171.58803976646755</v>
      </c>
      <c r="U12" s="26">
        <f t="shared" si="1"/>
        <v>152.68803976646757</v>
      </c>
      <c r="V12" s="26">
        <f t="shared" si="1"/>
        <v>127.84315118783002</v>
      </c>
      <c r="W12" s="26">
        <f t="shared" si="1"/>
        <v>119.08803976646755</v>
      </c>
      <c r="X12" s="26">
        <f t="shared" si="1"/>
        <v>78.3880397664675</v>
      </c>
      <c r="Y12" s="26">
        <f t="shared" si="1"/>
        <v>-8.093396499241635</v>
      </c>
      <c r="Z12" s="68">
        <f t="shared" si="1"/>
        <v>0</v>
      </c>
      <c r="AA12" s="73"/>
      <c r="AB12" s="53">
        <f t="shared" si="2"/>
        <v>313.35143342187757</v>
      </c>
      <c r="AC12" s="26">
        <f t="shared" si="2"/>
        <v>157.50862916542258</v>
      </c>
      <c r="AD12" s="68">
        <f t="shared" si="2"/>
        <v>0</v>
      </c>
    </row>
    <row r="13" spans="1:30" x14ac:dyDescent="0.25">
      <c r="A13" s="54" t="s">
        <v>97</v>
      </c>
      <c r="B13" s="57"/>
      <c r="C13" s="61">
        <v>474.99200000000002</v>
      </c>
      <c r="D13" s="62">
        <v>461.27100000000002</v>
      </c>
      <c r="E13" s="77"/>
      <c r="F13" s="54"/>
      <c r="G13" s="19"/>
      <c r="H13" s="19"/>
      <c r="I13" s="19"/>
      <c r="J13" s="19"/>
      <c r="K13" s="19"/>
      <c r="L13" s="56"/>
      <c r="M13" s="77"/>
      <c r="N13" s="28"/>
      <c r="O13" s="19"/>
      <c r="P13" s="56"/>
    </row>
    <row r="14" spans="1:30" x14ac:dyDescent="0.25">
      <c r="A14" s="88"/>
      <c r="B14" s="74"/>
      <c r="C14" s="75"/>
      <c r="D14" s="76"/>
      <c r="E14" s="77"/>
      <c r="F14" s="88"/>
      <c r="G14" s="75"/>
      <c r="H14" s="75"/>
      <c r="I14" s="75"/>
      <c r="J14" s="75"/>
      <c r="K14" s="75"/>
      <c r="L14" s="76"/>
      <c r="M14" s="77"/>
      <c r="N14" s="74"/>
      <c r="O14" s="75"/>
      <c r="P14" s="76"/>
      <c r="T14" t="s">
        <v>103</v>
      </c>
    </row>
    <row r="15" spans="1:30" x14ac:dyDescent="0.25">
      <c r="A15" s="89" t="s">
        <v>102</v>
      </c>
      <c r="B15" s="78"/>
      <c r="C15" s="79">
        <f>+C12/$B12-1</f>
        <v>-0.20558974744063463</v>
      </c>
      <c r="D15" s="80">
        <f>+D12/$B12-1</f>
        <v>-0.27758519314173347</v>
      </c>
      <c r="E15" s="81"/>
      <c r="F15" s="106">
        <f t="shared" ref="F15:L15" si="9">+F12/$B12-1</f>
        <v>-0.41056165024376667</v>
      </c>
      <c r="G15" s="79">
        <f t="shared" si="9"/>
        <v>-0.42572895427425383</v>
      </c>
      <c r="H15" s="79">
        <f t="shared" si="9"/>
        <v>-0.44566704838408311</v>
      </c>
      <c r="I15" s="79">
        <f t="shared" si="9"/>
        <v>-0.45269305032845319</v>
      </c>
      <c r="J15" s="79">
        <f t="shared" si="9"/>
        <v>-0.48535491667981978</v>
      </c>
      <c r="K15" s="79">
        <f t="shared" si="9"/>
        <v>-0.55475651651237046</v>
      </c>
      <c r="L15" s="80">
        <f t="shared" si="9"/>
        <v>-0.54826154268468374</v>
      </c>
      <c r="M15" s="83"/>
      <c r="N15" s="82">
        <f>+N12/$B12-1</f>
        <v>-0.64814825503582552</v>
      </c>
      <c r="O15" s="79">
        <f>+O12/$B12-1</f>
        <v>-0.7732125509681721</v>
      </c>
      <c r="P15" s="80">
        <f>+P12/$B12-1</f>
        <v>-0.89961367615215204</v>
      </c>
    </row>
  </sheetData>
  <mergeCells count="5">
    <mergeCell ref="AB1:AD1"/>
    <mergeCell ref="E1:M1"/>
    <mergeCell ref="B1:D1"/>
    <mergeCell ref="N1:P1"/>
    <mergeCell ref="T1:Z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T12" sqref="T12"/>
    </sheetView>
  </sheetViews>
  <sheetFormatPr baseColWidth="10" defaultColWidth="9.140625" defaultRowHeight="15" x14ac:dyDescent="0.25"/>
  <cols>
    <col min="1" max="1" width="18.42578125" customWidth="1"/>
    <col min="6" max="7" width="2.7109375" customWidth="1"/>
    <col min="9" max="10" width="2.7109375" customWidth="1"/>
  </cols>
  <sheetData>
    <row r="1" spans="1:27" x14ac:dyDescent="0.25">
      <c r="A1" s="84"/>
      <c r="B1" s="258" t="s">
        <v>98</v>
      </c>
      <c r="C1" s="259"/>
      <c r="D1" s="259"/>
      <c r="E1" s="260"/>
      <c r="F1" s="165"/>
      <c r="G1" s="166"/>
      <c r="H1" s="258" t="s">
        <v>129</v>
      </c>
      <c r="I1" s="259"/>
      <c r="J1" s="259"/>
      <c r="K1" s="260"/>
    </row>
    <row r="2" spans="1:27" s="113" customFormat="1" x14ac:dyDescent="0.25">
      <c r="A2" s="107" t="s">
        <v>96</v>
      </c>
      <c r="B2" s="108">
        <v>1990</v>
      </c>
      <c r="C2" s="109">
        <v>2005</v>
      </c>
      <c r="D2" s="160">
        <v>2010</v>
      </c>
      <c r="E2" s="110">
        <v>2015</v>
      </c>
      <c r="F2" s="111"/>
      <c r="G2" s="111"/>
      <c r="H2" s="162">
        <v>2030</v>
      </c>
      <c r="I2" s="174"/>
      <c r="J2" s="175"/>
      <c r="K2" s="167">
        <v>2050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25">
      <c r="A3" s="54"/>
      <c r="B3" s="28"/>
      <c r="C3" s="19"/>
      <c r="D3" s="38"/>
      <c r="E3" s="56"/>
      <c r="F3" s="77"/>
      <c r="G3" s="77"/>
      <c r="H3" s="54"/>
      <c r="I3" s="161"/>
      <c r="J3" s="164"/>
      <c r="K3" s="168"/>
    </row>
    <row r="4" spans="1:27" ht="33" x14ac:dyDescent="0.35">
      <c r="A4" s="86" t="s">
        <v>65</v>
      </c>
      <c r="B4" s="29" t="s">
        <v>68</v>
      </c>
      <c r="C4" s="20" t="s">
        <v>68</v>
      </c>
      <c r="D4" s="20" t="s">
        <v>68</v>
      </c>
      <c r="E4" s="46" t="s">
        <v>68</v>
      </c>
      <c r="F4" s="77"/>
      <c r="G4" s="77"/>
      <c r="H4" s="163" t="s">
        <v>68</v>
      </c>
      <c r="I4" s="161"/>
      <c r="J4" s="164"/>
      <c r="K4" s="169" t="s">
        <v>68</v>
      </c>
    </row>
    <row r="5" spans="1:27" x14ac:dyDescent="0.25">
      <c r="A5" s="54" t="s">
        <v>70</v>
      </c>
      <c r="B5" s="57">
        <f>+Minderungserfordernisse!B7</f>
        <v>465.32020133321998</v>
      </c>
      <c r="C5" s="61">
        <f>+Minderungserfordernisse!C7</f>
        <v>395.22243224266003</v>
      </c>
      <c r="D5" s="61">
        <f>+Minderungserfordernisse!E7</f>
        <v>367.60714447986004</v>
      </c>
      <c r="E5" s="62">
        <f>+Minderungserfordernisse!K7</f>
        <v>346.09988907923002</v>
      </c>
      <c r="F5" s="77"/>
      <c r="G5" s="77"/>
      <c r="H5" s="103">
        <f>+Minderungserfordernisse!O7</f>
        <v>183.30765143640491</v>
      </c>
      <c r="I5" s="161"/>
      <c r="J5" s="164"/>
      <c r="K5" s="170">
        <f>+Minderungserfordernisse!S7</f>
        <v>18.493749348002222</v>
      </c>
    </row>
    <row r="6" spans="1:27" x14ac:dyDescent="0.25">
      <c r="A6" s="85" t="s">
        <v>71</v>
      </c>
      <c r="B6" s="58">
        <f>+Minderungserfordernisse!B8</f>
        <v>208.17361982692</v>
      </c>
      <c r="C6" s="63">
        <f>+Minderungserfordernisse!C8</f>
        <v>158.10512805230999</v>
      </c>
      <c r="D6" s="63">
        <f>+Minderungserfordernisse!E8</f>
        <v>153.26492210974001</v>
      </c>
      <c r="E6" s="64">
        <f>+Minderungserfordernisse!K8</f>
        <v>127.28217557149</v>
      </c>
      <c r="F6" s="77"/>
      <c r="G6" s="77"/>
      <c r="H6" s="104">
        <f>+Minderungserfordernisse!O8</f>
        <v>72.11633752244164</v>
      </c>
      <c r="I6" s="161"/>
      <c r="J6" s="164"/>
      <c r="K6" s="171">
        <f>+Minderungserfordernisse!S8</f>
        <v>7.2757545011625737</v>
      </c>
    </row>
    <row r="7" spans="1:27" x14ac:dyDescent="0.25">
      <c r="A7" s="54" t="s">
        <v>72</v>
      </c>
      <c r="B7" s="57">
        <f>+Minderungserfordernisse!B9</f>
        <v>164.40387239634998</v>
      </c>
      <c r="C7" s="61">
        <f>+Minderungserfordernisse!C9</f>
        <v>161.38184578841</v>
      </c>
      <c r="D7" s="61">
        <f>+Minderungserfordernisse!E9</f>
        <v>154.2098118685</v>
      </c>
      <c r="E7" s="62">
        <f>+Minderungserfordernisse!K9</f>
        <v>160.80691576616002</v>
      </c>
      <c r="F7" s="77"/>
      <c r="G7" s="77"/>
      <c r="H7" s="103">
        <f>+Minderungserfordernisse!O9</f>
        <v>98.158348294434461</v>
      </c>
      <c r="I7" s="161"/>
      <c r="J7" s="164"/>
      <c r="K7" s="170">
        <f>+Minderungserfordernisse!S9</f>
        <v>9.9031102932490587</v>
      </c>
    </row>
    <row r="8" spans="1:27" x14ac:dyDescent="0.25">
      <c r="A8" s="85" t="s">
        <v>73</v>
      </c>
      <c r="B8" s="58">
        <f>+Minderungserfordernisse!B10</f>
        <v>283.34292635759084</v>
      </c>
      <c r="C8" s="63">
        <f>+Minderungserfordernisse!C10</f>
        <v>190.78615492510923</v>
      </c>
      <c r="D8" s="63">
        <f>+Minderungserfordernisse!E10</f>
        <v>187.78911702224491</v>
      </c>
      <c r="E8" s="64">
        <f>+Minderungserfordernisse!K10</f>
        <v>188.59525640005205</v>
      </c>
      <c r="F8" s="77"/>
      <c r="G8" s="77"/>
      <c r="H8" s="104">
        <f>+Minderungserfordernisse!O10</f>
        <v>143.23105924596049</v>
      </c>
      <c r="I8" s="161"/>
      <c r="J8" s="164"/>
      <c r="K8" s="171">
        <f>+Minderungserfordernisse!S10</f>
        <v>48.218756692163552</v>
      </c>
    </row>
    <row r="9" spans="1:27" x14ac:dyDescent="0.25">
      <c r="A9" s="54" t="s">
        <v>76</v>
      </c>
      <c r="B9" s="57">
        <f>+B10-B5-B6-B7-B8</f>
        <v>129.67484727154664</v>
      </c>
      <c r="C9" s="61">
        <f>+C10-C5-C6-C7-C8</f>
        <v>86.437103898254946</v>
      </c>
      <c r="D9" s="61">
        <f>+D10-D5-D6-D7-D8</f>
        <v>78.879273027543263</v>
      </c>
      <c r="E9" s="62">
        <f>+E10-E5-E6-E7-E8</f>
        <v>79.147275642572083</v>
      </c>
      <c r="F9" s="77"/>
      <c r="G9" s="77"/>
      <c r="H9" s="103">
        <f>+H10-H5-H6-H7-H8</f>
        <v>66.098563734290821</v>
      </c>
      <c r="I9" s="161"/>
      <c r="J9" s="164"/>
      <c r="K9" s="170">
        <f>+K10-K5-K6-K7-K8</f>
        <v>41.200175883985295</v>
      </c>
    </row>
    <row r="10" spans="1:27" x14ac:dyDescent="0.25">
      <c r="A10" s="87" t="s">
        <v>77</v>
      </c>
      <c r="B10" s="60">
        <f>+Minderungserfordernisse!B18</f>
        <v>1250.9154671856274</v>
      </c>
      <c r="C10" s="65">
        <f>+Minderungserfordernisse!C18</f>
        <v>991.93266490674421</v>
      </c>
      <c r="D10" s="65">
        <f>+Minderungserfordernisse!E18</f>
        <v>941.75026850788822</v>
      </c>
      <c r="E10" s="66">
        <f>+Minderungserfordernisse!K18</f>
        <v>901.93151245950423</v>
      </c>
      <c r="F10" s="77"/>
      <c r="G10" s="77"/>
      <c r="H10" s="105">
        <f>+Minderungserfordernisse!O18</f>
        <v>562.91196023353234</v>
      </c>
      <c r="I10" s="161"/>
      <c r="J10" s="164"/>
      <c r="K10" s="172">
        <f>+Minderungserfordernisse!S18</f>
        <v>125.09154671856271</v>
      </c>
    </row>
    <row r="11" spans="1:27" x14ac:dyDescent="0.25">
      <c r="A11" s="54" t="s">
        <v>97</v>
      </c>
      <c r="B11" s="57"/>
      <c r="C11" s="61">
        <f>+Minderungserfordernisse!C19</f>
        <v>518.94500000000005</v>
      </c>
      <c r="D11" s="61">
        <f>+Minderungserfordernisse!E19</f>
        <v>478.92</v>
      </c>
      <c r="E11" s="62">
        <v>461.27100000000002</v>
      </c>
      <c r="F11" s="77"/>
      <c r="G11" s="77"/>
      <c r="H11" s="54"/>
      <c r="I11" s="161"/>
      <c r="J11" s="164"/>
      <c r="K11" s="168"/>
    </row>
    <row r="12" spans="1:27" x14ac:dyDescent="0.25">
      <c r="A12" s="88"/>
      <c r="B12" s="74"/>
      <c r="C12" s="75"/>
      <c r="D12" s="161"/>
      <c r="E12" s="76"/>
      <c r="F12" s="77"/>
      <c r="G12" s="77"/>
      <c r="H12" s="88"/>
      <c r="I12" s="161"/>
      <c r="J12" s="164"/>
      <c r="K12" s="101"/>
    </row>
    <row r="13" spans="1:27" x14ac:dyDescent="0.25">
      <c r="A13" s="89" t="s">
        <v>102</v>
      </c>
      <c r="B13" s="78"/>
      <c r="C13" s="79">
        <f>+C10/$B10-1</f>
        <v>-0.20703461510597176</v>
      </c>
      <c r="D13" s="79">
        <f>+D10/$B10-1</f>
        <v>-0.2471511519266083</v>
      </c>
      <c r="E13" s="80">
        <f>+E10/$B10-1</f>
        <v>-0.2789828440696196</v>
      </c>
      <c r="F13" s="81"/>
      <c r="G13" s="81"/>
      <c r="H13" s="106">
        <f t="shared" ref="H13:K13" si="0">+H10/$B10-1</f>
        <v>-0.55000000000000004</v>
      </c>
      <c r="I13" s="176"/>
      <c r="J13" s="177"/>
      <c r="K13" s="173">
        <f t="shared" si="0"/>
        <v>-0.9</v>
      </c>
    </row>
  </sheetData>
  <mergeCells count="2">
    <mergeCell ref="B1:E1"/>
    <mergeCell ref="H1:K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Sheet1</vt:lpstr>
      <vt:lpstr>Minderungserfordernisse</vt:lpstr>
      <vt:lpstr>Minderungserfordernisse_Paris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Ulrich Fahl</cp:lastModifiedBy>
  <cp:lastPrinted>2018-01-16T09:05:44Z</cp:lastPrinted>
  <dcterms:created xsi:type="dcterms:W3CDTF">2017-04-11T15:45:27Z</dcterms:created>
  <dcterms:modified xsi:type="dcterms:W3CDTF">2018-06-05T09:11:44Z</dcterms:modified>
</cp:coreProperties>
</file>