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2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_Kopernikus\xcel_data\"/>
    </mc:Choice>
  </mc:AlternateContent>
  <bookViews>
    <workbookView xWindow="120" yWindow="450" windowWidth="20730" windowHeight="11640" firstSheet="13" activeTab="14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" sheetId="15" r:id="rId11"/>
    <sheet name="Umlaufmenge" sheetId="18" r:id="rId12"/>
    <sheet name="EU-Pfad" sheetId="16" r:id="rId13"/>
    <sheet name="RoW-Pfad" sheetId="20" r:id="rId14"/>
    <sheet name="EU-Pfad_ENAVI" sheetId="21" r:id="rId15"/>
    <sheet name="EU-Pfad_REEEM" sheetId="26" r:id="rId16"/>
    <sheet name="EU-Reference CO2 emissions" sheetId="22" r:id="rId17"/>
    <sheet name="carbon tax" sheetId="23" r:id="rId18"/>
    <sheet name="DEU-Pfad" sheetId="24" r:id="rId19"/>
    <sheet name="DEU-Pfad-2" sheetId="25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62913"/>
  <pivotCaches>
    <pivotCache cacheId="0" r:id="rId29"/>
  </pivotCaches>
</workbook>
</file>

<file path=xl/calcChain.xml><?xml version="1.0" encoding="utf-8"?>
<calcChain xmlns="http://schemas.openxmlformats.org/spreadsheetml/2006/main">
  <c r="C43" i="21" l="1"/>
  <c r="C94" i="21" l="1"/>
  <c r="D94" i="21"/>
  <c r="E94" i="21"/>
  <c r="F94" i="21"/>
  <c r="G94" i="21"/>
  <c r="H94" i="21"/>
  <c r="I94" i="21"/>
  <c r="J94" i="21"/>
  <c r="B94" i="21"/>
  <c r="B96" i="21" s="1"/>
  <c r="B76" i="21" s="1"/>
  <c r="J96" i="21" l="1"/>
  <c r="J76" i="21" s="1"/>
  <c r="H96" i="21"/>
  <c r="H76" i="21" s="1"/>
  <c r="G96" i="21"/>
  <c r="G76" i="21" s="1"/>
  <c r="F96" i="21"/>
  <c r="F76" i="21" s="1"/>
  <c r="D96" i="21"/>
  <c r="D76" i="21" s="1"/>
  <c r="C96" i="21"/>
  <c r="C76" i="21" s="1"/>
  <c r="E96" i="21"/>
  <c r="E76" i="21" s="1"/>
  <c r="I96" i="21"/>
  <c r="I76" i="21" s="1"/>
  <c r="P27" i="21"/>
  <c r="R40" i="21"/>
  <c r="P40" i="21"/>
  <c r="O40" i="21"/>
  <c r="O38" i="21"/>
  <c r="O27" i="21"/>
  <c r="S11" i="22"/>
  <c r="I2" i="22"/>
  <c r="I29" i="22"/>
  <c r="Q29" i="22"/>
  <c r="J33" i="22"/>
  <c r="I33" i="22"/>
  <c r="S29" i="22"/>
  <c r="R29" i="22"/>
  <c r="H29" i="22"/>
  <c r="I27" i="22"/>
  <c r="B17" i="26" l="1"/>
  <c r="C17" i="26"/>
  <c r="D17" i="26"/>
  <c r="E17" i="26"/>
  <c r="F17" i="26"/>
  <c r="G17" i="26"/>
  <c r="H17" i="26"/>
  <c r="I17" i="26"/>
  <c r="J17" i="26"/>
  <c r="K17" i="26"/>
  <c r="L17" i="26"/>
  <c r="M17" i="26"/>
  <c r="C18" i="26"/>
  <c r="D18" i="26"/>
  <c r="E18" i="26"/>
  <c r="B35" i="26" s="1"/>
  <c r="F18" i="26"/>
  <c r="C35" i="26" s="1"/>
  <c r="G18" i="26"/>
  <c r="H18" i="26"/>
  <c r="I18" i="26"/>
  <c r="J18" i="26"/>
  <c r="K18" i="26"/>
  <c r="L18" i="26"/>
  <c r="M18" i="26"/>
  <c r="C19" i="26"/>
  <c r="D19" i="26"/>
  <c r="E19" i="26"/>
  <c r="F19" i="26"/>
  <c r="G19" i="26"/>
  <c r="H19" i="26"/>
  <c r="I19" i="26"/>
  <c r="J19" i="26"/>
  <c r="K19" i="26"/>
  <c r="L19" i="26"/>
  <c r="M19" i="26"/>
  <c r="C20" i="26"/>
  <c r="D20" i="26"/>
  <c r="E20" i="26"/>
  <c r="F20" i="26"/>
  <c r="G20" i="26"/>
  <c r="H20" i="26"/>
  <c r="I20" i="26"/>
  <c r="J20" i="26"/>
  <c r="K20" i="26"/>
  <c r="L20" i="26"/>
  <c r="M20" i="26"/>
  <c r="C21" i="26"/>
  <c r="D21" i="26"/>
  <c r="E21" i="26"/>
  <c r="F21" i="26"/>
  <c r="G21" i="26"/>
  <c r="H21" i="26"/>
  <c r="I21" i="26"/>
  <c r="J21" i="26"/>
  <c r="K21" i="26"/>
  <c r="L21" i="26"/>
  <c r="M21" i="26"/>
  <c r="C22" i="26"/>
  <c r="D22" i="26"/>
  <c r="E22" i="26"/>
  <c r="F22" i="26"/>
  <c r="G22" i="26"/>
  <c r="H22" i="26"/>
  <c r="I22" i="26"/>
  <c r="J22" i="26"/>
  <c r="K22" i="26"/>
  <c r="L22" i="26"/>
  <c r="M22" i="26"/>
  <c r="C23" i="26"/>
  <c r="D23" i="26"/>
  <c r="E23" i="26"/>
  <c r="F23" i="26"/>
  <c r="G23" i="26"/>
  <c r="H23" i="26"/>
  <c r="I23" i="26"/>
  <c r="J23" i="26"/>
  <c r="K23" i="26"/>
  <c r="L23" i="26"/>
  <c r="M23" i="26"/>
  <c r="C24" i="26"/>
  <c r="D24" i="26"/>
  <c r="E24" i="26"/>
  <c r="F24" i="26"/>
  <c r="G24" i="26"/>
  <c r="H24" i="26"/>
  <c r="I24" i="26"/>
  <c r="J24" i="26"/>
  <c r="K24" i="26"/>
  <c r="L24" i="26"/>
  <c r="M24" i="26"/>
  <c r="C25" i="26"/>
  <c r="D25" i="26"/>
  <c r="E25" i="26"/>
  <c r="F25" i="26"/>
  <c r="G25" i="26"/>
  <c r="H25" i="26"/>
  <c r="I25" i="26"/>
  <c r="J25" i="26"/>
  <c r="K25" i="26"/>
  <c r="L25" i="26"/>
  <c r="M25" i="26"/>
  <c r="C26" i="26"/>
  <c r="D26" i="26"/>
  <c r="E26" i="26"/>
  <c r="F26" i="26"/>
  <c r="G26" i="26"/>
  <c r="H26" i="26"/>
  <c r="I26" i="26"/>
  <c r="J26" i="26"/>
  <c r="K26" i="26"/>
  <c r="L26" i="26"/>
  <c r="M26" i="26"/>
  <c r="B19" i="26"/>
  <c r="B20" i="26"/>
  <c r="B21" i="26"/>
  <c r="B22" i="26"/>
  <c r="B23" i="26"/>
  <c r="B24" i="26"/>
  <c r="B25" i="26"/>
  <c r="B26" i="26"/>
  <c r="B18" i="26"/>
  <c r="A19" i="26"/>
  <c r="A20" i="26"/>
  <c r="A21" i="26"/>
  <c r="A22" i="26"/>
  <c r="A23" i="26"/>
  <c r="A24" i="26"/>
  <c r="A25" i="26"/>
  <c r="A26" i="26"/>
  <c r="A18" i="26"/>
  <c r="A35" i="26"/>
  <c r="A5" i="26"/>
  <c r="C52" i="26"/>
  <c r="D52" i="26"/>
  <c r="E52" i="26"/>
  <c r="F52" i="26"/>
  <c r="G52" i="26"/>
  <c r="H52" i="26"/>
  <c r="I52" i="26"/>
  <c r="J52" i="26"/>
  <c r="B52" i="26"/>
  <c r="K33" i="22"/>
  <c r="L33" i="22"/>
  <c r="M33" i="22"/>
  <c r="N33" i="22"/>
  <c r="O33" i="22"/>
  <c r="P33" i="22"/>
  <c r="Q33" i="22"/>
  <c r="M32" i="22"/>
  <c r="P32" i="22"/>
  <c r="N32" i="22"/>
  <c r="O32" i="22"/>
  <c r="L32" i="22"/>
  <c r="F36" i="26" l="1"/>
  <c r="J32" i="22"/>
  <c r="I32" i="22"/>
  <c r="K32" i="22"/>
  <c r="Q32" i="22"/>
  <c r="B55" i="26"/>
  <c r="C55" i="26"/>
  <c r="D55" i="26"/>
  <c r="E55" i="26"/>
  <c r="F55" i="26"/>
  <c r="G55" i="26"/>
  <c r="H55" i="26"/>
  <c r="I55" i="26"/>
  <c r="J55" i="26"/>
  <c r="B56" i="26"/>
  <c r="C56" i="26"/>
  <c r="D56" i="26"/>
  <c r="E56" i="26"/>
  <c r="F56" i="26"/>
  <c r="G56" i="26"/>
  <c r="H56" i="26"/>
  <c r="I56" i="26"/>
  <c r="J56" i="26"/>
  <c r="B57" i="26"/>
  <c r="C57" i="26"/>
  <c r="D57" i="26"/>
  <c r="E57" i="26"/>
  <c r="F57" i="26"/>
  <c r="G57" i="26"/>
  <c r="H57" i="26"/>
  <c r="I57" i="26"/>
  <c r="J57" i="26"/>
  <c r="B58" i="26"/>
  <c r="C58" i="26"/>
  <c r="D58" i="26"/>
  <c r="E58" i="26"/>
  <c r="F58" i="26"/>
  <c r="G58" i="26"/>
  <c r="H58" i="26"/>
  <c r="I58" i="26"/>
  <c r="J58" i="26"/>
  <c r="B59" i="26"/>
  <c r="C59" i="26"/>
  <c r="D59" i="26"/>
  <c r="E59" i="26"/>
  <c r="F59" i="26"/>
  <c r="G59" i="26"/>
  <c r="H59" i="26"/>
  <c r="I59" i="26"/>
  <c r="J59" i="26"/>
  <c r="B60" i="26"/>
  <c r="C60" i="26"/>
  <c r="D60" i="26"/>
  <c r="E60" i="26"/>
  <c r="F60" i="26"/>
  <c r="G60" i="26"/>
  <c r="H60" i="26"/>
  <c r="I60" i="26"/>
  <c r="J60" i="26"/>
  <c r="B61" i="26"/>
  <c r="C61" i="26"/>
  <c r="D61" i="26"/>
  <c r="E61" i="26"/>
  <c r="F61" i="26"/>
  <c r="G61" i="26"/>
  <c r="H61" i="26"/>
  <c r="I61" i="26"/>
  <c r="J61" i="26"/>
  <c r="B62" i="26"/>
  <c r="C62" i="26"/>
  <c r="D62" i="26"/>
  <c r="E62" i="26"/>
  <c r="F62" i="26"/>
  <c r="G62" i="26"/>
  <c r="H62" i="26"/>
  <c r="I62" i="26"/>
  <c r="J62" i="26"/>
  <c r="B63" i="26"/>
  <c r="C63" i="26"/>
  <c r="D63" i="26"/>
  <c r="E63" i="26"/>
  <c r="F63" i="26"/>
  <c r="G63" i="26"/>
  <c r="H63" i="26"/>
  <c r="I63" i="26"/>
  <c r="J63" i="26"/>
  <c r="B64" i="26"/>
  <c r="C64" i="26"/>
  <c r="D64" i="26"/>
  <c r="E64" i="26"/>
  <c r="F64" i="26"/>
  <c r="G64" i="26"/>
  <c r="H64" i="26"/>
  <c r="I64" i="26"/>
  <c r="J64" i="26"/>
  <c r="A57" i="26"/>
  <c r="A58" i="26"/>
  <c r="A59" i="26"/>
  <c r="A60" i="26"/>
  <c r="A61" i="26"/>
  <c r="A62" i="26"/>
  <c r="A63" i="26"/>
  <c r="A64" i="26"/>
  <c r="A56" i="26"/>
  <c r="J41" i="26"/>
  <c r="B41" i="26"/>
  <c r="A41" i="26"/>
  <c r="J40" i="26"/>
  <c r="A38" i="26"/>
  <c r="J37" i="26"/>
  <c r="I37" i="26"/>
  <c r="F37" i="26"/>
  <c r="B36" i="26"/>
  <c r="D35" i="26"/>
  <c r="I43" i="26"/>
  <c r="D43" i="26"/>
  <c r="E43" i="26"/>
  <c r="A43" i="26"/>
  <c r="H42" i="26"/>
  <c r="G42" i="26"/>
  <c r="F42" i="26"/>
  <c r="D42" i="26"/>
  <c r="C42" i="26"/>
  <c r="B42" i="26"/>
  <c r="A42" i="26"/>
  <c r="I41" i="26"/>
  <c r="H41" i="26"/>
  <c r="F41" i="26"/>
  <c r="E41" i="26"/>
  <c r="D41" i="26"/>
  <c r="C41" i="26"/>
  <c r="I40" i="26"/>
  <c r="H40" i="26"/>
  <c r="C40" i="26"/>
  <c r="E40" i="26"/>
  <c r="A40" i="26"/>
  <c r="J39" i="26"/>
  <c r="G39" i="26"/>
  <c r="F39" i="26"/>
  <c r="E39" i="26"/>
  <c r="D39" i="26"/>
  <c r="C39" i="26"/>
  <c r="B39" i="26"/>
  <c r="A39" i="26"/>
  <c r="I38" i="26"/>
  <c r="H37" i="26"/>
  <c r="G37" i="26"/>
  <c r="E37" i="26"/>
  <c r="D37" i="26"/>
  <c r="A37" i="26"/>
  <c r="J36" i="26"/>
  <c r="E36" i="26"/>
  <c r="D36" i="26"/>
  <c r="I36" i="26"/>
  <c r="A36" i="26"/>
  <c r="I35" i="26"/>
  <c r="E35" i="26"/>
  <c r="J38" i="26" l="1"/>
  <c r="G35" i="26"/>
  <c r="F40" i="26"/>
  <c r="G43" i="26"/>
  <c r="B40" i="26"/>
  <c r="H35" i="26"/>
  <c r="G40" i="26"/>
  <c r="G41" i="26"/>
  <c r="E42" i="26"/>
  <c r="H43" i="26"/>
  <c r="C38" i="26"/>
  <c r="J43" i="26"/>
  <c r="C43" i="26"/>
  <c r="G36" i="26"/>
  <c r="C37" i="26"/>
  <c r="E38" i="26"/>
  <c r="H39" i="26"/>
  <c r="I42" i="26"/>
  <c r="C36" i="26"/>
  <c r="I39" i="26"/>
  <c r="J42" i="26"/>
  <c r="J35" i="26"/>
  <c r="D38" i="26"/>
  <c r="B37" i="26"/>
  <c r="G38" i="26"/>
  <c r="H36" i="26"/>
  <c r="B43" i="26"/>
  <c r="F38" i="26"/>
  <c r="F35" i="26"/>
  <c r="H38" i="26"/>
  <c r="D40" i="26"/>
  <c r="F43" i="26"/>
  <c r="B38" i="26"/>
  <c r="B79" i="24" l="1"/>
  <c r="B6" i="21"/>
  <c r="I83" i="24" l="1"/>
  <c r="I84" i="24"/>
  <c r="I85" i="24"/>
  <c r="I86" i="24"/>
  <c r="I82" i="24"/>
  <c r="I88" i="24"/>
  <c r="D83" i="24" l="1"/>
  <c r="D93" i="24" s="1"/>
  <c r="E88" i="24"/>
  <c r="C78" i="24"/>
  <c r="D82" i="24"/>
  <c r="E48" i="24"/>
  <c r="C24" i="20"/>
  <c r="E24" i="20"/>
  <c r="F24" i="20"/>
  <c r="G24" i="20"/>
  <c r="H24" i="20"/>
  <c r="I24" i="20"/>
  <c r="J24" i="20"/>
  <c r="B24" i="20"/>
  <c r="J102" i="24"/>
  <c r="C102" i="24"/>
  <c r="E102" i="24"/>
  <c r="F102" i="24"/>
  <c r="G102" i="24"/>
  <c r="H102" i="24"/>
  <c r="I102" i="24"/>
  <c r="B102" i="24"/>
  <c r="M88" i="24"/>
  <c r="C92" i="24"/>
  <c r="D92" i="24"/>
  <c r="K78" i="24" s="1"/>
  <c r="E92" i="24"/>
  <c r="F92" i="24"/>
  <c r="G92" i="24"/>
  <c r="H92" i="24"/>
  <c r="I92" i="24"/>
  <c r="J92" i="24"/>
  <c r="C93" i="24"/>
  <c r="E93" i="24"/>
  <c r="F93" i="24"/>
  <c r="G93" i="24"/>
  <c r="H93" i="24"/>
  <c r="I93" i="24"/>
  <c r="J93" i="24"/>
  <c r="C94" i="24"/>
  <c r="E94" i="24"/>
  <c r="F94" i="24"/>
  <c r="G94" i="24"/>
  <c r="H94" i="24"/>
  <c r="I94" i="24"/>
  <c r="J94" i="24"/>
  <c r="C95" i="24"/>
  <c r="E95" i="24"/>
  <c r="F95" i="24"/>
  <c r="G95" i="24"/>
  <c r="H95" i="24"/>
  <c r="I95" i="24"/>
  <c r="J95" i="24"/>
  <c r="C96" i="24"/>
  <c r="E96" i="24"/>
  <c r="F96" i="24"/>
  <c r="G96" i="24"/>
  <c r="H96" i="24"/>
  <c r="I96" i="24"/>
  <c r="J96" i="24"/>
  <c r="B93" i="24"/>
  <c r="B94" i="24"/>
  <c r="B95" i="24"/>
  <c r="B96" i="24"/>
  <c r="B92" i="24"/>
  <c r="G83" i="24"/>
  <c r="G84" i="24"/>
  <c r="G85" i="24"/>
  <c r="G86" i="24"/>
  <c r="G82" i="24"/>
  <c r="E82" i="24"/>
  <c r="E83" i="24"/>
  <c r="E84" i="24"/>
  <c r="E85" i="24"/>
  <c r="E86" i="24"/>
  <c r="E87" i="24"/>
  <c r="D84" i="24"/>
  <c r="D94" i="24" s="1"/>
  <c r="D85" i="24"/>
  <c r="D95" i="24" s="1"/>
  <c r="D86" i="24"/>
  <c r="D96" i="24" s="1"/>
  <c r="D87" i="24"/>
  <c r="C83" i="24"/>
  <c r="C84" i="24"/>
  <c r="C85" i="24"/>
  <c r="C86" i="24"/>
  <c r="C87" i="24"/>
  <c r="C82" i="24"/>
  <c r="G88" i="24"/>
  <c r="J83" i="24"/>
  <c r="J84" i="24"/>
  <c r="J85" i="24"/>
  <c r="J86" i="24"/>
  <c r="J88" i="24"/>
  <c r="J82" i="24"/>
  <c r="H83" i="24"/>
  <c r="H84" i="24"/>
  <c r="H85" i="24"/>
  <c r="H86" i="24"/>
  <c r="H88" i="24"/>
  <c r="H82" i="24"/>
  <c r="F83" i="24"/>
  <c r="F84" i="24"/>
  <c r="F85" i="24"/>
  <c r="F86" i="24"/>
  <c r="F88" i="24"/>
  <c r="F82" i="24"/>
  <c r="B83" i="24"/>
  <c r="B84" i="24"/>
  <c r="B85" i="24"/>
  <c r="B86" i="24"/>
  <c r="B87" i="24"/>
  <c r="B82" i="24"/>
  <c r="C88" i="24"/>
  <c r="B88" i="24"/>
  <c r="C65" i="24"/>
  <c r="D65" i="24"/>
  <c r="E65" i="24"/>
  <c r="F65" i="24"/>
  <c r="G65" i="24"/>
  <c r="H65" i="24"/>
  <c r="I65" i="24"/>
  <c r="J65" i="24"/>
  <c r="K65" i="24"/>
  <c r="L65" i="24"/>
  <c r="C66" i="24"/>
  <c r="D66" i="24"/>
  <c r="E66" i="24"/>
  <c r="F66" i="24"/>
  <c r="G66" i="24"/>
  <c r="H66" i="24"/>
  <c r="I66" i="24"/>
  <c r="J66" i="24"/>
  <c r="K66" i="24"/>
  <c r="L66" i="24"/>
  <c r="C67" i="24"/>
  <c r="D67" i="24"/>
  <c r="E67" i="24"/>
  <c r="F67" i="24"/>
  <c r="G67" i="24"/>
  <c r="H67" i="24"/>
  <c r="I67" i="24"/>
  <c r="J67" i="24"/>
  <c r="K67" i="24"/>
  <c r="L67" i="24"/>
  <c r="C68" i="24"/>
  <c r="D68" i="24"/>
  <c r="E68" i="24"/>
  <c r="F68" i="24"/>
  <c r="G68" i="24"/>
  <c r="H68" i="24"/>
  <c r="I68" i="24"/>
  <c r="J68" i="24"/>
  <c r="K68" i="24"/>
  <c r="L68" i="24"/>
  <c r="C69" i="24"/>
  <c r="D69" i="24"/>
  <c r="E69" i="24"/>
  <c r="F69" i="24"/>
  <c r="G69" i="24"/>
  <c r="H69" i="24"/>
  <c r="I69" i="24"/>
  <c r="J69" i="24"/>
  <c r="K69" i="24"/>
  <c r="L69" i="24"/>
  <c r="C70" i="24"/>
  <c r="D70" i="24"/>
  <c r="E70" i="24"/>
  <c r="F70" i="24"/>
  <c r="G70" i="24"/>
  <c r="H70" i="24"/>
  <c r="I70" i="24"/>
  <c r="J70" i="24"/>
  <c r="K70" i="24"/>
  <c r="L70" i="24"/>
  <c r="C71" i="24"/>
  <c r="D71" i="24"/>
  <c r="E71" i="24"/>
  <c r="F71" i="24"/>
  <c r="G71" i="24"/>
  <c r="H71" i="24"/>
  <c r="I71" i="24"/>
  <c r="J71" i="24"/>
  <c r="K71" i="24"/>
  <c r="L71" i="24"/>
  <c r="B66" i="24"/>
  <c r="B67" i="24"/>
  <c r="B68" i="24"/>
  <c r="B69" i="24"/>
  <c r="B70" i="24"/>
  <c r="B71" i="24"/>
  <c r="B65" i="24"/>
  <c r="D78" i="24"/>
  <c r="E78" i="24"/>
  <c r="B78" i="24"/>
  <c r="D102" i="24" l="1"/>
  <c r="D24" i="20" s="1"/>
  <c r="D45" i="24" l="1"/>
  <c r="E45" i="24"/>
  <c r="F45" i="24"/>
  <c r="G45" i="24"/>
  <c r="H45" i="24"/>
  <c r="I45" i="24"/>
  <c r="J45" i="24"/>
  <c r="C45" i="24"/>
  <c r="B45" i="24"/>
  <c r="M63" i="21" l="1"/>
  <c r="L63" i="21"/>
  <c r="K63" i="21"/>
  <c r="J63" i="21"/>
  <c r="I63" i="21"/>
  <c r="H63" i="21"/>
  <c r="G63" i="21"/>
  <c r="F63" i="21"/>
  <c r="E63" i="21"/>
  <c r="B61" i="21"/>
  <c r="Q63" i="21" s="1"/>
  <c r="M60" i="21"/>
  <c r="M58" i="21"/>
  <c r="L57" i="21"/>
  <c r="C12" i="21"/>
  <c r="M3" i="21"/>
  <c r="B12" i="21"/>
  <c r="Q8" i="21"/>
  <c r="F8" i="21"/>
  <c r="G8" i="21"/>
  <c r="H8" i="21"/>
  <c r="I8" i="21"/>
  <c r="J8" i="21"/>
  <c r="K8" i="21"/>
  <c r="L8" i="21"/>
  <c r="M8" i="21"/>
  <c r="O8" i="21" s="1"/>
  <c r="E8" i="21"/>
  <c r="O63" i="21" l="1"/>
  <c r="M57" i="21"/>
  <c r="Q24" i="20"/>
  <c r="Q25" i="20" s="1"/>
  <c r="J27" i="22" l="1"/>
  <c r="K27" i="22"/>
  <c r="L27" i="22"/>
  <c r="M27" i="22"/>
  <c r="N27" i="22"/>
  <c r="O27" i="22"/>
  <c r="P27" i="22"/>
  <c r="Q27" i="22"/>
  <c r="I28" i="22"/>
  <c r="Q10" i="23" l="1"/>
  <c r="Q9" i="23"/>
  <c r="Q8" i="23"/>
  <c r="Q7" i="23"/>
  <c r="Q6" i="23"/>
  <c r="Q5" i="23"/>
  <c r="Q4" i="23"/>
  <c r="E3" i="23"/>
  <c r="F3" i="23"/>
  <c r="G3" i="23"/>
  <c r="H3" i="23"/>
  <c r="I3" i="23"/>
  <c r="J3" i="23"/>
  <c r="D3" i="23" l="1"/>
  <c r="C9" i="23" l="1"/>
  <c r="C10" i="23"/>
  <c r="C11" i="23"/>
  <c r="C12" i="23"/>
  <c r="C13" i="23"/>
  <c r="C14" i="23"/>
  <c r="C15" i="23"/>
  <c r="C8" i="23"/>
  <c r="C7" i="23"/>
  <c r="Q14" i="23" l="1"/>
  <c r="Q13" i="23"/>
  <c r="Q21" i="23"/>
  <c r="Q20" i="23"/>
  <c r="Q19" i="23"/>
  <c r="Q18" i="23"/>
  <c r="Q17" i="23"/>
  <c r="Q16" i="23"/>
  <c r="Q15" i="23"/>
  <c r="C6" i="23"/>
  <c r="C10" i="20"/>
  <c r="C29" i="21" l="1"/>
  <c r="D29" i="21"/>
  <c r="E29" i="21"/>
  <c r="B46" i="21" s="1"/>
  <c r="F29" i="21"/>
  <c r="C46" i="21" s="1"/>
  <c r="G29" i="21"/>
  <c r="D46" i="21" s="1"/>
  <c r="H29" i="21"/>
  <c r="E46" i="21" s="1"/>
  <c r="I29" i="21"/>
  <c r="F46" i="21" s="1"/>
  <c r="J29" i="21"/>
  <c r="G46" i="21" s="1"/>
  <c r="K29" i="21"/>
  <c r="H46" i="21" s="1"/>
  <c r="L29" i="21"/>
  <c r="I46" i="21" s="1"/>
  <c r="M29" i="21"/>
  <c r="J46" i="21" s="1"/>
  <c r="C30" i="21"/>
  <c r="D30" i="21"/>
  <c r="E30" i="21"/>
  <c r="B47" i="21" s="1"/>
  <c r="F30" i="21"/>
  <c r="G30" i="21"/>
  <c r="H30" i="21"/>
  <c r="I30" i="21"/>
  <c r="J30" i="21"/>
  <c r="K30" i="21"/>
  <c r="L30" i="21"/>
  <c r="M30" i="21"/>
  <c r="C31" i="21"/>
  <c r="D31" i="21"/>
  <c r="E31" i="21"/>
  <c r="B48" i="21" s="1"/>
  <c r="F31" i="21"/>
  <c r="G31" i="21"/>
  <c r="H31" i="21"/>
  <c r="I31" i="21"/>
  <c r="J31" i="21"/>
  <c r="K31" i="21"/>
  <c r="L31" i="21"/>
  <c r="M31" i="21"/>
  <c r="J48" i="21" s="1"/>
  <c r="C32" i="21"/>
  <c r="D32" i="21"/>
  <c r="E32" i="21"/>
  <c r="B49" i="21" s="1"/>
  <c r="F32" i="21"/>
  <c r="C49" i="21" s="1"/>
  <c r="G32" i="21"/>
  <c r="H32" i="21"/>
  <c r="I32" i="21"/>
  <c r="J32" i="21"/>
  <c r="K32" i="21"/>
  <c r="L32" i="21"/>
  <c r="M32" i="21"/>
  <c r="J49" i="21" s="1"/>
  <c r="C33" i="21"/>
  <c r="D33" i="21"/>
  <c r="E33" i="21"/>
  <c r="B50" i="21" s="1"/>
  <c r="F33" i="21"/>
  <c r="C50" i="21" s="1"/>
  <c r="G33" i="21"/>
  <c r="H33" i="21"/>
  <c r="I33" i="21"/>
  <c r="J33" i="21"/>
  <c r="K33" i="21"/>
  <c r="L33" i="21"/>
  <c r="M33" i="21"/>
  <c r="J50" i="21" s="1"/>
  <c r="C34" i="21"/>
  <c r="D34" i="21"/>
  <c r="E34" i="21"/>
  <c r="F34" i="21"/>
  <c r="C51" i="21" s="1"/>
  <c r="G34" i="21"/>
  <c r="D51" i="21" s="1"/>
  <c r="H34" i="21"/>
  <c r="I34" i="21"/>
  <c r="J34" i="21"/>
  <c r="K34" i="21"/>
  <c r="L34" i="21"/>
  <c r="M34" i="21"/>
  <c r="J51" i="21" s="1"/>
  <c r="C35" i="21"/>
  <c r="D35" i="21"/>
  <c r="E35" i="21"/>
  <c r="B52" i="21" s="1"/>
  <c r="F35" i="21"/>
  <c r="G35" i="21"/>
  <c r="H35" i="21"/>
  <c r="I35" i="21"/>
  <c r="J35" i="21"/>
  <c r="K35" i="21"/>
  <c r="L35" i="21"/>
  <c r="M35" i="21"/>
  <c r="C36" i="21"/>
  <c r="D36" i="21"/>
  <c r="E36" i="21"/>
  <c r="F36" i="21"/>
  <c r="G36" i="21"/>
  <c r="H36" i="21"/>
  <c r="I36" i="21"/>
  <c r="J36" i="21"/>
  <c r="K36" i="21"/>
  <c r="L36" i="21"/>
  <c r="M36" i="21"/>
  <c r="J53" i="21" s="1"/>
  <c r="C37" i="21"/>
  <c r="D37" i="21"/>
  <c r="E37" i="21"/>
  <c r="B54" i="21" s="1"/>
  <c r="F37" i="21"/>
  <c r="G37" i="21"/>
  <c r="D54" i="21" s="1"/>
  <c r="H37" i="21"/>
  <c r="I37" i="21"/>
  <c r="J37" i="21"/>
  <c r="K37" i="21"/>
  <c r="L37" i="21"/>
  <c r="M37" i="21"/>
  <c r="J54" i="21" s="1"/>
  <c r="C38" i="21"/>
  <c r="D38" i="21"/>
  <c r="E38" i="21"/>
  <c r="B55" i="21" s="1"/>
  <c r="F38" i="21"/>
  <c r="G38" i="21"/>
  <c r="H38" i="21"/>
  <c r="I38" i="21"/>
  <c r="J38" i="21"/>
  <c r="K38" i="21"/>
  <c r="L38" i="21"/>
  <c r="M38" i="21"/>
  <c r="J55" i="21" s="1"/>
  <c r="B30" i="21"/>
  <c r="B31" i="21"/>
  <c r="B32" i="21"/>
  <c r="B33" i="21"/>
  <c r="B34" i="21"/>
  <c r="B35" i="21"/>
  <c r="B36" i="21"/>
  <c r="B37" i="21"/>
  <c r="B38" i="21"/>
  <c r="B29" i="21"/>
  <c r="A37" i="21"/>
  <c r="A54" i="21" s="1"/>
  <c r="A38" i="21"/>
  <c r="A55" i="21" s="1"/>
  <c r="A31" i="21"/>
  <c r="A48" i="21" s="1"/>
  <c r="A32" i="21"/>
  <c r="A49" i="21" s="1"/>
  <c r="A33" i="21"/>
  <c r="A50" i="21" s="1"/>
  <c r="A34" i="21"/>
  <c r="A51" i="21" s="1"/>
  <c r="A35" i="21"/>
  <c r="A52" i="21" s="1"/>
  <c r="A36" i="21"/>
  <c r="A53" i="21" s="1"/>
  <c r="A30" i="21"/>
  <c r="A47" i="21" s="1"/>
  <c r="A19" i="21"/>
  <c r="A7" i="26" s="1"/>
  <c r="A20" i="21"/>
  <c r="A8" i="26" s="1"/>
  <c r="A21" i="21"/>
  <c r="A9" i="26" s="1"/>
  <c r="A22" i="21"/>
  <c r="A10" i="26" s="1"/>
  <c r="A23" i="21"/>
  <c r="A11" i="26" s="1"/>
  <c r="A24" i="21"/>
  <c r="A12" i="26" s="1"/>
  <c r="A25" i="21"/>
  <c r="A13" i="26" s="1"/>
  <c r="A26" i="21"/>
  <c r="A14" i="26" s="1"/>
  <c r="A27" i="21"/>
  <c r="A15" i="26" s="1"/>
  <c r="A18" i="21"/>
  <c r="A6" i="26" s="1"/>
  <c r="B18" i="21"/>
  <c r="B6" i="26" s="1"/>
  <c r="C18" i="21"/>
  <c r="C6" i="26" s="1"/>
  <c r="D18" i="21"/>
  <c r="D6" i="26" s="1"/>
  <c r="E18" i="21"/>
  <c r="E6" i="26" s="1"/>
  <c r="F18" i="21"/>
  <c r="F6" i="26" s="1"/>
  <c r="G18" i="21"/>
  <c r="G6" i="26" s="1"/>
  <c r="H18" i="21"/>
  <c r="H6" i="26" s="1"/>
  <c r="I18" i="21"/>
  <c r="I6" i="26" s="1"/>
  <c r="J18" i="21"/>
  <c r="J6" i="26" s="1"/>
  <c r="K18" i="21"/>
  <c r="K6" i="26" s="1"/>
  <c r="L18" i="21"/>
  <c r="L6" i="26" s="1"/>
  <c r="M18" i="21"/>
  <c r="M6" i="26" s="1"/>
  <c r="B19" i="21"/>
  <c r="B7" i="26" s="1"/>
  <c r="C19" i="21"/>
  <c r="C7" i="26" s="1"/>
  <c r="D19" i="21"/>
  <c r="D7" i="26" s="1"/>
  <c r="E19" i="21"/>
  <c r="E7" i="26" s="1"/>
  <c r="F19" i="21"/>
  <c r="F7" i="26" s="1"/>
  <c r="G19" i="21"/>
  <c r="G7" i="26" s="1"/>
  <c r="H19" i="21"/>
  <c r="H7" i="26" s="1"/>
  <c r="I19" i="21"/>
  <c r="I7" i="26" s="1"/>
  <c r="J19" i="21"/>
  <c r="J7" i="26" s="1"/>
  <c r="K19" i="21"/>
  <c r="K7" i="26" s="1"/>
  <c r="L19" i="21"/>
  <c r="L7" i="26" s="1"/>
  <c r="M19" i="21"/>
  <c r="M7" i="26" s="1"/>
  <c r="B20" i="21"/>
  <c r="B8" i="26" s="1"/>
  <c r="C20" i="21"/>
  <c r="C8" i="26" s="1"/>
  <c r="D20" i="21"/>
  <c r="D8" i="26" s="1"/>
  <c r="E20" i="21"/>
  <c r="E8" i="26" s="1"/>
  <c r="F20" i="21"/>
  <c r="F8" i="26" s="1"/>
  <c r="G20" i="21"/>
  <c r="G8" i="26" s="1"/>
  <c r="H20" i="21"/>
  <c r="H8" i="26" s="1"/>
  <c r="I20" i="21"/>
  <c r="I8" i="26" s="1"/>
  <c r="J20" i="21"/>
  <c r="J8" i="26" s="1"/>
  <c r="K20" i="21"/>
  <c r="K8" i="26" s="1"/>
  <c r="L20" i="21"/>
  <c r="L8" i="26" s="1"/>
  <c r="M20" i="21"/>
  <c r="M8" i="26" s="1"/>
  <c r="B21" i="21"/>
  <c r="B9" i="26" s="1"/>
  <c r="C21" i="21"/>
  <c r="C9" i="26" s="1"/>
  <c r="D21" i="21"/>
  <c r="D9" i="26" s="1"/>
  <c r="E21" i="21"/>
  <c r="E9" i="26" s="1"/>
  <c r="F21" i="21"/>
  <c r="F9" i="26" s="1"/>
  <c r="G21" i="21"/>
  <c r="G9" i="26" s="1"/>
  <c r="H21" i="21"/>
  <c r="H9" i="26" s="1"/>
  <c r="I21" i="21"/>
  <c r="I9" i="26" s="1"/>
  <c r="J21" i="21"/>
  <c r="J9" i="26" s="1"/>
  <c r="K21" i="21"/>
  <c r="K9" i="26" s="1"/>
  <c r="L21" i="21"/>
  <c r="L9" i="26" s="1"/>
  <c r="M21" i="21"/>
  <c r="M9" i="26" s="1"/>
  <c r="B22" i="21"/>
  <c r="B10" i="26" s="1"/>
  <c r="C22" i="21"/>
  <c r="C10" i="26" s="1"/>
  <c r="D22" i="21"/>
  <c r="D10" i="26" s="1"/>
  <c r="E22" i="21"/>
  <c r="E10" i="26" s="1"/>
  <c r="F22" i="21"/>
  <c r="F10" i="26" s="1"/>
  <c r="G22" i="21"/>
  <c r="G10" i="26" s="1"/>
  <c r="H22" i="21"/>
  <c r="H10" i="26" s="1"/>
  <c r="I22" i="21"/>
  <c r="I10" i="26" s="1"/>
  <c r="J22" i="21"/>
  <c r="J10" i="26" s="1"/>
  <c r="K22" i="21"/>
  <c r="K10" i="26" s="1"/>
  <c r="L22" i="21"/>
  <c r="L10" i="26" s="1"/>
  <c r="M22" i="21"/>
  <c r="M10" i="26" s="1"/>
  <c r="B23" i="21"/>
  <c r="B11" i="26" s="1"/>
  <c r="C23" i="21"/>
  <c r="C11" i="26" s="1"/>
  <c r="D23" i="21"/>
  <c r="D11" i="26" s="1"/>
  <c r="E23" i="21"/>
  <c r="E11" i="26" s="1"/>
  <c r="F23" i="21"/>
  <c r="F11" i="26" s="1"/>
  <c r="G23" i="21"/>
  <c r="G11" i="26" s="1"/>
  <c r="H23" i="21"/>
  <c r="H11" i="26" s="1"/>
  <c r="I23" i="21"/>
  <c r="I11" i="26" s="1"/>
  <c r="J23" i="21"/>
  <c r="J11" i="26" s="1"/>
  <c r="K23" i="21"/>
  <c r="K11" i="26" s="1"/>
  <c r="L23" i="21"/>
  <c r="L11" i="26" s="1"/>
  <c r="M23" i="21"/>
  <c r="M11" i="26" s="1"/>
  <c r="B24" i="21"/>
  <c r="B12" i="26" s="1"/>
  <c r="C24" i="21"/>
  <c r="C12" i="26" s="1"/>
  <c r="D24" i="21"/>
  <c r="D12" i="26" s="1"/>
  <c r="E24" i="21"/>
  <c r="E12" i="26" s="1"/>
  <c r="F24" i="21"/>
  <c r="F12" i="26" s="1"/>
  <c r="G24" i="21"/>
  <c r="G12" i="26" s="1"/>
  <c r="H24" i="21"/>
  <c r="H12" i="26" s="1"/>
  <c r="I24" i="21"/>
  <c r="I12" i="26" s="1"/>
  <c r="J24" i="21"/>
  <c r="J12" i="26" s="1"/>
  <c r="K24" i="21"/>
  <c r="K12" i="26" s="1"/>
  <c r="L24" i="21"/>
  <c r="L12" i="26" s="1"/>
  <c r="M24" i="21"/>
  <c r="M12" i="26" s="1"/>
  <c r="B25" i="21"/>
  <c r="B13" i="26" s="1"/>
  <c r="C25" i="21"/>
  <c r="C13" i="26" s="1"/>
  <c r="D25" i="21"/>
  <c r="D13" i="26" s="1"/>
  <c r="E25" i="21"/>
  <c r="E13" i="26" s="1"/>
  <c r="F25" i="21"/>
  <c r="F13" i="26" s="1"/>
  <c r="G25" i="21"/>
  <c r="G13" i="26" s="1"/>
  <c r="H25" i="21"/>
  <c r="H13" i="26" s="1"/>
  <c r="I25" i="21"/>
  <c r="I13" i="26" s="1"/>
  <c r="J25" i="21"/>
  <c r="J13" i="26" s="1"/>
  <c r="K25" i="21"/>
  <c r="K13" i="26" s="1"/>
  <c r="L25" i="21"/>
  <c r="L13" i="26" s="1"/>
  <c r="M25" i="21"/>
  <c r="M13" i="26" s="1"/>
  <c r="B26" i="21"/>
  <c r="B14" i="26" s="1"/>
  <c r="C26" i="21"/>
  <c r="C14" i="26" s="1"/>
  <c r="D26" i="21"/>
  <c r="D14" i="26" s="1"/>
  <c r="E26" i="21"/>
  <c r="E14" i="26" s="1"/>
  <c r="F26" i="21"/>
  <c r="F14" i="26" s="1"/>
  <c r="G26" i="21"/>
  <c r="G14" i="26" s="1"/>
  <c r="H26" i="21"/>
  <c r="H14" i="26" s="1"/>
  <c r="I26" i="21"/>
  <c r="I14" i="26" s="1"/>
  <c r="J26" i="21"/>
  <c r="J14" i="26" s="1"/>
  <c r="K26" i="21"/>
  <c r="K14" i="26" s="1"/>
  <c r="L26" i="21"/>
  <c r="L14" i="26" s="1"/>
  <c r="M26" i="21"/>
  <c r="M14" i="26" s="1"/>
  <c r="B27" i="21"/>
  <c r="B15" i="26" s="1"/>
  <c r="C27" i="21"/>
  <c r="C15" i="26" s="1"/>
  <c r="D27" i="21"/>
  <c r="D15" i="26" s="1"/>
  <c r="E27" i="21"/>
  <c r="F27" i="21"/>
  <c r="F15" i="26" s="1"/>
  <c r="G27" i="21"/>
  <c r="G15" i="26" s="1"/>
  <c r="H27" i="21"/>
  <c r="H15" i="26" s="1"/>
  <c r="I27" i="21"/>
  <c r="I15" i="26" s="1"/>
  <c r="J27" i="21"/>
  <c r="J15" i="26" s="1"/>
  <c r="K27" i="21"/>
  <c r="K15" i="26" s="1"/>
  <c r="L27" i="21"/>
  <c r="L15" i="26" s="1"/>
  <c r="M27" i="21"/>
  <c r="L17" i="21"/>
  <c r="M17" i="21"/>
  <c r="K17" i="21"/>
  <c r="I17" i="21"/>
  <c r="J17" i="21"/>
  <c r="C17" i="21"/>
  <c r="C5" i="26" s="1"/>
  <c r="D17" i="21"/>
  <c r="D5" i="26" s="1"/>
  <c r="E17" i="21"/>
  <c r="F17" i="21"/>
  <c r="G17" i="21"/>
  <c r="H17" i="21"/>
  <c r="B17" i="21"/>
  <c r="B5" i="26" s="1"/>
  <c r="I23" i="22"/>
  <c r="I22" i="22"/>
  <c r="I21" i="22"/>
  <c r="I20" i="22"/>
  <c r="I19" i="22"/>
  <c r="I18" i="22"/>
  <c r="I17" i="22"/>
  <c r="I16" i="22"/>
  <c r="I15" i="22"/>
  <c r="I3" i="22"/>
  <c r="I4" i="22"/>
  <c r="I5" i="22"/>
  <c r="I6" i="22"/>
  <c r="I7" i="22"/>
  <c r="I8" i="22"/>
  <c r="I9" i="22"/>
  <c r="I10" i="22"/>
  <c r="I11" i="22"/>
  <c r="G42" i="21" l="1"/>
  <c r="J5" i="26"/>
  <c r="G30" i="26" s="1"/>
  <c r="G34" i="26" s="1"/>
  <c r="F42" i="21"/>
  <c r="I5" i="26"/>
  <c r="F30" i="26" s="1"/>
  <c r="F34" i="26" s="1"/>
  <c r="E42" i="21"/>
  <c r="H5" i="26"/>
  <c r="E30" i="26" s="1"/>
  <c r="E34" i="26" s="1"/>
  <c r="H42" i="21"/>
  <c r="K5" i="26"/>
  <c r="H30" i="26" s="1"/>
  <c r="H34" i="26" s="1"/>
  <c r="D42" i="21"/>
  <c r="G5" i="26"/>
  <c r="D30" i="26" s="1"/>
  <c r="D34" i="26" s="1"/>
  <c r="C42" i="21"/>
  <c r="F5" i="26"/>
  <c r="C30" i="26" s="1"/>
  <c r="C34" i="26" s="1"/>
  <c r="I42" i="21"/>
  <c r="L5" i="26"/>
  <c r="I30" i="26" s="1"/>
  <c r="I34" i="26" s="1"/>
  <c r="B42" i="21"/>
  <c r="E5" i="26"/>
  <c r="B30" i="26" s="1"/>
  <c r="B34" i="26" s="1"/>
  <c r="E15" i="26"/>
  <c r="B31" i="26" s="1"/>
  <c r="B43" i="21"/>
  <c r="J42" i="21"/>
  <c r="M5" i="26"/>
  <c r="J30" i="26" s="1"/>
  <c r="J34" i="26" s="1"/>
  <c r="J52" i="21"/>
  <c r="J43" i="21"/>
  <c r="M15" i="26"/>
  <c r="J31" i="26" s="1"/>
  <c r="I50" i="21"/>
  <c r="H50" i="21"/>
  <c r="C54" i="21"/>
  <c r="G50" i="21"/>
  <c r="J47" i="21"/>
  <c r="E55" i="21"/>
  <c r="C53" i="21"/>
  <c r="D50" i="21"/>
  <c r="E47" i="21"/>
  <c r="H43" i="21"/>
  <c r="H54" i="21"/>
  <c r="F52" i="21"/>
  <c r="G49" i="21"/>
  <c r="G43" i="21"/>
  <c r="G54" i="21"/>
  <c r="G53" i="21"/>
  <c r="E52" i="21"/>
  <c r="F49" i="21"/>
  <c r="F54" i="21"/>
  <c r="E49" i="21"/>
  <c r="E54" i="21"/>
  <c r="C52" i="21"/>
  <c r="D49" i="21"/>
  <c r="D55" i="21"/>
  <c r="I48" i="21"/>
  <c r="D47" i="21"/>
  <c r="C55" i="21"/>
  <c r="D52" i="21"/>
  <c r="C47" i="21"/>
  <c r="I55" i="21"/>
  <c r="I47" i="21"/>
  <c r="H55" i="21"/>
  <c r="H47" i="21"/>
  <c r="I53" i="21"/>
  <c r="B53" i="21"/>
  <c r="I52" i="21"/>
  <c r="G55" i="21"/>
  <c r="E53" i="21"/>
  <c r="H52" i="21"/>
  <c r="F50" i="21"/>
  <c r="I49" i="21"/>
  <c r="D48" i="21"/>
  <c r="G47" i="21"/>
  <c r="H53" i="21"/>
  <c r="I43" i="21"/>
  <c r="F55" i="21"/>
  <c r="I54" i="21"/>
  <c r="D53" i="21"/>
  <c r="G52" i="21"/>
  <c r="F51" i="21"/>
  <c r="E50" i="21"/>
  <c r="H49" i="21"/>
  <c r="C48" i="21"/>
  <c r="F47" i="21"/>
  <c r="E43" i="21"/>
  <c r="H51" i="21"/>
  <c r="G48" i="21"/>
  <c r="F53" i="21"/>
  <c r="F48" i="21"/>
  <c r="E51" i="21"/>
  <c r="F43" i="21"/>
  <c r="I51" i="21"/>
  <c r="D43" i="21"/>
  <c r="H48" i="21"/>
  <c r="G51" i="21"/>
  <c r="B51" i="21"/>
  <c r="E48" i="21"/>
  <c r="I31" i="26" l="1"/>
  <c r="F31" i="26"/>
  <c r="H31" i="26"/>
  <c r="G31" i="26"/>
  <c r="E31" i="26"/>
  <c r="C31" i="26"/>
  <c r="D31" i="26"/>
  <c r="M5" i="21"/>
  <c r="H60" i="21" l="1"/>
  <c r="J12" i="21"/>
  <c r="G60" i="21"/>
  <c r="L60" i="21"/>
  <c r="J60" i="21"/>
  <c r="L2" i="21"/>
  <c r="K60" i="21"/>
  <c r="I60" i="21"/>
  <c r="M2" i="21"/>
  <c r="J5" i="21"/>
  <c r="G12" i="21" s="1"/>
  <c r="L5" i="21"/>
  <c r="I12" i="21" s="1"/>
  <c r="K5" i="21"/>
  <c r="H12" i="21" s="1"/>
  <c r="H5" i="21"/>
  <c r="E12" i="21" s="1"/>
  <c r="G5" i="21"/>
  <c r="D12" i="21" s="1"/>
  <c r="I5" i="21"/>
  <c r="F12" i="21" s="1"/>
  <c r="K160" i="16" l="1"/>
  <c r="J160" i="16"/>
  <c r="I160" i="16"/>
  <c r="H160" i="16"/>
  <c r="G160" i="16"/>
  <c r="F160" i="16"/>
  <c r="E160" i="16"/>
  <c r="D160" i="16"/>
  <c r="C160" i="16"/>
  <c r="K159" i="16"/>
  <c r="J159" i="16"/>
  <c r="I159" i="16"/>
  <c r="H159" i="16"/>
  <c r="G159" i="16"/>
  <c r="F159" i="16"/>
  <c r="E159" i="16"/>
  <c r="D159" i="16"/>
  <c r="C159" i="16"/>
  <c r="K158" i="16"/>
  <c r="J158" i="16"/>
  <c r="I158" i="16"/>
  <c r="H158" i="16"/>
  <c r="G158" i="16"/>
  <c r="F158" i="16"/>
  <c r="E158" i="16"/>
  <c r="D158" i="16"/>
  <c r="C158" i="16"/>
  <c r="K157" i="16"/>
  <c r="J157" i="16"/>
  <c r="I157" i="16"/>
  <c r="H157" i="16"/>
  <c r="G157" i="16"/>
  <c r="F157" i="16"/>
  <c r="E157" i="16"/>
  <c r="D157" i="16"/>
  <c r="C157" i="16"/>
  <c r="K156" i="16"/>
  <c r="J156" i="16"/>
  <c r="I156" i="16"/>
  <c r="H156" i="16"/>
  <c r="G156" i="16"/>
  <c r="F156" i="16"/>
  <c r="E156" i="16"/>
  <c r="D156" i="16"/>
  <c r="C156" i="16"/>
  <c r="K155" i="16"/>
  <c r="J155" i="16"/>
  <c r="I155" i="16"/>
  <c r="H155" i="16"/>
  <c r="G155" i="16"/>
  <c r="F155" i="16"/>
  <c r="E155" i="16"/>
  <c r="D155" i="16"/>
  <c r="C155" i="16"/>
  <c r="K154" i="16"/>
  <c r="J154" i="16"/>
  <c r="I154" i="16"/>
  <c r="H154" i="16"/>
  <c r="G154" i="16"/>
  <c r="F154" i="16"/>
  <c r="E154" i="16"/>
  <c r="D154" i="16"/>
  <c r="C154" i="16"/>
  <c r="K153" i="16"/>
  <c r="J153" i="16"/>
  <c r="I153" i="16"/>
  <c r="H153" i="16"/>
  <c r="G153" i="16"/>
  <c r="F153" i="16"/>
  <c r="E153" i="16"/>
  <c r="D153" i="16"/>
  <c r="C153" i="16"/>
  <c r="K152" i="16"/>
  <c r="J152" i="16"/>
  <c r="I152" i="16"/>
  <c r="H152" i="16"/>
  <c r="G152" i="16"/>
  <c r="F152" i="16"/>
  <c r="E152" i="16"/>
  <c r="D152" i="16"/>
  <c r="C152" i="16"/>
  <c r="D137" i="16"/>
  <c r="E137" i="16"/>
  <c r="F137" i="16"/>
  <c r="G137" i="16"/>
  <c r="H137" i="16"/>
  <c r="I137" i="16"/>
  <c r="J137" i="16"/>
  <c r="K137" i="16"/>
  <c r="D138" i="16"/>
  <c r="E138" i="16"/>
  <c r="F138" i="16"/>
  <c r="G138" i="16"/>
  <c r="H138" i="16"/>
  <c r="I138" i="16"/>
  <c r="J138" i="16"/>
  <c r="K138" i="16"/>
  <c r="D139" i="16"/>
  <c r="E139" i="16"/>
  <c r="F139" i="16"/>
  <c r="G139" i="16"/>
  <c r="H139" i="16"/>
  <c r="I139" i="16"/>
  <c r="J139" i="16"/>
  <c r="K139" i="16"/>
  <c r="D140" i="16"/>
  <c r="E140" i="16"/>
  <c r="F140" i="16"/>
  <c r="G140" i="16"/>
  <c r="H140" i="16"/>
  <c r="I140" i="16"/>
  <c r="J140" i="16"/>
  <c r="K140" i="16"/>
  <c r="D141" i="16"/>
  <c r="E141" i="16"/>
  <c r="F141" i="16"/>
  <c r="G141" i="16"/>
  <c r="H141" i="16"/>
  <c r="I141" i="16"/>
  <c r="J141" i="16"/>
  <c r="K141" i="16"/>
  <c r="D142" i="16"/>
  <c r="E142" i="16"/>
  <c r="F142" i="16"/>
  <c r="G142" i="16"/>
  <c r="H142" i="16"/>
  <c r="I142" i="16"/>
  <c r="J142" i="16"/>
  <c r="K142" i="16"/>
  <c r="D143" i="16"/>
  <c r="E143" i="16"/>
  <c r="F143" i="16"/>
  <c r="G143" i="16"/>
  <c r="H143" i="16"/>
  <c r="I143" i="16"/>
  <c r="J143" i="16"/>
  <c r="K143" i="16"/>
  <c r="D144" i="16"/>
  <c r="E144" i="16"/>
  <c r="F144" i="16"/>
  <c r="G144" i="16"/>
  <c r="H144" i="16"/>
  <c r="I144" i="16"/>
  <c r="J144" i="16"/>
  <c r="K144" i="16"/>
  <c r="D145" i="16"/>
  <c r="E145" i="16"/>
  <c r="F145" i="16"/>
  <c r="G145" i="16"/>
  <c r="H145" i="16"/>
  <c r="I145" i="16"/>
  <c r="J145" i="16"/>
  <c r="K145" i="16"/>
  <c r="C138" i="16"/>
  <c r="C139" i="16"/>
  <c r="C140" i="16"/>
  <c r="C141" i="16"/>
  <c r="C142" i="16"/>
  <c r="C143" i="16"/>
  <c r="C144" i="16"/>
  <c r="C145" i="16"/>
  <c r="C137" i="16"/>
  <c r="C22" i="20"/>
  <c r="J10" i="20" l="1"/>
  <c r="I10" i="20"/>
  <c r="H10" i="20"/>
  <c r="G10" i="20"/>
  <c r="F10" i="20"/>
  <c r="E10" i="20"/>
  <c r="D10" i="20"/>
  <c r="B10" i="20"/>
  <c r="J9" i="20"/>
  <c r="I9" i="20"/>
  <c r="H9" i="20"/>
  <c r="G9" i="20"/>
  <c r="F9" i="20"/>
  <c r="E9" i="20"/>
  <c r="D9" i="20"/>
  <c r="C9" i="20"/>
  <c r="B9" i="20"/>
  <c r="D22" i="20" l="1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B23" i="20"/>
  <c r="B22" i="20"/>
  <c r="F119" i="16" l="1"/>
  <c r="H119" i="16"/>
  <c r="J119" i="16"/>
  <c r="K119" i="16"/>
  <c r="I119" i="16"/>
  <c r="G119" i="16"/>
  <c r="E119" i="16"/>
  <c r="C119" i="16"/>
  <c r="G130" i="16"/>
  <c r="F130" i="16" s="1"/>
  <c r="F131" i="16" s="1"/>
  <c r="H130" i="16"/>
  <c r="H131" i="16"/>
  <c r="F128" i="16"/>
  <c r="F129" i="16" s="1"/>
  <c r="I130" i="16"/>
  <c r="I131" i="16" s="1"/>
  <c r="E131" i="16"/>
  <c r="D131" i="16"/>
  <c r="C131" i="16"/>
  <c r="G131" i="16"/>
  <c r="C129" i="16"/>
  <c r="D129" i="16"/>
  <c r="E129" i="16"/>
  <c r="G129" i="16"/>
  <c r="H129" i="16"/>
  <c r="I129" i="16"/>
  <c r="I128" i="16"/>
  <c r="H128" i="16"/>
  <c r="G128" i="16"/>
  <c r="C69" i="16" l="1"/>
  <c r="C7" i="16" l="1"/>
  <c r="I45" i="16" l="1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L20" i="19" l="1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17" i="19"/>
  <c r="I17" i="19"/>
  <c r="H17" i="19"/>
  <c r="G17" i="19"/>
  <c r="F17" i="19"/>
  <c r="E17" i="19"/>
  <c r="D17" i="19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13" i="19"/>
  <c r="J13" i="19"/>
  <c r="I13" i="19"/>
  <c r="H13" i="19"/>
  <c r="G13" i="19"/>
  <c r="F13" i="19"/>
  <c r="E13" i="19"/>
  <c r="L12" i="19"/>
  <c r="K12" i="19"/>
  <c r="J12" i="19"/>
  <c r="I12" i="19"/>
  <c r="H12" i="19"/>
  <c r="G12" i="19"/>
  <c r="F12" i="19"/>
  <c r="E12" i="19"/>
  <c r="D12" i="19"/>
  <c r="L11" i="19"/>
  <c r="K11" i="19"/>
  <c r="J11" i="19"/>
  <c r="I11" i="19"/>
  <c r="H11" i="19"/>
  <c r="G11" i="19"/>
  <c r="F11" i="19"/>
  <c r="E11" i="19"/>
  <c r="D11" i="19"/>
  <c r="L10" i="19"/>
  <c r="K10" i="19"/>
  <c r="J10" i="19"/>
  <c r="I10" i="19"/>
  <c r="H10" i="19"/>
  <c r="G10" i="19"/>
  <c r="F10" i="19"/>
  <c r="E10" i="19"/>
  <c r="D10" i="19"/>
  <c r="L9" i="19"/>
  <c r="K9" i="19"/>
  <c r="J9" i="19"/>
  <c r="I9" i="19"/>
  <c r="H9" i="19"/>
  <c r="G9" i="19"/>
  <c r="F9" i="19"/>
  <c r="E9" i="19"/>
  <c r="D9" i="19"/>
  <c r="L8" i="19"/>
  <c r="K8" i="19"/>
  <c r="J8" i="19"/>
  <c r="I8" i="19"/>
  <c r="H8" i="19"/>
  <c r="G8" i="19"/>
  <c r="F8" i="19"/>
  <c r="E8" i="19"/>
  <c r="D8" i="19"/>
  <c r="L7" i="19"/>
  <c r="E7" i="19"/>
  <c r="D7" i="19"/>
  <c r="C7" i="19"/>
  <c r="L6" i="19"/>
  <c r="K6" i="19"/>
  <c r="K7" i="19" s="1"/>
  <c r="J6" i="19"/>
  <c r="J7" i="19" s="1"/>
  <c r="I6" i="19"/>
  <c r="I7" i="19" s="1"/>
  <c r="H6" i="19"/>
  <c r="H7" i="19" s="1"/>
  <c r="G6" i="19"/>
  <c r="G7" i="19" s="1"/>
  <c r="F6" i="19"/>
  <c r="F7" i="19" s="1"/>
  <c r="E6" i="19"/>
  <c r="D6" i="19"/>
  <c r="L5" i="19"/>
  <c r="K5" i="19"/>
  <c r="J5" i="19"/>
  <c r="I5" i="19"/>
  <c r="H5" i="19"/>
  <c r="G5" i="19"/>
  <c r="F5" i="19"/>
  <c r="E5" i="19"/>
  <c r="D5" i="19"/>
  <c r="L4" i="19"/>
  <c r="K4" i="19"/>
  <c r="J4" i="19"/>
  <c r="I4" i="19"/>
  <c r="H4" i="19"/>
  <c r="G4" i="19"/>
  <c r="F4" i="19"/>
  <c r="E4" i="19"/>
  <c r="D4" i="19"/>
  <c r="L3" i="19"/>
  <c r="K3" i="19"/>
  <c r="J3" i="19"/>
  <c r="I3" i="19"/>
  <c r="H3" i="19"/>
  <c r="G3" i="19"/>
  <c r="F3" i="19"/>
  <c r="E3" i="19"/>
  <c r="D3" i="19"/>
  <c r="L44" i="16" l="1"/>
  <c r="L43" i="16"/>
  <c r="A34" i="16" l="1"/>
  <c r="A42" i="16" s="1"/>
  <c r="A50" i="16" s="1"/>
  <c r="A35" i="16"/>
  <c r="A36" i="16"/>
  <c r="A37" i="16"/>
  <c r="A45" i="16" s="1"/>
  <c r="A53" i="16" s="1"/>
  <c r="A33" i="16"/>
  <c r="A41" i="16" s="1"/>
  <c r="A49" i="16" s="1"/>
  <c r="F31" i="16"/>
  <c r="F39" i="16" s="1"/>
  <c r="F47" i="16" s="1"/>
  <c r="C32" i="16"/>
  <c r="C40" i="16" s="1"/>
  <c r="D32" i="16"/>
  <c r="D40" i="16" s="1"/>
  <c r="E32" i="16"/>
  <c r="E40" i="16" s="1"/>
  <c r="F32" i="16"/>
  <c r="F40" i="16" s="1"/>
  <c r="F48" i="16" s="1"/>
  <c r="G32" i="16"/>
  <c r="G40" i="16" s="1"/>
  <c r="G48" i="16" s="1"/>
  <c r="H32" i="16"/>
  <c r="H40" i="16" s="1"/>
  <c r="H48" i="16" s="1"/>
  <c r="I32" i="16"/>
  <c r="I40" i="16" s="1"/>
  <c r="I48" i="16" s="1"/>
  <c r="B32" i="16"/>
  <c r="B40" i="16" s="1"/>
  <c r="B31" i="16"/>
  <c r="B39" i="16" s="1"/>
  <c r="I49" i="16" l="1"/>
  <c r="G49" i="16"/>
  <c r="H49" i="16"/>
  <c r="F49" i="16"/>
  <c r="A44" i="16"/>
  <c r="A52" i="16" s="1"/>
  <c r="I52" i="16"/>
  <c r="R27" i="16" s="1"/>
  <c r="G52" i="16"/>
  <c r="P27" i="16" s="1"/>
  <c r="H52" i="16"/>
  <c r="Q27" i="16" s="1"/>
  <c r="F52" i="16"/>
  <c r="A43" i="16"/>
  <c r="A51" i="16" s="1"/>
  <c r="I51" i="16"/>
  <c r="G51" i="16"/>
  <c r="H51" i="16"/>
  <c r="F51" i="16"/>
  <c r="I50" i="16"/>
  <c r="R24" i="16" s="1"/>
  <c r="G50" i="16"/>
  <c r="P24" i="16" s="1"/>
  <c r="H50" i="16"/>
  <c r="F50" i="16"/>
  <c r="I53" i="16"/>
  <c r="G53" i="16"/>
  <c r="H53" i="16"/>
  <c r="F53" i="16"/>
  <c r="Q23" i="16"/>
  <c r="O23" i="16"/>
  <c r="P26" i="16"/>
  <c r="P23" i="16"/>
  <c r="Q26" i="16"/>
  <c r="O26" i="16"/>
  <c r="O24" i="16" l="1"/>
  <c r="Q24" i="16"/>
  <c r="O27" i="16"/>
  <c r="R23" i="16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I6" i="18" l="1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C55" i="18"/>
  <c r="C54" i="18"/>
  <c r="H36" i="18" s="1"/>
  <c r="G51" i="18"/>
  <c r="G50" i="18"/>
  <c r="G49" i="18"/>
  <c r="G48" i="18"/>
  <c r="G47" i="18"/>
  <c r="H46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18" i="16"/>
  <c r="C45" i="16" l="1"/>
  <c r="C44" i="16"/>
  <c r="C42" i="16"/>
  <c r="C43" i="16"/>
  <c r="C41" i="16"/>
  <c r="H113" i="16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H41" i="18"/>
  <c r="H51" i="18"/>
  <c r="J5" i="16" l="1"/>
  <c r="B6" i="16"/>
  <c r="D6" i="16"/>
  <c r="E6" i="16"/>
  <c r="F6" i="16"/>
  <c r="G6" i="16"/>
  <c r="H6" i="16"/>
  <c r="I6" i="16"/>
  <c r="J6" i="16"/>
  <c r="K6" i="16"/>
  <c r="L6" i="16"/>
  <c r="M6" i="16"/>
  <c r="B7" i="16"/>
  <c r="D7" i="16"/>
  <c r="D19" i="16" s="1"/>
  <c r="E7" i="16"/>
  <c r="B9" i="16"/>
  <c r="B10" i="16"/>
  <c r="A7" i="16"/>
  <c r="A8" i="16"/>
  <c r="A13" i="16"/>
  <c r="A4" i="16"/>
  <c r="B3" i="16"/>
  <c r="I18" i="16" l="1"/>
  <c r="F18" i="16"/>
  <c r="K18" i="16"/>
  <c r="B18" i="16"/>
  <c r="H18" i="16"/>
  <c r="G18" i="16"/>
  <c r="M18" i="16"/>
  <c r="E18" i="16"/>
  <c r="L18" i="16"/>
  <c r="J18" i="16"/>
  <c r="B8" i="16"/>
  <c r="B26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27" i="16"/>
  <c r="E28" i="16"/>
  <c r="E25" i="16"/>
  <c r="E26" i="16"/>
  <c r="B27" i="16"/>
  <c r="B28" i="16"/>
  <c r="B29" i="16"/>
  <c r="B37" i="16" s="1"/>
  <c r="B25" i="16"/>
  <c r="D25" i="16"/>
  <c r="D26" i="16"/>
  <c r="D27" i="16"/>
  <c r="D28" i="16"/>
  <c r="D29" i="16"/>
  <c r="B16" i="16"/>
  <c r="C16" i="16"/>
  <c r="D8" i="16"/>
  <c r="B19" i="16"/>
  <c r="B20" i="16" s="1"/>
  <c r="G7" i="16"/>
  <c r="I7" i="16"/>
  <c r="F7" i="16"/>
  <c r="E19" i="16"/>
  <c r="E20" i="16" s="1"/>
  <c r="E10" i="16"/>
  <c r="E9" i="16"/>
  <c r="D10" i="16"/>
  <c r="D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E37" i="16" l="1"/>
  <c r="B34" i="16"/>
  <c r="E33" i="16"/>
  <c r="B33" i="16"/>
  <c r="E34" i="16"/>
  <c r="D34" i="16"/>
  <c r="F34" i="16"/>
  <c r="D78" i="16" s="1"/>
  <c r="G34" i="16"/>
  <c r="E78" i="16" s="1"/>
  <c r="I34" i="16"/>
  <c r="G78" i="16" s="1"/>
  <c r="H34" i="16"/>
  <c r="F78" i="16" s="1"/>
  <c r="C34" i="16"/>
  <c r="E36" i="16"/>
  <c r="D33" i="16"/>
  <c r="H33" i="16"/>
  <c r="I33" i="16"/>
  <c r="G74" i="16" s="1"/>
  <c r="G75" i="16" s="1"/>
  <c r="G76" i="16" s="1"/>
  <c r="F33" i="16"/>
  <c r="G33" i="16"/>
  <c r="E74" i="16" s="1"/>
  <c r="E75" i="16" s="1"/>
  <c r="C33" i="16"/>
  <c r="E35" i="16"/>
  <c r="D36" i="16"/>
  <c r="F36" i="16"/>
  <c r="D82" i="16" s="1"/>
  <c r="H36" i="16"/>
  <c r="F82" i="16" s="1"/>
  <c r="G36" i="16"/>
  <c r="E82" i="16" s="1"/>
  <c r="I36" i="16"/>
  <c r="G82" i="16" s="1"/>
  <c r="C36" i="16"/>
  <c r="B36" i="16"/>
  <c r="D35" i="16"/>
  <c r="H35" i="16"/>
  <c r="I35" i="16"/>
  <c r="G35" i="16"/>
  <c r="F35" i="16"/>
  <c r="C35" i="16"/>
  <c r="D37" i="16"/>
  <c r="I37" i="16"/>
  <c r="G37" i="16"/>
  <c r="F37" i="16"/>
  <c r="H37" i="16"/>
  <c r="C37" i="16"/>
  <c r="B35" i="16"/>
  <c r="D20" i="16"/>
  <c r="C70" i="16" s="1"/>
  <c r="C20" i="16"/>
  <c r="C75" i="16"/>
  <c r="C89" i="16"/>
  <c r="C94" i="16" s="1"/>
  <c r="E89" i="16"/>
  <c r="E94" i="16" s="1"/>
  <c r="G8" i="16"/>
  <c r="B89" i="16"/>
  <c r="B94" i="16" s="1"/>
  <c r="D89" i="16"/>
  <c r="D94" i="16" s="1"/>
  <c r="G89" i="16"/>
  <c r="G94" i="16" s="1"/>
  <c r="F89" i="16"/>
  <c r="F94" i="16" s="1"/>
  <c r="H89" i="16"/>
  <c r="H94" i="16" s="1"/>
  <c r="D91" i="16"/>
  <c r="D95" i="16"/>
  <c r="D90" i="16"/>
  <c r="K89" i="16"/>
  <c r="C90" i="16"/>
  <c r="C95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F19" i="16"/>
  <c r="F20" i="16" s="1"/>
  <c r="F8" i="16"/>
  <c r="F10" i="16"/>
  <c r="F9" i="16"/>
  <c r="D11" i="16"/>
  <c r="F11" i="16"/>
  <c r="E11" i="16"/>
  <c r="B74" i="16"/>
  <c r="G85" i="16" l="1"/>
  <c r="D74" i="16"/>
  <c r="D75" i="16" s="1"/>
  <c r="F74" i="16"/>
  <c r="F85" i="16" s="1"/>
  <c r="F79" i="16"/>
  <c r="G79" i="16"/>
  <c r="G80" i="16" s="1"/>
  <c r="G84" i="16"/>
  <c r="E85" i="16"/>
  <c r="D79" i="16"/>
  <c r="E84" i="16"/>
  <c r="E79" i="16"/>
  <c r="J8" i="16"/>
  <c r="C96" i="16"/>
  <c r="E95" i="16"/>
  <c r="E91" i="16"/>
  <c r="E90" i="16"/>
  <c r="D96" i="16"/>
  <c r="D97" i="16"/>
  <c r="D98" i="16" s="1"/>
  <c r="K7" i="16"/>
  <c r="B63" i="16"/>
  <c r="B78" i="16" s="1"/>
  <c r="B82" i="16" s="1"/>
  <c r="D85" i="16" l="1"/>
  <c r="F84" i="16"/>
  <c r="D84" i="16"/>
  <c r="F75" i="16"/>
  <c r="D70" i="16"/>
  <c r="C91" i="16"/>
  <c r="E96" i="16"/>
  <c r="E97" i="16"/>
  <c r="E98" i="16" s="1"/>
  <c r="L7" i="16"/>
  <c r="K8" i="16"/>
  <c r="C97" i="16" l="1"/>
  <c r="C98" i="16" s="1"/>
  <c r="M7" i="16"/>
  <c r="L8" i="16"/>
  <c r="E58" i="16"/>
  <c r="F58" i="16"/>
  <c r="G58" i="16"/>
  <c r="H58" i="16"/>
  <c r="I58" i="16"/>
  <c r="J58" i="16"/>
  <c r="K58" i="16"/>
  <c r="L58" i="16"/>
  <c r="C58" i="16"/>
  <c r="B57" i="16"/>
  <c r="B61" i="16" s="1"/>
  <c r="M8" i="16" l="1"/>
  <c r="C79" i="16"/>
  <c r="C85" i="16"/>
  <c r="C84" i="16"/>
  <c r="G73" i="16"/>
  <c r="H62" i="16"/>
  <c r="G77" i="16" s="1"/>
  <c r="G81" i="16" s="1"/>
  <c r="F73" i="16"/>
  <c r="G62" i="16"/>
  <c r="F77" i="16" s="1"/>
  <c r="F81" i="16" s="1"/>
  <c r="K73" i="16"/>
  <c r="L62" i="16"/>
  <c r="K77" i="16" s="1"/>
  <c r="K81" i="16" s="1"/>
  <c r="C73" i="16"/>
  <c r="D62" i="16"/>
  <c r="C77" i="16" s="1"/>
  <c r="C81" i="16" s="1"/>
  <c r="J73" i="16"/>
  <c r="K62" i="16"/>
  <c r="J77" i="16" s="1"/>
  <c r="J81" i="16" s="1"/>
  <c r="I73" i="16"/>
  <c r="J62" i="16"/>
  <c r="I77" i="16" s="1"/>
  <c r="I81" i="16" s="1"/>
  <c r="H73" i="16"/>
  <c r="I62" i="16"/>
  <c r="H77" i="16" s="1"/>
  <c r="H81" i="16" s="1"/>
  <c r="E73" i="16"/>
  <c r="F62" i="16"/>
  <c r="E77" i="16" s="1"/>
  <c r="E81" i="16" s="1"/>
  <c r="C62" i="16"/>
  <c r="D73" i="16"/>
  <c r="E62" i="16"/>
  <c r="D77" i="16" s="1"/>
  <c r="D81" i="16" s="1"/>
  <c r="H115" i="15"/>
  <c r="D114" i="15"/>
  <c r="G111" i="15"/>
  <c r="F111" i="15"/>
  <c r="E111" i="15"/>
  <c r="D111" i="15"/>
  <c r="C111" i="15"/>
  <c r="A91" i="15" l="1"/>
  <c r="A50" i="15"/>
  <c r="B56" i="15"/>
  <c r="L49" i="15"/>
  <c r="M49" i="15"/>
  <c r="N49" i="15"/>
  <c r="O49" i="15"/>
  <c r="P49" i="15"/>
  <c r="Q49" i="15"/>
  <c r="R49" i="15"/>
  <c r="S49" i="15"/>
  <c r="C81" i="15" l="1"/>
  <c r="C90" i="15" s="1"/>
  <c r="D81" i="15"/>
  <c r="D90" i="15" s="1"/>
  <c r="E81" i="15"/>
  <c r="E90" i="15" s="1"/>
  <c r="F81" i="15"/>
  <c r="F90" i="15" s="1"/>
  <c r="G81" i="15"/>
  <c r="G90" i="15" s="1"/>
  <c r="H81" i="15"/>
  <c r="H90" i="15" s="1"/>
  <c r="I81" i="15"/>
  <c r="I90" i="15" s="1"/>
  <c r="J81" i="15"/>
  <c r="J90" i="15" s="1"/>
  <c r="K81" i="15"/>
  <c r="K90" i="15" s="1"/>
  <c r="L81" i="15"/>
  <c r="L90" i="15" s="1"/>
  <c r="B79" i="15"/>
  <c r="B88" i="15" s="1"/>
  <c r="B97" i="15" s="1"/>
  <c r="B66" i="15"/>
  <c r="L59" i="15"/>
  <c r="M59" i="15"/>
  <c r="N59" i="15"/>
  <c r="O59" i="15"/>
  <c r="P59" i="15"/>
  <c r="Q59" i="15"/>
  <c r="R59" i="15"/>
  <c r="S59" i="15"/>
  <c r="I13" i="15"/>
  <c r="I12" i="15"/>
  <c r="D14" i="15"/>
  <c r="D9" i="15"/>
  <c r="J11" i="15" l="1"/>
  <c r="C29" i="15"/>
  <c r="C30" i="15" s="1"/>
  <c r="J12" i="15"/>
  <c r="J13" i="15"/>
  <c r="D15" i="15"/>
  <c r="D16" i="15" s="1"/>
  <c r="C21" i="15"/>
  <c r="C25" i="15"/>
  <c r="C26" i="15" s="1"/>
  <c r="B25" i="15"/>
  <c r="D25" i="15" l="1"/>
  <c r="C22" i="15"/>
  <c r="D29" i="15"/>
  <c r="B21" i="15"/>
  <c r="C23" i="15" s="1"/>
  <c r="C24" i="15" s="1"/>
  <c r="B29" i="15"/>
  <c r="C31" i="15" s="1"/>
  <c r="C32" i="15" s="1"/>
  <c r="D21" i="15"/>
  <c r="E21" i="15" s="1"/>
  <c r="C27" i="15"/>
  <c r="C28" i="15" s="1"/>
  <c r="A21" i="14"/>
  <c r="A31" i="14" s="1"/>
  <c r="A41" i="14" s="1"/>
  <c r="A51" i="14" s="1"/>
  <c r="A61" i="14" s="1"/>
  <c r="N3" i="14"/>
  <c r="A22" i="9"/>
  <c r="F21" i="15" l="1"/>
  <c r="F22" i="15" s="1"/>
  <c r="E22" i="15"/>
  <c r="E29" i="15"/>
  <c r="D26" i="15"/>
  <c r="D27" i="15"/>
  <c r="D28" i="15" s="1"/>
  <c r="D23" i="15"/>
  <c r="D22" i="15"/>
  <c r="D31" i="15"/>
  <c r="D32" i="15" s="1"/>
  <c r="D30" i="15"/>
  <c r="E25" i="15"/>
  <c r="E26" i="15" s="1"/>
  <c r="F25" i="15"/>
  <c r="F26" i="15" s="1"/>
  <c r="E23" i="15"/>
  <c r="E24" i="15" s="1"/>
  <c r="D24" i="15" l="1"/>
  <c r="D113" i="15"/>
  <c r="C108" i="15" s="1"/>
  <c r="E27" i="15"/>
  <c r="E28" i="15" s="1"/>
  <c r="E30" i="15"/>
  <c r="F29" i="15"/>
  <c r="E31" i="15"/>
  <c r="E32" i="15" s="1"/>
  <c r="G25" i="15"/>
  <c r="G26" i="15" s="1"/>
  <c r="F27" i="15"/>
  <c r="F28" i="15" s="1"/>
  <c r="G21" i="15"/>
  <c r="G22" i="15" s="1"/>
  <c r="F23" i="15"/>
  <c r="F24" i="15" s="1"/>
  <c r="D112" i="15" l="1"/>
  <c r="D115" i="15"/>
  <c r="C112" i="15"/>
  <c r="C115" i="15" s="1"/>
  <c r="G29" i="15"/>
  <c r="F30" i="15"/>
  <c r="F31" i="15"/>
  <c r="F32" i="15" s="1"/>
  <c r="H25" i="15"/>
  <c r="H26" i="15" s="1"/>
  <c r="G27" i="15"/>
  <c r="G28" i="15" s="1"/>
  <c r="G23" i="15"/>
  <c r="G24" i="15" s="1"/>
  <c r="H21" i="15"/>
  <c r="H22" i="15" s="1"/>
  <c r="E115" i="15" l="1"/>
  <c r="D116" i="15"/>
  <c r="D117" i="15" s="1"/>
  <c r="E112" i="15"/>
  <c r="D110" i="15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12" i="15" l="1"/>
  <c r="E113" i="15"/>
  <c r="E114" i="15" s="1"/>
  <c r="F115" i="15"/>
  <c r="E116" i="15"/>
  <c r="E117" i="15" s="1"/>
  <c r="I29" i="15"/>
  <c r="H30" i="15"/>
  <c r="H31" i="15"/>
  <c r="H32" i="15" s="1"/>
  <c r="I27" i="15"/>
  <c r="I28" i="15" s="1"/>
  <c r="J25" i="15"/>
  <c r="J26" i="15" s="1"/>
  <c r="J21" i="15"/>
  <c r="J22" i="15" s="1"/>
  <c r="I23" i="15"/>
  <c r="I24" i="15" s="1"/>
  <c r="G115" i="15" l="1"/>
  <c r="F116" i="15"/>
  <c r="F117" i="15" s="1"/>
  <c r="F113" i="15"/>
  <c r="F114" i="15" s="1"/>
  <c r="G112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G113" i="15" l="1"/>
  <c r="G114" i="15" s="1"/>
  <c r="G116" i="15"/>
  <c r="G117" i="15" s="1"/>
  <c r="C107" i="15"/>
  <c r="H112" i="15" s="1"/>
  <c r="I112" i="15" s="1"/>
  <c r="K29" i="15"/>
  <c r="J30" i="15"/>
  <c r="J31" i="15"/>
  <c r="J32" i="15" s="1"/>
  <c r="K23" i="15"/>
  <c r="K24" i="15" s="1"/>
  <c r="N21" i="15"/>
  <c r="K27" i="15"/>
  <c r="K28" i="15" s="1"/>
  <c r="N25" i="15"/>
  <c r="K30" i="15" l="1"/>
  <c r="N29" i="15"/>
  <c r="K31" i="15"/>
  <c r="K32" i="15" s="1"/>
  <c r="D4" i="13" l="1"/>
  <c r="B35" i="13"/>
  <c r="B34" i="13"/>
  <c r="B33" i="13"/>
  <c r="B33" i="12" l="1"/>
  <c r="B34" i="12"/>
  <c r="B35" i="12"/>
  <c r="D4" i="12"/>
  <c r="BL22" i="9" l="1"/>
  <c r="L19" i="10" l="1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12" i="10"/>
  <c r="J12" i="10"/>
  <c r="I12" i="10"/>
  <c r="H12" i="10"/>
  <c r="G12" i="10"/>
  <c r="F12" i="10"/>
  <c r="E12" i="10"/>
  <c r="L11" i="10"/>
  <c r="K11" i="10"/>
  <c r="J11" i="10"/>
  <c r="I11" i="10"/>
  <c r="H11" i="10"/>
  <c r="G11" i="10"/>
  <c r="F11" i="10"/>
  <c r="E11" i="10"/>
  <c r="D11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C6" i="10"/>
  <c r="L5" i="10"/>
  <c r="L6" i="10" s="1"/>
  <c r="K5" i="10"/>
  <c r="K6" i="10" s="1"/>
  <c r="J5" i="10"/>
  <c r="J6" i="10" s="1"/>
  <c r="I5" i="10"/>
  <c r="I6" i="10" s="1"/>
  <c r="H5" i="10"/>
  <c r="H6" i="10" s="1"/>
  <c r="G5" i="10"/>
  <c r="G6" i="10" s="1"/>
  <c r="F5" i="10"/>
  <c r="F6" i="10" s="1"/>
  <c r="E5" i="10"/>
  <c r="E6" i="10" s="1"/>
  <c r="D5" i="10"/>
  <c r="D6" i="10" s="1"/>
  <c r="L4" i="10"/>
  <c r="K4" i="10"/>
  <c r="J4" i="10"/>
  <c r="I4" i="10"/>
  <c r="H4" i="10"/>
  <c r="G4" i="10"/>
  <c r="F4" i="10"/>
  <c r="E4" i="10"/>
  <c r="D4" i="10"/>
  <c r="L3" i="10"/>
  <c r="K3" i="10"/>
  <c r="J3" i="10"/>
  <c r="I3" i="10"/>
  <c r="H3" i="10"/>
  <c r="G3" i="10"/>
  <c r="F3" i="10"/>
  <c r="E3" i="10"/>
  <c r="D3" i="10"/>
  <c r="AG64" i="9" l="1"/>
  <c r="AO64" i="9" s="1"/>
  <c r="AW64" i="9" s="1"/>
  <c r="BE64" i="9" s="1"/>
  <c r="AG63" i="9"/>
  <c r="AO63" i="9" s="1"/>
  <c r="AW63" i="9" s="1"/>
  <c r="BE63" i="9" s="1"/>
  <c r="AG58" i="9"/>
  <c r="AO58" i="9" s="1"/>
  <c r="AW58" i="9" s="1"/>
  <c r="BE58" i="9" s="1"/>
  <c r="AG57" i="9"/>
  <c r="AO57" i="9" s="1"/>
  <c r="AW57" i="9" s="1"/>
  <c r="BE57" i="9" s="1"/>
  <c r="AG50" i="9"/>
  <c r="AO50" i="9" s="1"/>
  <c r="AW50" i="9" s="1"/>
  <c r="BE50" i="9" s="1"/>
  <c r="AG44" i="9"/>
  <c r="AO44" i="9" s="1"/>
  <c r="AW44" i="9" s="1"/>
  <c r="BE44" i="9" s="1"/>
  <c r="AG41" i="9"/>
  <c r="AO41" i="9" s="1"/>
  <c r="AW41" i="9" s="1"/>
  <c r="BE41" i="9" s="1"/>
  <c r="AG34" i="9"/>
  <c r="AO34" i="9" s="1"/>
  <c r="AW34" i="9" s="1"/>
  <c r="BE34" i="9" s="1"/>
  <c r="AG31" i="9"/>
  <c r="AO31" i="9" s="1"/>
  <c r="AW31" i="9" s="1"/>
  <c r="BE31" i="9" s="1"/>
  <c r="AG26" i="9"/>
  <c r="AO26" i="9" s="1"/>
  <c r="AW26" i="9" s="1"/>
  <c r="BE26" i="9" s="1"/>
  <c r="AG24" i="9"/>
  <c r="AO24" i="9" s="1"/>
  <c r="AW24" i="9" s="1"/>
  <c r="BE24" i="9" s="1"/>
  <c r="AV22" i="9"/>
  <c r="I68" i="9"/>
  <c r="Q68" i="9" s="1"/>
  <c r="Y68" i="9" s="1"/>
  <c r="AG68" i="9" s="1"/>
  <c r="AO68" i="9" s="1"/>
  <c r="AW68" i="9" s="1"/>
  <c r="BE68" i="9" s="1"/>
  <c r="I67" i="9"/>
  <c r="Q67" i="9" s="1"/>
  <c r="Y67" i="9" s="1"/>
  <c r="AG67" i="9" s="1"/>
  <c r="AO67" i="9" s="1"/>
  <c r="AW67" i="9" s="1"/>
  <c r="BE67" i="9" s="1"/>
  <c r="I66" i="9"/>
  <c r="Q66" i="9" s="1"/>
  <c r="Y66" i="9" s="1"/>
  <c r="AG66" i="9" s="1"/>
  <c r="AO66" i="9" s="1"/>
  <c r="AW66" i="9" s="1"/>
  <c r="BE66" i="9" s="1"/>
  <c r="I65" i="9"/>
  <c r="Q65" i="9" s="1"/>
  <c r="Y65" i="9" s="1"/>
  <c r="AG65" i="9" s="1"/>
  <c r="AO65" i="9" s="1"/>
  <c r="AW65" i="9" s="1"/>
  <c r="BE65" i="9" s="1"/>
  <c r="I64" i="9"/>
  <c r="Q64" i="9" s="1"/>
  <c r="Y64" i="9" s="1"/>
  <c r="I63" i="9"/>
  <c r="Q63" i="9" s="1"/>
  <c r="Y63" i="9" s="1"/>
  <c r="I62" i="9"/>
  <c r="Q62" i="9" s="1"/>
  <c r="Y62" i="9" s="1"/>
  <c r="AG62" i="9" s="1"/>
  <c r="AO62" i="9" s="1"/>
  <c r="AW62" i="9" s="1"/>
  <c r="BE62" i="9" s="1"/>
  <c r="Q61" i="9"/>
  <c r="Y61" i="9" s="1"/>
  <c r="AG61" i="9" s="1"/>
  <c r="AO61" i="9" s="1"/>
  <c r="AW61" i="9" s="1"/>
  <c r="BE61" i="9" s="1"/>
  <c r="I61" i="9"/>
  <c r="I60" i="9"/>
  <c r="Q60" i="9" s="1"/>
  <c r="Y60" i="9" s="1"/>
  <c r="AG60" i="9" s="1"/>
  <c r="AO60" i="9" s="1"/>
  <c r="AW60" i="9" s="1"/>
  <c r="BE60" i="9" s="1"/>
  <c r="Q59" i="9"/>
  <c r="Y59" i="9" s="1"/>
  <c r="AG59" i="9" s="1"/>
  <c r="AO59" i="9" s="1"/>
  <c r="AW59" i="9" s="1"/>
  <c r="BE59" i="9" s="1"/>
  <c r="I59" i="9"/>
  <c r="I58" i="9"/>
  <c r="Q58" i="9" s="1"/>
  <c r="Y58" i="9" s="1"/>
  <c r="I57" i="9"/>
  <c r="Q57" i="9" s="1"/>
  <c r="Y57" i="9" s="1"/>
  <c r="I56" i="9"/>
  <c r="Q56" i="9" s="1"/>
  <c r="Y56" i="9" s="1"/>
  <c r="AG56" i="9" s="1"/>
  <c r="AO56" i="9" s="1"/>
  <c r="AW56" i="9" s="1"/>
  <c r="BE56" i="9" s="1"/>
  <c r="I55" i="9"/>
  <c r="Q55" i="9" s="1"/>
  <c r="Y55" i="9" s="1"/>
  <c r="AG55" i="9" s="1"/>
  <c r="AO55" i="9" s="1"/>
  <c r="AW55" i="9" s="1"/>
  <c r="BE55" i="9" s="1"/>
  <c r="I54" i="9"/>
  <c r="Q54" i="9" s="1"/>
  <c r="Y54" i="9" s="1"/>
  <c r="AG54" i="9" s="1"/>
  <c r="AO54" i="9" s="1"/>
  <c r="AW54" i="9" s="1"/>
  <c r="BE54" i="9" s="1"/>
  <c r="I53" i="9"/>
  <c r="Q53" i="9" s="1"/>
  <c r="Y53" i="9" s="1"/>
  <c r="AG53" i="9" s="1"/>
  <c r="AO53" i="9" s="1"/>
  <c r="AW53" i="9" s="1"/>
  <c r="BE53" i="9" s="1"/>
  <c r="I52" i="9"/>
  <c r="Q52" i="9" s="1"/>
  <c r="Y52" i="9" s="1"/>
  <c r="AG52" i="9" s="1"/>
  <c r="AO52" i="9" s="1"/>
  <c r="AW52" i="9" s="1"/>
  <c r="BE52" i="9" s="1"/>
  <c r="I51" i="9"/>
  <c r="Q51" i="9" s="1"/>
  <c r="Y51" i="9" s="1"/>
  <c r="AG51" i="9" s="1"/>
  <c r="AO51" i="9" s="1"/>
  <c r="AW51" i="9" s="1"/>
  <c r="BE51" i="9" s="1"/>
  <c r="I50" i="9"/>
  <c r="Q50" i="9" s="1"/>
  <c r="Y50" i="9" s="1"/>
  <c r="I49" i="9"/>
  <c r="Q49" i="9" s="1"/>
  <c r="Y49" i="9" s="1"/>
  <c r="AG49" i="9" s="1"/>
  <c r="AO49" i="9" s="1"/>
  <c r="AW49" i="9" s="1"/>
  <c r="BE49" i="9" s="1"/>
  <c r="I48" i="9"/>
  <c r="Q48" i="9" s="1"/>
  <c r="Y48" i="9" s="1"/>
  <c r="AG48" i="9" s="1"/>
  <c r="AO48" i="9" s="1"/>
  <c r="AW48" i="9" s="1"/>
  <c r="BE48" i="9" s="1"/>
  <c r="I47" i="9"/>
  <c r="Q47" i="9" s="1"/>
  <c r="Y47" i="9" s="1"/>
  <c r="AG47" i="9" s="1"/>
  <c r="AO47" i="9" s="1"/>
  <c r="AW47" i="9" s="1"/>
  <c r="BE47" i="9" s="1"/>
  <c r="I46" i="9"/>
  <c r="Q46" i="9" s="1"/>
  <c r="Y46" i="9" s="1"/>
  <c r="AG46" i="9" s="1"/>
  <c r="AO46" i="9" s="1"/>
  <c r="AW46" i="9" s="1"/>
  <c r="BE46" i="9" s="1"/>
  <c r="I45" i="9"/>
  <c r="Q45" i="9" s="1"/>
  <c r="Y45" i="9" s="1"/>
  <c r="AG45" i="9" s="1"/>
  <c r="AO45" i="9" s="1"/>
  <c r="AW45" i="9" s="1"/>
  <c r="BE45" i="9" s="1"/>
  <c r="I44" i="9"/>
  <c r="Q44" i="9" s="1"/>
  <c r="Y44" i="9" s="1"/>
  <c r="I43" i="9"/>
  <c r="Q43" i="9" s="1"/>
  <c r="Y43" i="9" s="1"/>
  <c r="AG43" i="9" s="1"/>
  <c r="AO43" i="9" s="1"/>
  <c r="AW43" i="9" s="1"/>
  <c r="BE43" i="9" s="1"/>
  <c r="I42" i="9"/>
  <c r="Q42" i="9" s="1"/>
  <c r="Y42" i="9" s="1"/>
  <c r="AG42" i="9" s="1"/>
  <c r="AO42" i="9" s="1"/>
  <c r="AW42" i="9" s="1"/>
  <c r="BE42" i="9" s="1"/>
  <c r="I41" i="9"/>
  <c r="Q41" i="9" s="1"/>
  <c r="Y41" i="9" s="1"/>
  <c r="I40" i="9"/>
  <c r="Q40" i="9" s="1"/>
  <c r="Y40" i="9" s="1"/>
  <c r="AG40" i="9" s="1"/>
  <c r="AO40" i="9" s="1"/>
  <c r="AW40" i="9" s="1"/>
  <c r="BE40" i="9" s="1"/>
  <c r="Q39" i="9"/>
  <c r="Y39" i="9" s="1"/>
  <c r="AG39" i="9" s="1"/>
  <c r="AO39" i="9" s="1"/>
  <c r="AW39" i="9" s="1"/>
  <c r="BE39" i="9" s="1"/>
  <c r="I39" i="9"/>
  <c r="I38" i="9"/>
  <c r="Q38" i="9" s="1"/>
  <c r="Y38" i="9" s="1"/>
  <c r="AG38" i="9" s="1"/>
  <c r="AO38" i="9" s="1"/>
  <c r="AW38" i="9" s="1"/>
  <c r="BE38" i="9" s="1"/>
  <c r="I37" i="9"/>
  <c r="Q37" i="9" s="1"/>
  <c r="Y37" i="9" s="1"/>
  <c r="AG37" i="9" s="1"/>
  <c r="AO37" i="9" s="1"/>
  <c r="AW37" i="9" s="1"/>
  <c r="BE37" i="9" s="1"/>
  <c r="I36" i="9"/>
  <c r="Q36" i="9" s="1"/>
  <c r="Y36" i="9" s="1"/>
  <c r="AG36" i="9" s="1"/>
  <c r="AO36" i="9" s="1"/>
  <c r="AW36" i="9" s="1"/>
  <c r="BE36" i="9" s="1"/>
  <c r="I35" i="9"/>
  <c r="Q35" i="9" s="1"/>
  <c r="Y35" i="9" s="1"/>
  <c r="AG35" i="9" s="1"/>
  <c r="AO35" i="9" s="1"/>
  <c r="AW35" i="9" s="1"/>
  <c r="BE35" i="9" s="1"/>
  <c r="I34" i="9"/>
  <c r="Q34" i="9" s="1"/>
  <c r="Y34" i="9" s="1"/>
  <c r="I33" i="9"/>
  <c r="Q33" i="9" s="1"/>
  <c r="Y33" i="9" s="1"/>
  <c r="AG33" i="9" s="1"/>
  <c r="AO33" i="9" s="1"/>
  <c r="AW33" i="9" s="1"/>
  <c r="BE33" i="9" s="1"/>
  <c r="I32" i="9"/>
  <c r="Q32" i="9" s="1"/>
  <c r="Y32" i="9" s="1"/>
  <c r="AG32" i="9" s="1"/>
  <c r="AO32" i="9" s="1"/>
  <c r="AW32" i="9" s="1"/>
  <c r="BE32" i="9" s="1"/>
  <c r="I31" i="9"/>
  <c r="Q31" i="9" s="1"/>
  <c r="Y31" i="9" s="1"/>
  <c r="I30" i="9"/>
  <c r="Q30" i="9" s="1"/>
  <c r="Y30" i="9" s="1"/>
  <c r="AG30" i="9" s="1"/>
  <c r="AO30" i="9" s="1"/>
  <c r="AW30" i="9" s="1"/>
  <c r="BE30" i="9" s="1"/>
  <c r="I29" i="9"/>
  <c r="Q29" i="9" s="1"/>
  <c r="Y29" i="9" s="1"/>
  <c r="AG29" i="9" s="1"/>
  <c r="AO29" i="9" s="1"/>
  <c r="AW29" i="9" s="1"/>
  <c r="BE29" i="9" s="1"/>
  <c r="I28" i="9"/>
  <c r="Q28" i="9" s="1"/>
  <c r="Y28" i="9" s="1"/>
  <c r="AG28" i="9" s="1"/>
  <c r="AO28" i="9" s="1"/>
  <c r="I27" i="9"/>
  <c r="Q27" i="9" s="1"/>
  <c r="Y27" i="9" s="1"/>
  <c r="AG27" i="9" s="1"/>
  <c r="AO27" i="9" s="1"/>
  <c r="AW27" i="9" s="1"/>
  <c r="BE27" i="9" s="1"/>
  <c r="I26" i="9"/>
  <c r="Q26" i="9" s="1"/>
  <c r="Y26" i="9" s="1"/>
  <c r="I25" i="9"/>
  <c r="Q25" i="9" s="1"/>
  <c r="Y25" i="9" s="1"/>
  <c r="AG25" i="9" s="1"/>
  <c r="I24" i="9"/>
  <c r="Q24" i="9" s="1"/>
  <c r="Y24" i="9" s="1"/>
  <c r="I23" i="9"/>
  <c r="Q23" i="9" s="1"/>
  <c r="Y23" i="9" s="1"/>
  <c r="AG23" i="9" s="1"/>
  <c r="AO23" i="9" s="1"/>
  <c r="AW23" i="9" s="1"/>
  <c r="BE23" i="9" s="1"/>
  <c r="AF22" i="9"/>
  <c r="O22" i="9"/>
  <c r="W22" i="9" s="1"/>
  <c r="AE22" i="9" s="1"/>
  <c r="AM22" i="9" s="1"/>
  <c r="AU22" i="9" s="1"/>
  <c r="BC22" i="9" s="1"/>
  <c r="BK22" i="9" s="1"/>
  <c r="M22" i="9"/>
  <c r="U22" i="9" s="1"/>
  <c r="AC22" i="9" s="1"/>
  <c r="AK22" i="9" s="1"/>
  <c r="AS22" i="9" s="1"/>
  <c r="BA22" i="9" s="1"/>
  <c r="BI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AZ22" i="9" s="1"/>
  <c r="BH22" i="9" s="1"/>
  <c r="C22" i="9"/>
  <c r="K22" i="9" s="1"/>
  <c r="S22" i="9" s="1"/>
  <c r="AA22" i="9" s="1"/>
  <c r="AI22" i="9" s="1"/>
  <c r="B22" i="9"/>
  <c r="C24" i="9"/>
  <c r="G28" i="9"/>
  <c r="E27" i="9"/>
  <c r="B23" i="9"/>
  <c r="G30" i="9"/>
  <c r="F31" i="9"/>
  <c r="E23" i="9"/>
  <c r="C23" i="9"/>
  <c r="D29" i="9"/>
  <c r="E31" i="9"/>
  <c r="B28" i="9"/>
  <c r="E29" i="9"/>
  <c r="F25" i="9"/>
  <c r="G23" i="9"/>
  <c r="G25" i="9"/>
  <c r="F29" i="9"/>
  <c r="B31" i="9"/>
  <c r="F26" i="9"/>
  <c r="G27" i="9"/>
  <c r="F28" i="9"/>
  <c r="C31" i="9"/>
  <c r="E24" i="9"/>
  <c r="F24" i="9"/>
  <c r="G24" i="9"/>
  <c r="D31" i="9"/>
  <c r="F30" i="9"/>
  <c r="B25" i="9"/>
  <c r="C30" i="9"/>
  <c r="E26" i="9"/>
  <c r="D25" i="9"/>
  <c r="D23" i="9"/>
  <c r="G31" i="9"/>
  <c r="E28" i="9"/>
  <c r="D24" i="9"/>
  <c r="C26" i="9"/>
  <c r="C27" i="9"/>
  <c r="F27" i="9"/>
  <c r="F23" i="9"/>
  <c r="D27" i="9"/>
  <c r="C29" i="9"/>
  <c r="B27" i="9"/>
  <c r="D26" i="9"/>
  <c r="B29" i="9"/>
  <c r="G26" i="9"/>
  <c r="E30" i="9"/>
  <c r="C28" i="9"/>
  <c r="G29" i="9"/>
  <c r="B26" i="9"/>
  <c r="B24" i="9"/>
  <c r="B30" i="9"/>
  <c r="D30" i="9"/>
  <c r="C25" i="9"/>
  <c r="E25" i="9"/>
  <c r="D28" i="9"/>
  <c r="R24" i="9" l="1"/>
  <c r="R23" i="9"/>
  <c r="AW28" i="9"/>
  <c r="BE28" i="9" s="1"/>
  <c r="AO25" i="9"/>
  <c r="J22" i="9"/>
  <c r="R22" i="9" s="1"/>
  <c r="Z22" i="9" s="1"/>
  <c r="AH22" i="9" s="1"/>
  <c r="AP22" i="9" s="1"/>
  <c r="A4" i="14" a="1"/>
  <c r="T24" i="9"/>
  <c r="W23" i="9"/>
  <c r="R25" i="9"/>
  <c r="U23" i="9"/>
  <c r="V28" i="9"/>
  <c r="AL28" i="9" s="1"/>
  <c r="BB28" i="9" s="1"/>
  <c r="T27" i="9"/>
  <c r="T30" i="9"/>
  <c r="U30" i="9"/>
  <c r="S27" i="9"/>
  <c r="U28" i="9"/>
  <c r="V25" i="9"/>
  <c r="V30" i="9"/>
  <c r="AL30" i="9" s="1"/>
  <c r="V31" i="9"/>
  <c r="AL31" i="9" s="1"/>
  <c r="BB31" i="9" s="1"/>
  <c r="T28" i="9"/>
  <c r="V29" i="9"/>
  <c r="R30" i="9"/>
  <c r="W26" i="9"/>
  <c r="S31" i="9"/>
  <c r="K20" i="9" s="1"/>
  <c r="W31" i="9"/>
  <c r="G20" i="9" s="1"/>
  <c r="U29" i="9"/>
  <c r="T31" i="9"/>
  <c r="W30" i="9"/>
  <c r="W27" i="9"/>
  <c r="V23" i="9"/>
  <c r="R29" i="9"/>
  <c r="S23" i="9"/>
  <c r="T23" i="9"/>
  <c r="R28" i="9"/>
  <c r="S30" i="9"/>
  <c r="W24" i="9"/>
  <c r="S25" i="9"/>
  <c r="AI25" i="9" s="1"/>
  <c r="U25" i="9"/>
  <c r="S28" i="9"/>
  <c r="W25" i="9"/>
  <c r="R26" i="9"/>
  <c r="AH26" i="9" s="1"/>
  <c r="S29" i="9"/>
  <c r="AI29" i="9" s="1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AJ29" i="9" s="1"/>
  <c r="S26" i="9"/>
  <c r="U24" i="9"/>
  <c r="W28" i="9"/>
  <c r="AM28" i="9" s="1"/>
  <c r="BC28" i="9" s="1"/>
  <c r="R31" i="9"/>
  <c r="B21" i="9"/>
  <c r="J21" i="9" s="1"/>
  <c r="D21" i="9"/>
  <c r="L21" i="9" s="1"/>
  <c r="AQ22" i="9"/>
  <c r="AY22" i="9" s="1"/>
  <c r="BG22" i="9" s="1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AC24" i="9" s="1"/>
  <c r="N25" i="9"/>
  <c r="O26" i="9"/>
  <c r="O27" i="9"/>
  <c r="K30" i="9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AC30" i="9" s="1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BB22" i="9" s="1"/>
  <c r="BJ22" i="9" s="1"/>
  <c r="F21" i="9"/>
  <c r="N21" i="9" s="1"/>
  <c r="A4" i="14" l="1"/>
  <c r="A14" i="14" s="1"/>
  <c r="A24" i="14" s="1"/>
  <c r="A34" i="14" s="1"/>
  <c r="A44" i="14" s="1"/>
  <c r="A54" i="14" s="1"/>
  <c r="B39" i="15" s="1"/>
  <c r="G4" i="14"/>
  <c r="G14" i="14" s="1"/>
  <c r="G24" i="14" s="1"/>
  <c r="G34" i="14" s="1"/>
  <c r="G44" i="14" s="1"/>
  <c r="G54" i="14" s="1"/>
  <c r="H39" i="15" s="1"/>
  <c r="D9" i="14"/>
  <c r="H10" i="14"/>
  <c r="I5" i="14"/>
  <c r="H5" i="14"/>
  <c r="C6" i="14"/>
  <c r="A6" i="14"/>
  <c r="A16" i="14" s="1"/>
  <c r="A26" i="14" s="1"/>
  <c r="A36" i="14" s="1"/>
  <c r="A46" i="14" s="1"/>
  <c r="A56" i="14" s="1"/>
  <c r="B41" i="15" s="1"/>
  <c r="G6" i="14"/>
  <c r="G5" i="14"/>
  <c r="D10" i="14"/>
  <c r="H7" i="14"/>
  <c r="B9" i="14"/>
  <c r="C4" i="14"/>
  <c r="C14" i="14" s="1"/>
  <c r="C24" i="14" s="1"/>
  <c r="C34" i="14" s="1"/>
  <c r="C44" i="14" s="1"/>
  <c r="C54" i="14" s="1"/>
  <c r="D39" i="15" s="1"/>
  <c r="J4" i="14"/>
  <c r="J14" i="14" s="1"/>
  <c r="J24" i="14" s="1"/>
  <c r="J34" i="14" s="1"/>
  <c r="J44" i="14" s="1"/>
  <c r="J54" i="14" s="1"/>
  <c r="K39" i="15" s="1"/>
  <c r="B10" i="14"/>
  <c r="E4" i="14"/>
  <c r="E14" i="14" s="1"/>
  <c r="E24" i="14" s="1"/>
  <c r="E34" i="14" s="1"/>
  <c r="E44" i="14" s="1"/>
  <c r="E54" i="14" s="1"/>
  <c r="F39" i="15" s="1"/>
  <c r="A5" i="14"/>
  <c r="A15" i="14" s="1"/>
  <c r="A25" i="14" s="1"/>
  <c r="A35" i="14" s="1"/>
  <c r="A45" i="14" s="1"/>
  <c r="A55" i="14" s="1"/>
  <c r="B40" i="15" s="1"/>
  <c r="I4" i="14"/>
  <c r="I14" i="14" s="1"/>
  <c r="I24" i="14" s="1"/>
  <c r="I34" i="14" s="1"/>
  <c r="I44" i="14" s="1"/>
  <c r="I54" i="14" s="1"/>
  <c r="J39" i="15" s="1"/>
  <c r="H8" i="14"/>
  <c r="B6" i="14"/>
  <c r="F7" i="14"/>
  <c r="F10" i="14"/>
  <c r="B4" i="14"/>
  <c r="B14" i="14" s="1"/>
  <c r="B24" i="14" s="1"/>
  <c r="B34" i="14" s="1"/>
  <c r="B44" i="14" s="1"/>
  <c r="B54" i="14" s="1"/>
  <c r="C39" i="15" s="1"/>
  <c r="F8" i="14"/>
  <c r="J9" i="14"/>
  <c r="E10" i="14"/>
  <c r="D6" i="14"/>
  <c r="F4" i="14"/>
  <c r="F14" i="14" s="1"/>
  <c r="F24" i="14" s="1"/>
  <c r="F34" i="14" s="1"/>
  <c r="F44" i="14" s="1"/>
  <c r="F54" i="14" s="1"/>
  <c r="G39" i="15" s="1"/>
  <c r="J5" i="14"/>
  <c r="H9" i="14"/>
  <c r="F9" i="14"/>
  <c r="J6" i="14"/>
  <c r="D8" i="14"/>
  <c r="G9" i="14"/>
  <c r="H4" i="14"/>
  <c r="H14" i="14" s="1"/>
  <c r="H24" i="14" s="1"/>
  <c r="H34" i="14" s="1"/>
  <c r="H44" i="14" s="1"/>
  <c r="H54" i="14" s="1"/>
  <c r="I39" i="15" s="1"/>
  <c r="A10" i="14"/>
  <c r="A20" i="14" s="1"/>
  <c r="A30" i="14" s="1"/>
  <c r="A40" i="14" s="1"/>
  <c r="A50" i="14" s="1"/>
  <c r="A60" i="14" s="1"/>
  <c r="B45" i="15" s="1"/>
  <c r="D4" i="14"/>
  <c r="D14" i="14" s="1"/>
  <c r="D24" i="14" s="1"/>
  <c r="D34" i="14" s="1"/>
  <c r="D44" i="14" s="1"/>
  <c r="D54" i="14" s="1"/>
  <c r="E39" i="15" s="1"/>
  <c r="J8" i="14"/>
  <c r="B7" i="14"/>
  <c r="D5" i="14"/>
  <c r="H6" i="14"/>
  <c r="I8" i="14"/>
  <c r="J7" i="14"/>
  <c r="E9" i="14"/>
  <c r="E8" i="14"/>
  <c r="G10" i="14"/>
  <c r="B8" i="14"/>
  <c r="F5" i="14"/>
  <c r="I10" i="14"/>
  <c r="B5" i="14"/>
  <c r="A8" i="14"/>
  <c r="A18" i="14" s="1"/>
  <c r="A28" i="14" s="1"/>
  <c r="A38" i="14" s="1"/>
  <c r="A48" i="14" s="1"/>
  <c r="A58" i="14" s="1"/>
  <c r="B43" i="15" s="1"/>
  <c r="I7" i="14"/>
  <c r="A7" i="14"/>
  <c r="A17" i="14" s="1"/>
  <c r="A27" i="14" s="1"/>
  <c r="A37" i="14" s="1"/>
  <c r="A47" i="14" s="1"/>
  <c r="A57" i="14" s="1"/>
  <c r="B42" i="15" s="1"/>
  <c r="I6" i="14"/>
  <c r="A9" i="14"/>
  <c r="A19" i="14" s="1"/>
  <c r="A29" i="14" s="1"/>
  <c r="A39" i="14" s="1"/>
  <c r="A49" i="14" s="1"/>
  <c r="A59" i="14" s="1"/>
  <c r="B44" i="15" s="1"/>
  <c r="D7" i="14"/>
  <c r="C10" i="14"/>
  <c r="C9" i="14"/>
  <c r="I9" i="14"/>
  <c r="C7" i="14"/>
  <c r="E5" i="14"/>
  <c r="J10" i="14"/>
  <c r="C5" i="14"/>
  <c r="E7" i="14"/>
  <c r="F6" i="14"/>
  <c r="G8" i="14"/>
  <c r="G7" i="14"/>
  <c r="C8" i="14"/>
  <c r="E6" i="14"/>
  <c r="AA30" i="9"/>
  <c r="AB25" i="9"/>
  <c r="AR25" i="9" s="1"/>
  <c r="AX22" i="9"/>
  <c r="BF22" i="9" s="1"/>
  <c r="A40" i="8" a="1"/>
  <c r="AJ31" i="9"/>
  <c r="AZ31" i="9" s="1"/>
  <c r="AW25" i="9"/>
  <c r="BE25" i="9" s="1"/>
  <c r="J20" i="9"/>
  <c r="B20" i="9"/>
  <c r="AK29" i="9"/>
  <c r="BB30" i="9"/>
  <c r="AK23" i="9"/>
  <c r="BA23" i="9" s="1"/>
  <c r="BB27" i="9"/>
  <c r="AJ23" i="9"/>
  <c r="AK24" i="9"/>
  <c r="AI23" i="9"/>
  <c r="AK28" i="9"/>
  <c r="BA28" i="9" s="1"/>
  <c r="AH23" i="9"/>
  <c r="AX23" i="9" s="1"/>
  <c r="AZ25" i="9"/>
  <c r="AI26" i="9"/>
  <c r="AI28" i="9"/>
  <c r="AY28" i="9" s="1"/>
  <c r="AI27" i="9"/>
  <c r="AJ24" i="9"/>
  <c r="X26" i="9"/>
  <c r="AE27" i="9"/>
  <c r="X29" i="9"/>
  <c r="AH29" i="9"/>
  <c r="AE29" i="9"/>
  <c r="AE26" i="9"/>
  <c r="AE30" i="9"/>
  <c r="AR23" i="9"/>
  <c r="A11" i="8" a="1"/>
  <c r="A17" i="8" s="1"/>
  <c r="A27" i="8" s="1"/>
  <c r="B11" i="12" s="1"/>
  <c r="B28" i="12" s="1"/>
  <c r="AL24" i="9"/>
  <c r="BB24" i="9" s="1"/>
  <c r="AK27" i="9"/>
  <c r="BA27" i="9" s="1"/>
  <c r="AK25" i="9"/>
  <c r="BA25" i="9" s="1"/>
  <c r="AH24" i="9"/>
  <c r="X24" i="9"/>
  <c r="AM26" i="9"/>
  <c r="BC26" i="9" s="1"/>
  <c r="AS30" i="9"/>
  <c r="X23" i="9"/>
  <c r="AK26" i="9"/>
  <c r="BA26" i="9" s="1"/>
  <c r="AK31" i="9"/>
  <c r="BA31" i="9" s="1"/>
  <c r="AL23" i="9"/>
  <c r="BB23" i="9" s="1"/>
  <c r="X30" i="9"/>
  <c r="AH30" i="9"/>
  <c r="AK30" i="9"/>
  <c r="AB29" i="9"/>
  <c r="AR29" i="9" s="1"/>
  <c r="AB30" i="9"/>
  <c r="AR30" i="9" s="1"/>
  <c r="AS24" i="9"/>
  <c r="BI24" i="9" s="1"/>
  <c r="AB28" i="9"/>
  <c r="AR28" i="9" s="1"/>
  <c r="BH28" i="9" s="1"/>
  <c r="X27" i="9"/>
  <c r="AH27" i="9"/>
  <c r="AM24" i="9"/>
  <c r="BC24" i="9" s="1"/>
  <c r="AM27" i="9"/>
  <c r="BC27" i="9" s="1"/>
  <c r="AL29" i="9"/>
  <c r="BB29" i="9" s="1"/>
  <c r="AJ30" i="9"/>
  <c r="AZ30" i="9" s="1"/>
  <c r="AB26" i="9"/>
  <c r="AR26" i="9" s="1"/>
  <c r="AA28" i="9"/>
  <c r="AE25" i="9"/>
  <c r="AU25" i="9" s="1"/>
  <c r="AS23" i="9"/>
  <c r="BI23" i="9" s="1"/>
  <c r="AE28" i="9"/>
  <c r="AC28" i="9"/>
  <c r="AS28" i="9" s="1"/>
  <c r="BI28" i="9" s="1"/>
  <c r="AI24" i="9"/>
  <c r="AY24" i="9" s="1"/>
  <c r="AJ26" i="9"/>
  <c r="AZ26" i="9" s="1"/>
  <c r="AI30" i="9"/>
  <c r="AY30" i="9" s="1"/>
  <c r="AM30" i="9"/>
  <c r="BC30" i="9" s="1"/>
  <c r="AJ28" i="9"/>
  <c r="AZ28" i="9" s="1"/>
  <c r="AJ27" i="9"/>
  <c r="AZ27" i="9" s="1"/>
  <c r="AH31" i="9"/>
  <c r="X31" i="9"/>
  <c r="AH28" i="9"/>
  <c r="AX26" i="9" s="1"/>
  <c r="X28" i="9"/>
  <c r="AM29" i="9"/>
  <c r="BC29" i="9" s="1"/>
  <c r="AM25" i="9"/>
  <c r="BC25" i="9" s="1"/>
  <c r="AM31" i="9"/>
  <c r="BC31" i="9" s="1"/>
  <c r="AL26" i="9"/>
  <c r="BB26" i="9" s="1"/>
  <c r="AL25" i="9"/>
  <c r="BB25" i="9" s="1"/>
  <c r="X25" i="9"/>
  <c r="AH25" i="9"/>
  <c r="AU23" i="9"/>
  <c r="AE24" i="9"/>
  <c r="C20" i="9"/>
  <c r="AI31" i="9"/>
  <c r="AY31" i="9" s="1"/>
  <c r="AM23" i="9"/>
  <c r="BC23" i="9" s="1"/>
  <c r="AR24" i="9"/>
  <c r="A11" i="8"/>
  <c r="A16" i="8"/>
  <c r="A26" i="8" s="1"/>
  <c r="B10" i="12" s="1"/>
  <c r="B27" i="12" s="1"/>
  <c r="A18" i="8"/>
  <c r="A28" i="8" s="1"/>
  <c r="B12" i="12" s="1"/>
  <c r="B29" i="12" s="1"/>
  <c r="A12" i="8"/>
  <c r="A22" i="8" s="1"/>
  <c r="B6" i="12" s="1"/>
  <c r="B23" i="12" s="1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AT31" i="9" s="1"/>
  <c r="C32" i="9"/>
  <c r="K32" i="9"/>
  <c r="E20" i="9"/>
  <c r="E32" i="9" s="1"/>
  <c r="U32" i="9" s="1"/>
  <c r="M20" i="9"/>
  <c r="M32" i="9" s="1"/>
  <c r="AD27" i="9"/>
  <c r="AB27" i="9"/>
  <c r="AR27" i="9" s="1"/>
  <c r="AA26" i="9"/>
  <c r="P26" i="9"/>
  <c r="Z26" i="9"/>
  <c r="AD24" i="9"/>
  <c r="Z31" i="9"/>
  <c r="P31" i="9"/>
  <c r="AE31" i="9"/>
  <c r="AU31" i="9" s="1"/>
  <c r="AD28" i="9"/>
  <c r="N20" i="9"/>
  <c r="N32" i="9" s="1"/>
  <c r="F20" i="9"/>
  <c r="F32" i="9" s="1"/>
  <c r="V32" i="9" s="1"/>
  <c r="Z27" i="9"/>
  <c r="P27" i="9"/>
  <c r="Z24" i="9"/>
  <c r="P24" i="9"/>
  <c r="AD30" i="9"/>
  <c r="AD25" i="9"/>
  <c r="AT25" i="9" s="1"/>
  <c r="AC31" i="9"/>
  <c r="AS31" i="9" s="1"/>
  <c r="BI31" i="9" s="1"/>
  <c r="P30" i="9"/>
  <c r="Z30" i="9"/>
  <c r="AD26" i="9"/>
  <c r="D20" i="9"/>
  <c r="D32" i="9" s="1"/>
  <c r="T32" i="9" s="1"/>
  <c r="L20" i="9"/>
  <c r="L32" i="9" s="1"/>
  <c r="P25" i="9"/>
  <c r="Z25" i="9"/>
  <c r="AC27" i="9"/>
  <c r="AS27" i="9" s="1"/>
  <c r="BI27" i="9" s="1"/>
  <c r="AB31" i="9"/>
  <c r="AR31" i="9" s="1"/>
  <c r="BH31" i="9" s="1"/>
  <c r="AC26" i="9"/>
  <c r="AS26" i="9" s="1"/>
  <c r="BI26" i="9" s="1"/>
  <c r="AC29" i="9"/>
  <c r="AS29" i="9" s="1"/>
  <c r="BI29" i="9" s="1"/>
  <c r="AD29" i="9"/>
  <c r="G59" i="15" l="1"/>
  <c r="G49" i="15"/>
  <c r="I11" i="14"/>
  <c r="I59" i="15"/>
  <c r="I49" i="15"/>
  <c r="AX25" i="9"/>
  <c r="BA29" i="9"/>
  <c r="B11" i="14"/>
  <c r="AT26" i="9"/>
  <c r="AT24" i="9"/>
  <c r="BJ24" i="9" s="1"/>
  <c r="AN27" i="9"/>
  <c r="AX27" i="9"/>
  <c r="BD27" i="9" s="1"/>
  <c r="K59" i="15"/>
  <c r="K49" i="15"/>
  <c r="A13" i="8"/>
  <c r="A23" i="8" s="1"/>
  <c r="B7" i="12" s="1"/>
  <c r="B24" i="12" s="1"/>
  <c r="AX24" i="9"/>
  <c r="BD24" i="9" s="1"/>
  <c r="AY26" i="9"/>
  <c r="BD26" i="9" s="1"/>
  <c r="E11" i="14"/>
  <c r="B62" i="15"/>
  <c r="B52" i="15"/>
  <c r="B75" i="15"/>
  <c r="B84" i="15" s="1"/>
  <c r="B93" i="15" s="1"/>
  <c r="E59" i="15"/>
  <c r="E49" i="15"/>
  <c r="J11" i="14"/>
  <c r="D59" i="15"/>
  <c r="D49" i="15"/>
  <c r="H11" i="14"/>
  <c r="AN29" i="9"/>
  <c r="AX29" i="9"/>
  <c r="A40" i="8"/>
  <c r="A47" i="8"/>
  <c r="A46" i="8"/>
  <c r="A43" i="8"/>
  <c r="A41" i="8"/>
  <c r="A45" i="8"/>
  <c r="A44" i="8"/>
  <c r="A42" i="8"/>
  <c r="AN23" i="9"/>
  <c r="AT30" i="9"/>
  <c r="BJ30" i="9" s="1"/>
  <c r="AN28" i="9"/>
  <c r="C11" i="8" s="1" a="1"/>
  <c r="AX28" i="9"/>
  <c r="BD28" i="9" s="1"/>
  <c r="BH29" i="9"/>
  <c r="B60" i="15"/>
  <c r="B50" i="15"/>
  <c r="B73" i="15"/>
  <c r="B82" i="15" s="1"/>
  <c r="B91" i="15" s="1"/>
  <c r="G11" i="14"/>
  <c r="BH24" i="9"/>
  <c r="AN26" i="9"/>
  <c r="BA30" i="9"/>
  <c r="BI30" i="9"/>
  <c r="BH23" i="9"/>
  <c r="AZ24" i="9"/>
  <c r="BA24" i="9"/>
  <c r="BH25" i="9"/>
  <c r="F11" i="14"/>
  <c r="D11" i="14"/>
  <c r="F59" i="15"/>
  <c r="F49" i="15"/>
  <c r="B59" i="15"/>
  <c r="B49" i="15"/>
  <c r="B65" i="15"/>
  <c r="B55" i="15"/>
  <c r="B78" i="15"/>
  <c r="B87" i="15" s="1"/>
  <c r="B96" i="15" s="1"/>
  <c r="BH26" i="9"/>
  <c r="B63" i="15"/>
  <c r="B53" i="15"/>
  <c r="B76" i="15"/>
  <c r="B85" i="15" s="1"/>
  <c r="B94" i="15" s="1"/>
  <c r="BH27" i="9"/>
  <c r="BH30" i="9"/>
  <c r="J59" i="15"/>
  <c r="J49" i="15"/>
  <c r="AT27" i="9"/>
  <c r="AY23" i="9"/>
  <c r="BD23" i="9" s="1"/>
  <c r="AY29" i="9"/>
  <c r="AY25" i="9"/>
  <c r="H59" i="15"/>
  <c r="H49" i="15"/>
  <c r="AF23" i="9"/>
  <c r="AX31" i="9"/>
  <c r="BD31" i="9" s="1"/>
  <c r="AX30" i="9"/>
  <c r="AU30" i="9"/>
  <c r="AY27" i="9"/>
  <c r="AZ23" i="9"/>
  <c r="BI25" i="9"/>
  <c r="C11" i="14"/>
  <c r="B64" i="15"/>
  <c r="B54" i="15"/>
  <c r="B77" i="15"/>
  <c r="B86" i="15" s="1"/>
  <c r="B95" i="15" s="1"/>
  <c r="C59" i="15"/>
  <c r="C49" i="15"/>
  <c r="B61" i="15"/>
  <c r="B51" i="15"/>
  <c r="B74" i="15"/>
  <c r="B83" i="15" s="1"/>
  <c r="B92" i="15" s="1"/>
  <c r="AZ29" i="9"/>
  <c r="AQ29" i="9"/>
  <c r="BG29" i="9" s="1"/>
  <c r="AQ24" i="9"/>
  <c r="AQ26" i="9"/>
  <c r="AQ27" i="9"/>
  <c r="AF28" i="9"/>
  <c r="AP28" i="9"/>
  <c r="AF29" i="9"/>
  <c r="AP29" i="9"/>
  <c r="AN24" i="9"/>
  <c r="AU26" i="9"/>
  <c r="AT29" i="9"/>
  <c r="BJ29" i="9" s="1"/>
  <c r="AF24" i="9"/>
  <c r="AP24" i="9"/>
  <c r="AF31" i="9"/>
  <c r="AP31" i="9"/>
  <c r="AP23" i="9"/>
  <c r="A15" i="8"/>
  <c r="A25" i="8" s="1"/>
  <c r="B9" i="12" s="1"/>
  <c r="B26" i="12" s="1"/>
  <c r="AU24" i="9"/>
  <c r="AQ28" i="9"/>
  <c r="BG28" i="9" s="1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24" i="8" s="1"/>
  <c r="B8" i="12" s="1"/>
  <c r="B25" i="12" s="1"/>
  <c r="AQ23" i="9"/>
  <c r="BG23" i="9" s="1"/>
  <c r="AT23" i="9"/>
  <c r="BJ23" i="9" s="1"/>
  <c r="AN25" i="9"/>
  <c r="B11" i="8" s="1" a="1"/>
  <c r="AU27" i="9"/>
  <c r="BK27" i="9" s="1"/>
  <c r="AF25" i="9"/>
  <c r="AP25" i="9"/>
  <c r="AT28" i="9"/>
  <c r="BJ28" i="9" s="1"/>
  <c r="AN31" i="9"/>
  <c r="AU28" i="9"/>
  <c r="BK28" i="9" s="1"/>
  <c r="AN30" i="9"/>
  <c r="AQ30" i="9"/>
  <c r="BG30" i="9" s="1"/>
  <c r="C12" i="8"/>
  <c r="C22" i="8" s="1"/>
  <c r="D6" i="12" s="1"/>
  <c r="C11" i="8"/>
  <c r="C21" i="8" s="1"/>
  <c r="D5" i="12" s="1"/>
  <c r="C14" i="8"/>
  <c r="C24" i="8" s="1"/>
  <c r="D8" i="12" s="1"/>
  <c r="C18" i="8"/>
  <c r="C28" i="8" s="1"/>
  <c r="D12" i="12" s="1"/>
  <c r="C15" i="8"/>
  <c r="C25" i="8" s="1"/>
  <c r="D9" i="12" s="1"/>
  <c r="C17" i="8"/>
  <c r="C27" i="8" s="1"/>
  <c r="D11" i="12" s="1"/>
  <c r="C16" i="8"/>
  <c r="C26" i="8" s="1"/>
  <c r="D10" i="12" s="1"/>
  <c r="C13" i="8"/>
  <c r="C23" i="8" s="1"/>
  <c r="D7" i="12" s="1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BK32" i="9" s="1"/>
  <c r="O33" i="9"/>
  <c r="N33" i="9"/>
  <c r="AD32" i="9"/>
  <c r="AT32" i="9" s="1"/>
  <c r="BJ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K33" i="9"/>
  <c r="H32" i="9"/>
  <c r="B33" i="9"/>
  <c r="R33" i="9" s="1"/>
  <c r="L33" i="9"/>
  <c r="AB32" i="9"/>
  <c r="AR32" i="9" s="1"/>
  <c r="BH32" i="9" s="1"/>
  <c r="D33" i="9"/>
  <c r="T33" i="9" s="1"/>
  <c r="B11" i="8" l="1"/>
  <c r="B21" i="8" s="1"/>
  <c r="C5" i="12" s="1"/>
  <c r="B12" i="8"/>
  <c r="B22" i="8" s="1"/>
  <c r="C6" i="12" s="1"/>
  <c r="B17" i="8"/>
  <c r="B27" i="8" s="1"/>
  <c r="C11" i="12" s="1"/>
  <c r="B14" i="8"/>
  <c r="B24" i="8" s="1"/>
  <c r="C8" i="12" s="1"/>
  <c r="B13" i="8"/>
  <c r="B23" i="8" s="1"/>
  <c r="C7" i="12" s="1"/>
  <c r="B18" i="8"/>
  <c r="B28" i="8" s="1"/>
  <c r="C12" i="12" s="1"/>
  <c r="B16" i="8"/>
  <c r="B26" i="8" s="1"/>
  <c r="C10" i="12" s="1"/>
  <c r="B15" i="8"/>
  <c r="B25" i="8" s="1"/>
  <c r="C9" i="12" s="1"/>
  <c r="B11" i="13"/>
  <c r="B28" i="13" s="1"/>
  <c r="A56" i="8"/>
  <c r="BF23" i="9"/>
  <c r="AV23" i="9"/>
  <c r="BF25" i="9"/>
  <c r="AV25" i="9"/>
  <c r="B40" i="8" a="1"/>
  <c r="BG26" i="9"/>
  <c r="B6" i="13"/>
  <c r="B23" i="13" s="1"/>
  <c r="A51" i="8"/>
  <c r="BG32" i="9"/>
  <c r="D15" i="12"/>
  <c r="D32" i="12" s="1"/>
  <c r="D22" i="12"/>
  <c r="BF26" i="9"/>
  <c r="AV26" i="9"/>
  <c r="BK24" i="9"/>
  <c r="BK26" i="9"/>
  <c r="BG24" i="9"/>
  <c r="BG25" i="9"/>
  <c r="BK23" i="9"/>
  <c r="A53" i="8"/>
  <c r="B8" i="13"/>
  <c r="B25" i="13" s="1"/>
  <c r="BD29" i="9"/>
  <c r="N4" i="14"/>
  <c r="N5" i="14"/>
  <c r="K11" i="14" s="1"/>
  <c r="BF27" i="9"/>
  <c r="AV27" i="9"/>
  <c r="B12" i="13"/>
  <c r="B29" i="13" s="1"/>
  <c r="A57" i="8"/>
  <c r="BF31" i="9"/>
  <c r="AV31" i="9"/>
  <c r="BF30" i="9"/>
  <c r="BL30" i="9" s="1"/>
  <c r="AV30" i="9"/>
  <c r="AV28" i="9"/>
  <c r="BF28" i="9"/>
  <c r="BL28" i="9" s="1"/>
  <c r="C40" i="8" a="1"/>
  <c r="BK30" i="9"/>
  <c r="AV24" i="9"/>
  <c r="BF24" i="9"/>
  <c r="BL24" i="9" s="1"/>
  <c r="BD30" i="9"/>
  <c r="BJ27" i="9"/>
  <c r="BJ31" i="9"/>
  <c r="BG31" i="9"/>
  <c r="B9" i="13"/>
  <c r="B26" i="13" s="1"/>
  <c r="A54" i="8"/>
  <c r="BK25" i="9"/>
  <c r="BJ26" i="9"/>
  <c r="AV29" i="9"/>
  <c r="BF29" i="9"/>
  <c r="A52" i="8"/>
  <c r="B7" i="13"/>
  <c r="B24" i="13" s="1"/>
  <c r="BD25" i="9"/>
  <c r="X32" i="9"/>
  <c r="D16" i="12"/>
  <c r="D36" i="12"/>
  <c r="BK29" i="9"/>
  <c r="BG27" i="9"/>
  <c r="BK31" i="9"/>
  <c r="BJ25" i="9"/>
  <c r="B10" i="13"/>
  <c r="B27" i="13" s="1"/>
  <c r="A55" i="8"/>
  <c r="BD32" i="9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D17" i="12" l="1"/>
  <c r="D33" i="12"/>
  <c r="C16" i="12"/>
  <c r="BL25" i="9"/>
  <c r="BL31" i="9"/>
  <c r="BL23" i="9"/>
  <c r="BL27" i="9"/>
  <c r="B40" i="8"/>
  <c r="B46" i="8"/>
  <c r="B42" i="8"/>
  <c r="B44" i="8"/>
  <c r="B47" i="8"/>
  <c r="B41" i="8"/>
  <c r="B45" i="8"/>
  <c r="B43" i="8"/>
  <c r="C47" i="8"/>
  <c r="C42" i="8"/>
  <c r="C40" i="8"/>
  <c r="C41" i="8"/>
  <c r="C46" i="8"/>
  <c r="C45" i="8"/>
  <c r="C44" i="8"/>
  <c r="C43" i="8"/>
  <c r="D19" i="14"/>
  <c r="D29" i="14" s="1"/>
  <c r="D39" i="14" s="1"/>
  <c r="G20" i="14"/>
  <c r="F17" i="14"/>
  <c r="F27" i="14" s="1"/>
  <c r="I17" i="14"/>
  <c r="G15" i="14"/>
  <c r="D15" i="14"/>
  <c r="H16" i="14"/>
  <c r="H26" i="14" s="1"/>
  <c r="B20" i="14"/>
  <c r="B30" i="14" s="1"/>
  <c r="E18" i="14"/>
  <c r="E28" i="14" s="1"/>
  <c r="E38" i="14" s="1"/>
  <c r="B16" i="14"/>
  <c r="B26" i="14" s="1"/>
  <c r="C19" i="14"/>
  <c r="J16" i="14"/>
  <c r="H19" i="14"/>
  <c r="I18" i="14"/>
  <c r="F18" i="14"/>
  <c r="B18" i="14"/>
  <c r="B28" i="14" s="1"/>
  <c r="E16" i="14"/>
  <c r="E26" i="14" s="1"/>
  <c r="E36" i="14" s="1"/>
  <c r="H15" i="14"/>
  <c r="I19" i="14"/>
  <c r="D17" i="14"/>
  <c r="I15" i="14"/>
  <c r="K5" i="14"/>
  <c r="K7" i="14"/>
  <c r="B19" i="14"/>
  <c r="B29" i="14" s="1"/>
  <c r="F16" i="14"/>
  <c r="F26" i="14" s="1"/>
  <c r="F36" i="14" s="1"/>
  <c r="F19" i="14"/>
  <c r="C17" i="14"/>
  <c r="C27" i="14" s="1"/>
  <c r="H18" i="14"/>
  <c r="K8" i="14"/>
  <c r="E19" i="14"/>
  <c r="K6" i="14"/>
  <c r="D18" i="14"/>
  <c r="D28" i="14" s="1"/>
  <c r="D38" i="14" s="1"/>
  <c r="J18" i="14"/>
  <c r="K9" i="14"/>
  <c r="G17" i="14"/>
  <c r="G27" i="14" s="1"/>
  <c r="F20" i="14"/>
  <c r="G19" i="14"/>
  <c r="G18" i="14"/>
  <c r="J20" i="14"/>
  <c r="E15" i="14"/>
  <c r="J17" i="14"/>
  <c r="D20" i="14"/>
  <c r="F15" i="14"/>
  <c r="G16" i="14"/>
  <c r="C20" i="14"/>
  <c r="B15" i="14"/>
  <c r="I16" i="14"/>
  <c r="I26" i="14" s="1"/>
  <c r="C16" i="14"/>
  <c r="C26" i="14" s="1"/>
  <c r="C36" i="14" s="1"/>
  <c r="J15" i="14"/>
  <c r="C18" i="14"/>
  <c r="H20" i="14"/>
  <c r="I20" i="14"/>
  <c r="C15" i="14"/>
  <c r="E17" i="14"/>
  <c r="E27" i="14" s="1"/>
  <c r="D16" i="14"/>
  <c r="D26" i="14" s="1"/>
  <c r="D36" i="14" s="1"/>
  <c r="J19" i="14"/>
  <c r="H17" i="14"/>
  <c r="H27" i="14" s="1"/>
  <c r="B17" i="14"/>
  <c r="B27" i="14" s="1"/>
  <c r="K10" i="14"/>
  <c r="E20" i="14"/>
  <c r="BL29" i="9"/>
  <c r="BL26" i="9"/>
  <c r="C22" i="12"/>
  <c r="C15" i="12"/>
  <c r="C32" i="12" s="1"/>
  <c r="BF32" i="9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J25" i="14" l="1"/>
  <c r="J21" i="14"/>
  <c r="K15" i="14" s="1"/>
  <c r="K17" i="14"/>
  <c r="J27" i="14"/>
  <c r="J37" i="14" s="1"/>
  <c r="J47" i="14" s="1"/>
  <c r="J57" i="14" s="1"/>
  <c r="K18" i="14"/>
  <c r="J28" i="14"/>
  <c r="J38" i="14" s="1"/>
  <c r="B50" i="8"/>
  <c r="C5" i="13"/>
  <c r="B39" i="14"/>
  <c r="B49" i="14" s="1"/>
  <c r="H30" i="14"/>
  <c r="H40" i="14" s="1"/>
  <c r="F21" i="14"/>
  <c r="F31" i="14" s="1"/>
  <c r="F25" i="14"/>
  <c r="G37" i="14"/>
  <c r="G47" i="14" s="1"/>
  <c r="I29" i="14"/>
  <c r="I39" i="14" s="1"/>
  <c r="C29" i="14"/>
  <c r="C39" i="14" s="1"/>
  <c r="F37" i="14"/>
  <c r="F47" i="14" s="1"/>
  <c r="D5" i="13"/>
  <c r="C50" i="8"/>
  <c r="B52" i="8"/>
  <c r="C7" i="13"/>
  <c r="C28" i="14"/>
  <c r="C38" i="14" s="1"/>
  <c r="D30" i="14"/>
  <c r="D40" i="14" s="1"/>
  <c r="F29" i="14"/>
  <c r="F39" i="14" s="1"/>
  <c r="F49" i="14" s="1"/>
  <c r="H25" i="14"/>
  <c r="H21" i="14"/>
  <c r="H31" i="14" s="1"/>
  <c r="B36" i="14"/>
  <c r="G30" i="14"/>
  <c r="C52" i="8"/>
  <c r="D7" i="13"/>
  <c r="C11" i="13"/>
  <c r="B56" i="8"/>
  <c r="H37" i="14"/>
  <c r="H47" i="14" s="1"/>
  <c r="H57" i="14" s="1"/>
  <c r="J29" i="14"/>
  <c r="J39" i="14" s="1"/>
  <c r="E25" i="14"/>
  <c r="E21" i="14"/>
  <c r="B38" i="14"/>
  <c r="J30" i="14"/>
  <c r="J40" i="14" s="1"/>
  <c r="K20" i="14"/>
  <c r="H36" i="14"/>
  <c r="C54" i="8"/>
  <c r="D9" i="13"/>
  <c r="B55" i="8"/>
  <c r="C10" i="13"/>
  <c r="G28" i="14"/>
  <c r="G38" i="14" s="1"/>
  <c r="G48" i="14" s="1"/>
  <c r="C25" i="14"/>
  <c r="C21" i="14"/>
  <c r="C31" i="14" s="1"/>
  <c r="C30" i="14"/>
  <c r="G29" i="14"/>
  <c r="G39" i="14" s="1"/>
  <c r="G49" i="14" s="1"/>
  <c r="I25" i="14"/>
  <c r="I21" i="14"/>
  <c r="H29" i="14"/>
  <c r="H39" i="14" s="1"/>
  <c r="H49" i="14" s="1"/>
  <c r="G25" i="14"/>
  <c r="G21" i="14"/>
  <c r="G31" i="14" s="1"/>
  <c r="C56" i="8"/>
  <c r="D11" i="13"/>
  <c r="B57" i="8"/>
  <c r="C12" i="13"/>
  <c r="D49" i="14"/>
  <c r="D12" i="13"/>
  <c r="C57" i="8"/>
  <c r="D48" i="14"/>
  <c r="C53" i="8"/>
  <c r="D8" i="13"/>
  <c r="B53" i="8"/>
  <c r="C8" i="13"/>
  <c r="I36" i="14"/>
  <c r="F28" i="14"/>
  <c r="F38" i="14" s="1"/>
  <c r="F48" i="14" s="1"/>
  <c r="C33" i="12"/>
  <c r="C17" i="12"/>
  <c r="B25" i="14"/>
  <c r="B21" i="14"/>
  <c r="B31" i="14" s="1"/>
  <c r="E29" i="14"/>
  <c r="E39" i="14" s="1"/>
  <c r="E49" i="14" s="1"/>
  <c r="I28" i="14"/>
  <c r="I38" i="14" s="1"/>
  <c r="I48" i="14" s="1"/>
  <c r="D25" i="14"/>
  <c r="D35" i="14" s="1"/>
  <c r="D21" i="14"/>
  <c r="C55" i="8"/>
  <c r="D10" i="13"/>
  <c r="C6" i="13"/>
  <c r="B51" i="8"/>
  <c r="E30" i="14"/>
  <c r="E40" i="14" s="1"/>
  <c r="I30" i="14"/>
  <c r="I40" i="14" s="1"/>
  <c r="G26" i="14"/>
  <c r="G36" i="14" s="1"/>
  <c r="G46" i="14" s="1"/>
  <c r="F30" i="14"/>
  <c r="H28" i="14"/>
  <c r="H38" i="14" s="1"/>
  <c r="D27" i="14"/>
  <c r="D37" i="14" s="1"/>
  <c r="J26" i="14"/>
  <c r="J36" i="14" s="1"/>
  <c r="I27" i="14"/>
  <c r="I37" i="14" s="1"/>
  <c r="I47" i="14" s="1"/>
  <c r="D6" i="13"/>
  <c r="C51" i="8"/>
  <c r="C9" i="13"/>
  <c r="B54" i="8"/>
  <c r="D34" i="12"/>
  <c r="D18" i="12"/>
  <c r="E34" i="12"/>
  <c r="BD34" i="9"/>
  <c r="BF33" i="9"/>
  <c r="BL33" i="9" s="1"/>
  <c r="AV33" i="9"/>
  <c r="D40" i="8" s="1" a="1"/>
  <c r="AP34" i="9"/>
  <c r="AF34" i="9"/>
  <c r="AN34" i="9"/>
  <c r="D11" i="8" a="1"/>
  <c r="D12" i="8" s="1"/>
  <c r="D22" i="8" s="1"/>
  <c r="E6" i="12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F41" i="14" l="1"/>
  <c r="F51" i="14" s="1"/>
  <c r="F58" i="14"/>
  <c r="I62" i="15"/>
  <c r="I42" i="15"/>
  <c r="I52" i="15" s="1"/>
  <c r="H50" i="14"/>
  <c r="H60" i="14" s="1"/>
  <c r="I57" i="14"/>
  <c r="B59" i="14"/>
  <c r="H48" i="14"/>
  <c r="C34" i="12"/>
  <c r="C18" i="12"/>
  <c r="G59" i="14"/>
  <c r="J49" i="14"/>
  <c r="J59" i="14" s="1"/>
  <c r="G40" i="14"/>
  <c r="G50" i="14" s="1"/>
  <c r="G57" i="14"/>
  <c r="E48" i="14"/>
  <c r="E58" i="14" s="1"/>
  <c r="F40" i="14"/>
  <c r="F50" i="14" s="1"/>
  <c r="F60" i="14" s="1"/>
  <c r="D31" i="14"/>
  <c r="D41" i="14" s="1"/>
  <c r="B40" i="14"/>
  <c r="B50" i="14" s="1"/>
  <c r="C40" i="14"/>
  <c r="C50" i="14" s="1"/>
  <c r="H46" i="14"/>
  <c r="K19" i="14"/>
  <c r="B46" i="14"/>
  <c r="B56" i="14" s="1"/>
  <c r="F35" i="14"/>
  <c r="J48" i="14"/>
  <c r="J58" i="14" s="1"/>
  <c r="H41" i="14"/>
  <c r="I58" i="14"/>
  <c r="J50" i="14"/>
  <c r="J60" i="14" s="1"/>
  <c r="K62" i="15"/>
  <c r="K42" i="15"/>
  <c r="E59" i="14"/>
  <c r="D36" i="13"/>
  <c r="D16" i="13"/>
  <c r="F59" i="14"/>
  <c r="B41" i="14"/>
  <c r="B51" i="14" s="1"/>
  <c r="B61" i="14" s="1"/>
  <c r="H59" i="14"/>
  <c r="B48" i="14"/>
  <c r="B58" i="14" s="1"/>
  <c r="C49" i="14"/>
  <c r="C59" i="14" s="1"/>
  <c r="C46" i="14"/>
  <c r="D35" i="12"/>
  <c r="D24" i="12"/>
  <c r="D27" i="12"/>
  <c r="D25" i="12"/>
  <c r="D23" i="12"/>
  <c r="D26" i="12"/>
  <c r="D28" i="12"/>
  <c r="D29" i="12"/>
  <c r="K16" i="14"/>
  <c r="B35" i="14"/>
  <c r="B45" i="14" s="1"/>
  <c r="F46" i="14"/>
  <c r="I31" i="14"/>
  <c r="I41" i="14" s="1"/>
  <c r="I51" i="14" s="1"/>
  <c r="E31" i="14"/>
  <c r="E41" i="14" s="1"/>
  <c r="E51" i="14" s="1"/>
  <c r="C48" i="14"/>
  <c r="C58" i="14" s="1"/>
  <c r="I49" i="14"/>
  <c r="I59" i="14" s="1"/>
  <c r="C22" i="13"/>
  <c r="C15" i="13"/>
  <c r="C32" i="13" s="1"/>
  <c r="D58" i="14"/>
  <c r="E46" i="14"/>
  <c r="I50" i="14"/>
  <c r="G41" i="14"/>
  <c r="G51" i="14" s="1"/>
  <c r="C35" i="14"/>
  <c r="C45" i="14" s="1"/>
  <c r="H35" i="14"/>
  <c r="H45" i="14" s="1"/>
  <c r="D22" i="13"/>
  <c r="D15" i="13"/>
  <c r="D32" i="13" s="1"/>
  <c r="E50" i="14"/>
  <c r="I46" i="14"/>
  <c r="G35" i="14"/>
  <c r="G45" i="14" s="1"/>
  <c r="D46" i="14"/>
  <c r="F57" i="14"/>
  <c r="J46" i="14"/>
  <c r="J56" i="14" s="1"/>
  <c r="D59" i="14"/>
  <c r="D50" i="14"/>
  <c r="K21" i="14"/>
  <c r="J31" i="14"/>
  <c r="J41" i="14" s="1"/>
  <c r="J51" i="14" s="1"/>
  <c r="J61" i="14" s="1"/>
  <c r="D47" i="14"/>
  <c r="D57" i="14" s="1"/>
  <c r="E37" i="14"/>
  <c r="E47" i="14" s="1"/>
  <c r="E57" i="14" s="1"/>
  <c r="C16" i="13"/>
  <c r="I35" i="14"/>
  <c r="E35" i="14"/>
  <c r="E45" i="14" s="1"/>
  <c r="B37" i="14"/>
  <c r="B47" i="14" s="1"/>
  <c r="B57" i="14" s="1"/>
  <c r="C37" i="14"/>
  <c r="C47" i="14" s="1"/>
  <c r="C57" i="14" s="1"/>
  <c r="J35" i="14"/>
  <c r="BD35" i="9"/>
  <c r="BF34" i="9"/>
  <c r="BL34" i="9" s="1"/>
  <c r="AV34" i="9"/>
  <c r="D40" i="8"/>
  <c r="D43" i="8"/>
  <c r="D42" i="8"/>
  <c r="D44" i="8"/>
  <c r="D46" i="8"/>
  <c r="D47" i="8"/>
  <c r="D41" i="8"/>
  <c r="D45" i="8"/>
  <c r="AN35" i="9"/>
  <c r="AP35" i="9"/>
  <c r="AF35" i="9"/>
  <c r="D17" i="8"/>
  <c r="D27" i="8" s="1"/>
  <c r="E11" i="12" s="1"/>
  <c r="D16" i="8"/>
  <c r="D26" i="8" s="1"/>
  <c r="E10" i="12" s="1"/>
  <c r="D15" i="8"/>
  <c r="D25" i="8" s="1"/>
  <c r="E9" i="12" s="1"/>
  <c r="D18" i="8"/>
  <c r="D28" i="8" s="1"/>
  <c r="E12" i="12" s="1"/>
  <c r="D11" i="8"/>
  <c r="D21" i="8" s="1"/>
  <c r="E5" i="12" s="1"/>
  <c r="D13" i="8"/>
  <c r="D23" i="8" s="1"/>
  <c r="E7" i="12" s="1"/>
  <c r="D14" i="8"/>
  <c r="D24" i="8" s="1"/>
  <c r="E8" i="12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F62" i="15" l="1"/>
  <c r="F42" i="15"/>
  <c r="F52" i="15" s="1"/>
  <c r="I64" i="15"/>
  <c r="I44" i="15"/>
  <c r="I54" i="15" s="1"/>
  <c r="C61" i="15"/>
  <c r="C41" i="15"/>
  <c r="C51" i="15" s="1"/>
  <c r="H64" i="15"/>
  <c r="D86" i="15" s="1"/>
  <c r="H44" i="15"/>
  <c r="D53" i="8"/>
  <c r="E8" i="13"/>
  <c r="K61" i="15"/>
  <c r="K41" i="15"/>
  <c r="K65" i="15"/>
  <c r="K45" i="15"/>
  <c r="F43" i="15"/>
  <c r="F53" i="15" s="1"/>
  <c r="F63" i="15"/>
  <c r="K66" i="15"/>
  <c r="K46" i="15"/>
  <c r="G42" i="15"/>
  <c r="G52" i="15" s="1"/>
  <c r="G62" i="15"/>
  <c r="D43" i="15"/>
  <c r="D53" i="15" s="1"/>
  <c r="D63" i="15"/>
  <c r="G64" i="15"/>
  <c r="G44" i="15"/>
  <c r="G54" i="15" s="1"/>
  <c r="J63" i="15"/>
  <c r="J43" i="15"/>
  <c r="J53" i="15" s="1"/>
  <c r="C60" i="14"/>
  <c r="H42" i="15"/>
  <c r="H62" i="15"/>
  <c r="G63" i="15"/>
  <c r="G43" i="15"/>
  <c r="G53" i="15" s="1"/>
  <c r="E16" i="12"/>
  <c r="E36" i="12"/>
  <c r="D51" i="8"/>
  <c r="E6" i="13"/>
  <c r="I45" i="14"/>
  <c r="D56" i="14"/>
  <c r="G61" i="14"/>
  <c r="C56" i="14"/>
  <c r="H51" i="14"/>
  <c r="H61" i="14" s="1"/>
  <c r="H58" i="14"/>
  <c r="C62" i="15"/>
  <c r="C42" i="15"/>
  <c r="C52" i="15" s="1"/>
  <c r="K52" i="15"/>
  <c r="M42" i="15"/>
  <c r="N42" i="15"/>
  <c r="L62" i="15"/>
  <c r="L42" i="15"/>
  <c r="O42" i="15"/>
  <c r="M62" i="15"/>
  <c r="P42" i="15"/>
  <c r="I75" i="15" s="1"/>
  <c r="N62" i="15"/>
  <c r="G84" i="15" s="1"/>
  <c r="O62" i="15"/>
  <c r="Q42" i="15"/>
  <c r="P62" i="15"/>
  <c r="R42" i="15"/>
  <c r="S42" i="15"/>
  <c r="Q62" i="15"/>
  <c r="R62" i="15"/>
  <c r="S62" i="15"/>
  <c r="L84" i="15" s="1"/>
  <c r="I65" i="15"/>
  <c r="I45" i="15"/>
  <c r="I55" i="15" s="1"/>
  <c r="C66" i="15"/>
  <c r="C46" i="15"/>
  <c r="E42" i="15"/>
  <c r="E62" i="15"/>
  <c r="C84" i="15" s="1"/>
  <c r="J64" i="15"/>
  <c r="J44" i="15"/>
  <c r="J54" i="15" s="1"/>
  <c r="E22" i="12"/>
  <c r="E15" i="12"/>
  <c r="E32" i="12" s="1"/>
  <c r="D57" i="8"/>
  <c r="E12" i="13"/>
  <c r="D60" i="14"/>
  <c r="E61" i="14"/>
  <c r="D17" i="13"/>
  <c r="D33" i="13"/>
  <c r="F61" i="14"/>
  <c r="D56" i="8"/>
  <c r="E11" i="13"/>
  <c r="J45" i="14"/>
  <c r="J55" i="14" s="1"/>
  <c r="C33" i="13"/>
  <c r="C17" i="13"/>
  <c r="I56" i="14"/>
  <c r="E56" i="14"/>
  <c r="I61" i="14"/>
  <c r="K63" i="15"/>
  <c r="K43" i="15"/>
  <c r="B60" i="14"/>
  <c r="G60" i="14"/>
  <c r="G58" i="14"/>
  <c r="C41" i="14"/>
  <c r="C51" i="14" s="1"/>
  <c r="C61" i="14" s="1"/>
  <c r="D52" i="8"/>
  <c r="E7" i="13"/>
  <c r="G65" i="15"/>
  <c r="G45" i="15"/>
  <c r="G55" i="15" s="1"/>
  <c r="C35" i="12"/>
  <c r="C25" i="12"/>
  <c r="C26" i="12"/>
  <c r="C29" i="12"/>
  <c r="C28" i="12"/>
  <c r="C27" i="12"/>
  <c r="C24" i="12"/>
  <c r="C23" i="12"/>
  <c r="D50" i="8"/>
  <c r="E5" i="13"/>
  <c r="H56" i="14"/>
  <c r="D55" i="8"/>
  <c r="E10" i="13"/>
  <c r="G55" i="14"/>
  <c r="I60" i="14"/>
  <c r="D44" i="15"/>
  <c r="D54" i="15" s="1"/>
  <c r="D64" i="15"/>
  <c r="D45" i="14"/>
  <c r="C64" i="15"/>
  <c r="C44" i="15"/>
  <c r="C54" i="15" s="1"/>
  <c r="D54" i="8"/>
  <c r="E9" i="13"/>
  <c r="D62" i="15"/>
  <c r="D42" i="15"/>
  <c r="D52" i="15" s="1"/>
  <c r="E64" i="15"/>
  <c r="C86" i="15" s="1"/>
  <c r="E44" i="15"/>
  <c r="E60" i="14"/>
  <c r="E43" i="15"/>
  <c r="E63" i="15"/>
  <c r="C85" i="15" s="1"/>
  <c r="F56" i="14"/>
  <c r="C63" i="15"/>
  <c r="C43" i="15"/>
  <c r="C53" i="15" s="1"/>
  <c r="F44" i="15"/>
  <c r="F54" i="15" s="1"/>
  <c r="F64" i="15"/>
  <c r="F45" i="14"/>
  <c r="D51" i="14"/>
  <c r="D61" i="14" s="1"/>
  <c r="K64" i="15"/>
  <c r="K44" i="15"/>
  <c r="J62" i="15"/>
  <c r="J42" i="15"/>
  <c r="J52" i="15" s="1"/>
  <c r="G56" i="14"/>
  <c r="BF35" i="9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K53" i="15" l="1"/>
  <c r="M43" i="15"/>
  <c r="F76" i="15" s="1"/>
  <c r="L63" i="15"/>
  <c r="E85" i="15" s="1"/>
  <c r="N43" i="15"/>
  <c r="G76" i="15" s="1"/>
  <c r="L43" i="15"/>
  <c r="E76" i="15" s="1"/>
  <c r="O43" i="15"/>
  <c r="H76" i="15" s="1"/>
  <c r="M63" i="15"/>
  <c r="F85" i="15" s="1"/>
  <c r="P43" i="15"/>
  <c r="I76" i="15" s="1"/>
  <c r="N63" i="15"/>
  <c r="G85" i="15" s="1"/>
  <c r="Q43" i="15"/>
  <c r="J76" i="15" s="1"/>
  <c r="O63" i="15"/>
  <c r="H85" i="15" s="1"/>
  <c r="P63" i="15"/>
  <c r="I85" i="15" s="1"/>
  <c r="R43" i="15"/>
  <c r="K76" i="15" s="1"/>
  <c r="S43" i="15"/>
  <c r="L76" i="15" s="1"/>
  <c r="Q63" i="15"/>
  <c r="J85" i="15" s="1"/>
  <c r="R63" i="15"/>
  <c r="K85" i="15" s="1"/>
  <c r="S63" i="15"/>
  <c r="L85" i="15" s="1"/>
  <c r="L52" i="15"/>
  <c r="M52" i="15"/>
  <c r="F93" i="15" s="1"/>
  <c r="N52" i="15"/>
  <c r="G93" i="15" s="1"/>
  <c r="O52" i="15"/>
  <c r="H93" i="15" s="1"/>
  <c r="Q52" i="15"/>
  <c r="J93" i="15" s="1"/>
  <c r="P52" i="15"/>
  <c r="R52" i="15"/>
  <c r="K93" i="15" s="1"/>
  <c r="S52" i="15"/>
  <c r="E61" i="15"/>
  <c r="C83" i="15" s="1"/>
  <c r="E41" i="15"/>
  <c r="C76" i="15"/>
  <c r="E53" i="15"/>
  <c r="C94" i="15" s="1"/>
  <c r="E65" i="15"/>
  <c r="C87" i="15" s="1"/>
  <c r="E45" i="15"/>
  <c r="D84" i="15"/>
  <c r="K55" i="15"/>
  <c r="L45" i="15"/>
  <c r="N45" i="15"/>
  <c r="G78" i="15" s="1"/>
  <c r="M45" i="15"/>
  <c r="F78" i="15" s="1"/>
  <c r="L65" i="15"/>
  <c r="O45" i="15"/>
  <c r="H78" i="15" s="1"/>
  <c r="M65" i="15"/>
  <c r="N65" i="15"/>
  <c r="P45" i="15"/>
  <c r="O65" i="15"/>
  <c r="Q45" i="15"/>
  <c r="J78" i="15" s="1"/>
  <c r="P65" i="15"/>
  <c r="R45" i="15"/>
  <c r="K78" i="15" s="1"/>
  <c r="S45" i="15"/>
  <c r="L78" i="15" s="1"/>
  <c r="Q65" i="15"/>
  <c r="R65" i="15"/>
  <c r="S65" i="15"/>
  <c r="F55" i="14"/>
  <c r="J66" i="15"/>
  <c r="J46" i="15"/>
  <c r="E16" i="13"/>
  <c r="E36" i="13"/>
  <c r="F84" i="15"/>
  <c r="H52" i="15"/>
  <c r="D75" i="15"/>
  <c r="C77" i="15"/>
  <c r="E54" i="15"/>
  <c r="C95" i="15" s="1"/>
  <c r="I41" i="15"/>
  <c r="I51" i="15" s="1"/>
  <c r="I61" i="15"/>
  <c r="F61" i="15"/>
  <c r="F41" i="15"/>
  <c r="F51" i="15" s="1"/>
  <c r="C56" i="15"/>
  <c r="L75" i="15"/>
  <c r="H75" i="15"/>
  <c r="D65" i="15"/>
  <c r="D45" i="15"/>
  <c r="D55" i="15" s="1"/>
  <c r="K51" i="15"/>
  <c r="L61" i="15"/>
  <c r="E83" i="15" s="1"/>
  <c r="N41" i="15"/>
  <c r="L41" i="15"/>
  <c r="M41" i="15"/>
  <c r="F74" i="15" s="1"/>
  <c r="M61" i="15"/>
  <c r="F83" i="15" s="1"/>
  <c r="O41" i="15"/>
  <c r="H74" i="15" s="1"/>
  <c r="P41" i="15"/>
  <c r="I74" i="15" s="1"/>
  <c r="N61" i="15"/>
  <c r="G83" i="15" s="1"/>
  <c r="Q41" i="15"/>
  <c r="J74" i="15" s="1"/>
  <c r="O61" i="15"/>
  <c r="H83" i="15" s="1"/>
  <c r="R41" i="15"/>
  <c r="P61" i="15"/>
  <c r="I83" i="15" s="1"/>
  <c r="Q61" i="15"/>
  <c r="J83" i="15" s="1"/>
  <c r="S41" i="15"/>
  <c r="L74" i="15" s="1"/>
  <c r="R61" i="15"/>
  <c r="K83" i="15" s="1"/>
  <c r="S61" i="15"/>
  <c r="L83" i="15" s="1"/>
  <c r="H61" i="15"/>
  <c r="D83" i="15" s="1"/>
  <c r="H41" i="15"/>
  <c r="D55" i="14"/>
  <c r="H55" i="14"/>
  <c r="D66" i="15"/>
  <c r="D46" i="15"/>
  <c r="J61" i="15"/>
  <c r="J41" i="15"/>
  <c r="J51" i="15" s="1"/>
  <c r="G66" i="15"/>
  <c r="G46" i="15"/>
  <c r="K75" i="15"/>
  <c r="E75" i="15"/>
  <c r="I63" i="15"/>
  <c r="I43" i="15"/>
  <c r="I53" i="15" s="1"/>
  <c r="H60" i="15"/>
  <c r="H40" i="15"/>
  <c r="K40" i="15"/>
  <c r="K60" i="15"/>
  <c r="B55" i="14"/>
  <c r="F65" i="15"/>
  <c r="F45" i="15"/>
  <c r="F55" i="15" s="1"/>
  <c r="J84" i="15"/>
  <c r="E15" i="13"/>
  <c r="E32" i="13" s="1"/>
  <c r="E22" i="13"/>
  <c r="H63" i="15"/>
  <c r="D85" i="15" s="1"/>
  <c r="H43" i="15"/>
  <c r="E84" i="15"/>
  <c r="S46" i="15"/>
  <c r="K56" i="15"/>
  <c r="L46" i="15"/>
  <c r="K47" i="15"/>
  <c r="M46" i="15"/>
  <c r="L66" i="15"/>
  <c r="N46" i="15"/>
  <c r="M66" i="15"/>
  <c r="O46" i="15"/>
  <c r="P46" i="15"/>
  <c r="N66" i="15"/>
  <c r="Q46" i="15"/>
  <c r="O66" i="15"/>
  <c r="R46" i="15"/>
  <c r="P66" i="15"/>
  <c r="Q66" i="15"/>
  <c r="R66" i="15"/>
  <c r="S66" i="15"/>
  <c r="H65" i="15"/>
  <c r="H45" i="15"/>
  <c r="D34" i="13"/>
  <c r="D18" i="13"/>
  <c r="J75" i="15"/>
  <c r="G75" i="15"/>
  <c r="D61" i="15"/>
  <c r="D41" i="15"/>
  <c r="D51" i="15" s="1"/>
  <c r="E33" i="12"/>
  <c r="E18" i="12"/>
  <c r="E35" i="12" s="1"/>
  <c r="K67" i="15"/>
  <c r="F66" i="15"/>
  <c r="F46" i="15"/>
  <c r="D77" i="15"/>
  <c r="H54" i="15"/>
  <c r="E66" i="15"/>
  <c r="E46" i="15"/>
  <c r="K84" i="15"/>
  <c r="I55" i="14"/>
  <c r="C75" i="15"/>
  <c r="E52" i="15"/>
  <c r="C93" i="15" s="1"/>
  <c r="C55" i="14"/>
  <c r="C34" i="13"/>
  <c r="C18" i="13"/>
  <c r="I84" i="15"/>
  <c r="I66" i="15"/>
  <c r="I46" i="15"/>
  <c r="K54" i="15"/>
  <c r="L44" i="15"/>
  <c r="E77" i="15" s="1"/>
  <c r="M44" i="15"/>
  <c r="F77" i="15" s="1"/>
  <c r="L64" i="15"/>
  <c r="E86" i="15" s="1"/>
  <c r="N44" i="15"/>
  <c r="G77" i="15" s="1"/>
  <c r="O44" i="15"/>
  <c r="H77" i="15" s="1"/>
  <c r="M64" i="15"/>
  <c r="F86" i="15" s="1"/>
  <c r="P44" i="15"/>
  <c r="I77" i="15" s="1"/>
  <c r="N64" i="15"/>
  <c r="G86" i="15" s="1"/>
  <c r="Q44" i="15"/>
  <c r="J77" i="15" s="1"/>
  <c r="O64" i="15"/>
  <c r="H86" i="15" s="1"/>
  <c r="R44" i="15"/>
  <c r="K77" i="15" s="1"/>
  <c r="P64" i="15"/>
  <c r="I86" i="15" s="1"/>
  <c r="Q64" i="15"/>
  <c r="J86" i="15" s="1"/>
  <c r="S44" i="15"/>
  <c r="L77" i="15" s="1"/>
  <c r="R64" i="15"/>
  <c r="K86" i="15" s="1"/>
  <c r="S64" i="15"/>
  <c r="L86" i="15" s="1"/>
  <c r="G41" i="15"/>
  <c r="G51" i="15" s="1"/>
  <c r="G61" i="15"/>
  <c r="J65" i="15"/>
  <c r="J45" i="15"/>
  <c r="J55" i="15" s="1"/>
  <c r="E55" i="14"/>
  <c r="C65" i="15"/>
  <c r="C45" i="15"/>
  <c r="C55" i="15" s="1"/>
  <c r="H84" i="15"/>
  <c r="F75" i="15"/>
  <c r="H66" i="15"/>
  <c r="H46" i="15"/>
  <c r="BF36" i="9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F56" i="15" l="1"/>
  <c r="H79" i="15"/>
  <c r="H59" i="16" s="1"/>
  <c r="H63" i="16" s="1"/>
  <c r="O47" i="15"/>
  <c r="F67" i="15"/>
  <c r="F88" i="15"/>
  <c r="D56" i="15"/>
  <c r="D60" i="15"/>
  <c r="D40" i="15"/>
  <c r="D50" i="15" s="1"/>
  <c r="D95" i="15"/>
  <c r="D87" i="15"/>
  <c r="G88" i="15"/>
  <c r="E79" i="15"/>
  <c r="E59" i="16" s="1"/>
  <c r="E63" i="16" s="1"/>
  <c r="H50" i="15"/>
  <c r="K87" i="15"/>
  <c r="G87" i="15"/>
  <c r="T66" i="15"/>
  <c r="L88" i="15"/>
  <c r="I79" i="15"/>
  <c r="I59" i="16" s="1"/>
  <c r="I63" i="16" s="1"/>
  <c r="P47" i="15"/>
  <c r="S56" i="15"/>
  <c r="M56" i="15"/>
  <c r="F97" i="15" s="1"/>
  <c r="N56" i="15"/>
  <c r="G97" i="15" s="1"/>
  <c r="O56" i="15"/>
  <c r="R56" i="15"/>
  <c r="K97" i="15" s="1"/>
  <c r="P56" i="15"/>
  <c r="Q56" i="15"/>
  <c r="L56" i="15"/>
  <c r="E97" i="15" s="1"/>
  <c r="D82" i="15"/>
  <c r="L51" i="15"/>
  <c r="M51" i="15"/>
  <c r="F92" i="15" s="1"/>
  <c r="N51" i="15"/>
  <c r="O51" i="15"/>
  <c r="R51" i="15"/>
  <c r="P51" i="15"/>
  <c r="Q51" i="15"/>
  <c r="S51" i="15"/>
  <c r="J87" i="15"/>
  <c r="F87" i="15"/>
  <c r="C78" i="15"/>
  <c r="E55" i="15"/>
  <c r="C96" i="15" s="1"/>
  <c r="I93" i="15"/>
  <c r="L54" i="15"/>
  <c r="E95" i="15" s="1"/>
  <c r="M54" i="15"/>
  <c r="F95" i="15" s="1"/>
  <c r="N54" i="15"/>
  <c r="G95" i="15" s="1"/>
  <c r="O54" i="15"/>
  <c r="H95" i="15" s="1"/>
  <c r="Q54" i="15"/>
  <c r="J95" i="15" s="1"/>
  <c r="P54" i="15"/>
  <c r="I95" i="15" s="1"/>
  <c r="R54" i="15"/>
  <c r="K95" i="15" s="1"/>
  <c r="S54" i="15"/>
  <c r="L95" i="15" s="1"/>
  <c r="K88" i="15"/>
  <c r="R67" i="15"/>
  <c r="T46" i="15"/>
  <c r="L79" i="15"/>
  <c r="L59" i="16" s="1"/>
  <c r="L63" i="16" s="1"/>
  <c r="S47" i="15"/>
  <c r="I56" i="15"/>
  <c r="I47" i="15"/>
  <c r="I88" i="15"/>
  <c r="H53" i="15"/>
  <c r="D94" i="15" s="1"/>
  <c r="D76" i="15"/>
  <c r="C40" i="15"/>
  <c r="C60" i="15"/>
  <c r="C67" i="15" s="1"/>
  <c r="J56" i="15"/>
  <c r="I40" i="15"/>
  <c r="I50" i="15" s="1"/>
  <c r="I60" i="15"/>
  <c r="I67" i="15" s="1"/>
  <c r="C74" i="15"/>
  <c r="E51" i="15"/>
  <c r="C92" i="15" s="1"/>
  <c r="H56" i="15"/>
  <c r="D97" i="15" s="1"/>
  <c r="D79" i="15"/>
  <c r="D59" i="16" s="1"/>
  <c r="H47" i="15"/>
  <c r="C35" i="13"/>
  <c r="C29" i="13"/>
  <c r="C25" i="13"/>
  <c r="C28" i="13"/>
  <c r="C27" i="13"/>
  <c r="C24" i="13"/>
  <c r="C26" i="13"/>
  <c r="C23" i="13"/>
  <c r="C79" i="15"/>
  <c r="C59" i="16" s="1"/>
  <c r="C63" i="16" s="1"/>
  <c r="E56" i="15"/>
  <c r="C97" i="15" s="1"/>
  <c r="E47" i="15"/>
  <c r="H88" i="15"/>
  <c r="F79" i="15"/>
  <c r="F59" i="16" s="1"/>
  <c r="F63" i="16" s="1"/>
  <c r="E60" i="15"/>
  <c r="C82" i="15" s="1"/>
  <c r="E40" i="15"/>
  <c r="D73" i="15" s="1"/>
  <c r="K74" i="15"/>
  <c r="E74" i="15"/>
  <c r="G40" i="15"/>
  <c r="G50" i="15" s="1"/>
  <c r="G60" i="15"/>
  <c r="G67" i="15" s="1"/>
  <c r="H87" i="15"/>
  <c r="E78" i="15"/>
  <c r="E93" i="15"/>
  <c r="J40" i="15"/>
  <c r="J50" i="15" s="1"/>
  <c r="J60" i="15"/>
  <c r="J88" i="15"/>
  <c r="Q67" i="15"/>
  <c r="E33" i="13"/>
  <c r="E87" i="15"/>
  <c r="F60" i="15"/>
  <c r="F40" i="15"/>
  <c r="F50" i="15" s="1"/>
  <c r="G79" i="15"/>
  <c r="G59" i="16" s="1"/>
  <c r="G63" i="16" s="1"/>
  <c r="D67" i="15"/>
  <c r="I87" i="15"/>
  <c r="D35" i="13"/>
  <c r="D25" i="13"/>
  <c r="D23" i="13"/>
  <c r="D28" i="13"/>
  <c r="D29" i="13"/>
  <c r="D24" i="13"/>
  <c r="D26" i="13"/>
  <c r="D27" i="13"/>
  <c r="K79" i="15"/>
  <c r="K59" i="16" s="1"/>
  <c r="K63" i="16" s="1"/>
  <c r="E88" i="15"/>
  <c r="J67" i="15"/>
  <c r="D88" i="15"/>
  <c r="H67" i="15"/>
  <c r="C88" i="15"/>
  <c r="E67" i="15"/>
  <c r="H55" i="15"/>
  <c r="D78" i="15"/>
  <c r="J79" i="15"/>
  <c r="J59" i="16" s="1"/>
  <c r="J63" i="16" s="1"/>
  <c r="L40" i="15"/>
  <c r="E73" i="15" s="1"/>
  <c r="K50" i="15"/>
  <c r="N40" i="15"/>
  <c r="G73" i="15" s="1"/>
  <c r="L60" i="15"/>
  <c r="E82" i="15" s="1"/>
  <c r="M40" i="15"/>
  <c r="F73" i="15" s="1"/>
  <c r="O40" i="15"/>
  <c r="H73" i="15" s="1"/>
  <c r="M60" i="15"/>
  <c r="M67" i="15" s="1"/>
  <c r="P40" i="15"/>
  <c r="I73" i="15" s="1"/>
  <c r="N60" i="15"/>
  <c r="G82" i="15" s="1"/>
  <c r="Q40" i="15"/>
  <c r="J73" i="15" s="1"/>
  <c r="O60" i="15"/>
  <c r="H82" i="15" s="1"/>
  <c r="R40" i="15"/>
  <c r="K73" i="15" s="1"/>
  <c r="P60" i="15"/>
  <c r="P67" i="15" s="1"/>
  <c r="Q60" i="15"/>
  <c r="J82" i="15" s="1"/>
  <c r="S40" i="15"/>
  <c r="L73" i="15" s="1"/>
  <c r="R60" i="15"/>
  <c r="S60" i="15"/>
  <c r="L82" i="15" s="1"/>
  <c r="G56" i="15"/>
  <c r="G47" i="15"/>
  <c r="D74" i="15"/>
  <c r="H51" i="15"/>
  <c r="G74" i="15"/>
  <c r="D93" i="15"/>
  <c r="L87" i="15"/>
  <c r="I78" i="15"/>
  <c r="L55" i="15"/>
  <c r="E96" i="15" s="1"/>
  <c r="M55" i="15"/>
  <c r="F96" i="15" s="1"/>
  <c r="N55" i="15"/>
  <c r="G96" i="15" s="1"/>
  <c r="O55" i="15"/>
  <c r="R55" i="15"/>
  <c r="K96" i="15" s="1"/>
  <c r="P55" i="15"/>
  <c r="Q55" i="15"/>
  <c r="S55" i="15"/>
  <c r="L96" i="15" s="1"/>
  <c r="L93" i="15"/>
  <c r="L53" i="15"/>
  <c r="E94" i="15" s="1"/>
  <c r="M53" i="15"/>
  <c r="F94" i="15" s="1"/>
  <c r="N53" i="15"/>
  <c r="G94" i="15" s="1"/>
  <c r="O53" i="15"/>
  <c r="H94" i="15" s="1"/>
  <c r="R53" i="15"/>
  <c r="K94" i="15" s="1"/>
  <c r="P53" i="15"/>
  <c r="I94" i="15" s="1"/>
  <c r="Q53" i="15"/>
  <c r="J94" i="15" s="1"/>
  <c r="S53" i="15"/>
  <c r="L94" i="15" s="1"/>
  <c r="BF37" i="9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D63" i="16" l="1"/>
  <c r="C50" i="15"/>
  <c r="C47" i="15"/>
  <c r="O67" i="15"/>
  <c r="H92" i="15"/>
  <c r="H96" i="15"/>
  <c r="D92" i="15"/>
  <c r="I82" i="15"/>
  <c r="D96" i="15"/>
  <c r="R47" i="15"/>
  <c r="M47" i="15"/>
  <c r="G92" i="15"/>
  <c r="H97" i="15"/>
  <c r="N67" i="15"/>
  <c r="E92" i="15"/>
  <c r="L92" i="15"/>
  <c r="J92" i="15"/>
  <c r="J96" i="15"/>
  <c r="K82" i="15"/>
  <c r="Q47" i="15"/>
  <c r="I92" i="15"/>
  <c r="J97" i="15"/>
  <c r="F47" i="15"/>
  <c r="M50" i="15"/>
  <c r="F91" i="15" s="1"/>
  <c r="N50" i="15"/>
  <c r="O50" i="15"/>
  <c r="P50" i="15"/>
  <c r="I91" i="15" s="1"/>
  <c r="R50" i="15"/>
  <c r="K91" i="15" s="1"/>
  <c r="Q50" i="15"/>
  <c r="J91" i="15" s="1"/>
  <c r="S50" i="15"/>
  <c r="L91" i="15" s="1"/>
  <c r="L50" i="15"/>
  <c r="T56" i="15"/>
  <c r="L97" i="15"/>
  <c r="N47" i="15"/>
  <c r="I96" i="15"/>
  <c r="F82" i="15"/>
  <c r="L67" i="15"/>
  <c r="C73" i="15"/>
  <c r="E50" i="15"/>
  <c r="C91" i="15" s="1"/>
  <c r="J47" i="15"/>
  <c r="K92" i="15"/>
  <c r="I97" i="15"/>
  <c r="S67" i="15"/>
  <c r="L47" i="15"/>
  <c r="D47" i="15"/>
  <c r="BD39" i="9"/>
  <c r="AV38" i="9"/>
  <c r="E40" i="8" s="1" a="1"/>
  <c r="BF38" i="9"/>
  <c r="BL38" i="9" s="1"/>
  <c r="AN39" i="9"/>
  <c r="AP39" i="9"/>
  <c r="AF39" i="9"/>
  <c r="E11" i="8"/>
  <c r="E21" i="8" s="1"/>
  <c r="F5" i="12" s="1"/>
  <c r="E17" i="8"/>
  <c r="E27" i="8" s="1"/>
  <c r="F11" i="12" s="1"/>
  <c r="E18" i="8"/>
  <c r="E28" i="8" s="1"/>
  <c r="F12" i="12" s="1"/>
  <c r="E15" i="8"/>
  <c r="E25" i="8" s="1"/>
  <c r="F9" i="12" s="1"/>
  <c r="E14" i="8"/>
  <c r="E24" i="8" s="1"/>
  <c r="F8" i="12" s="1"/>
  <c r="E13" i="8"/>
  <c r="E23" i="8" s="1"/>
  <c r="F7" i="12" s="1"/>
  <c r="E12" i="8"/>
  <c r="E22" i="8" s="1"/>
  <c r="F6" i="12" s="1"/>
  <c r="E16" i="8"/>
  <c r="E26" i="8" s="1"/>
  <c r="F10" i="12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F16" i="12" l="1"/>
  <c r="F36" i="12"/>
  <c r="E91" i="15"/>
  <c r="H91" i="15"/>
  <c r="F22" i="12"/>
  <c r="F15" i="12"/>
  <c r="F32" i="12" s="1"/>
  <c r="G91" i="15"/>
  <c r="D91" i="15"/>
  <c r="BD40" i="9"/>
  <c r="AV39" i="9"/>
  <c r="BF39" i="9"/>
  <c r="BL39" i="9" s="1"/>
  <c r="E41" i="8"/>
  <c r="E47" i="8"/>
  <c r="E42" i="8"/>
  <c r="E40" i="8"/>
  <c r="E43" i="8"/>
  <c r="E44" i="8"/>
  <c r="E46" i="8"/>
  <c r="E45" i="8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E53" i="8" l="1"/>
  <c r="F8" i="13"/>
  <c r="E50" i="8"/>
  <c r="F5" i="13"/>
  <c r="F33" i="12"/>
  <c r="E56" i="8"/>
  <c r="F11" i="13"/>
  <c r="E57" i="8"/>
  <c r="F12" i="13"/>
  <c r="E51" i="8"/>
  <c r="F6" i="13"/>
  <c r="E54" i="8"/>
  <c r="F9" i="13"/>
  <c r="E52" i="8"/>
  <c r="F7" i="13"/>
  <c r="E55" i="8"/>
  <c r="F10" i="13"/>
  <c r="BF40" i="9"/>
  <c r="BL40" i="9" s="1"/>
  <c r="AV40" i="9"/>
  <c r="BD41" i="9"/>
  <c r="AN41" i="9"/>
  <c r="AP41" i="9"/>
  <c r="AF41" i="9"/>
  <c r="AL42" i="9"/>
  <c r="BB42" i="9" s="1"/>
  <c r="AH42" i="9"/>
  <c r="AX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F22" i="13" l="1"/>
  <c r="F15" i="13"/>
  <c r="F32" i="13" s="1"/>
  <c r="BD42" i="9"/>
  <c r="F36" i="13"/>
  <c r="F16" i="13"/>
  <c r="BF41" i="9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F33" i="13" l="1"/>
  <c r="BD43" i="9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F40" i="8" s="1" a="1"/>
  <c r="BD44" i="9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46" i="8"/>
  <c r="F45" i="8"/>
  <c r="F44" i="8"/>
  <c r="F41" i="8"/>
  <c r="F43" i="8"/>
  <c r="F42" i="8"/>
  <c r="F47" i="8"/>
  <c r="AP45" i="9"/>
  <c r="AF45" i="9"/>
  <c r="F12" i="8"/>
  <c r="F22" i="8" s="1"/>
  <c r="G6" i="12" s="1"/>
  <c r="F11" i="8"/>
  <c r="F21" i="8" s="1"/>
  <c r="G5" i="12" s="1"/>
  <c r="F17" i="8"/>
  <c r="F27" i="8" s="1"/>
  <c r="G11" i="12" s="1"/>
  <c r="F18" i="8"/>
  <c r="F28" i="8" s="1"/>
  <c r="G12" i="12" s="1"/>
  <c r="F14" i="8"/>
  <c r="F24" i="8" s="1"/>
  <c r="G8" i="12" s="1"/>
  <c r="F15" i="8"/>
  <c r="F25" i="8" s="1"/>
  <c r="G9" i="12" s="1"/>
  <c r="F16" i="8"/>
  <c r="F26" i="8" s="1"/>
  <c r="G10" i="12" s="1"/>
  <c r="F13" i="8"/>
  <c r="F23" i="8" s="1"/>
  <c r="G7" i="12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F55" i="8" l="1"/>
  <c r="G10" i="13"/>
  <c r="F56" i="8"/>
  <c r="G11" i="13"/>
  <c r="F50" i="8"/>
  <c r="G5" i="13"/>
  <c r="F57" i="8"/>
  <c r="G12" i="13"/>
  <c r="F52" i="8"/>
  <c r="G7" i="13"/>
  <c r="G15" i="12"/>
  <c r="G32" i="12" s="1"/>
  <c r="G22" i="12"/>
  <c r="F54" i="8"/>
  <c r="G9" i="13"/>
  <c r="G16" i="12"/>
  <c r="G36" i="12"/>
  <c r="F53" i="8"/>
  <c r="G8" i="13"/>
  <c r="F51" i="8"/>
  <c r="G6" i="13"/>
  <c r="BF45" i="9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G16" i="13" l="1"/>
  <c r="G36" i="13"/>
  <c r="G22" i="13"/>
  <c r="G15" i="13"/>
  <c r="G32" i="13" s="1"/>
  <c r="G33" i="12"/>
  <c r="BD47" i="9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G33" i="13" l="1"/>
  <c r="AV47" i="9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47" i="8"/>
  <c r="G46" i="8"/>
  <c r="G45" i="8"/>
  <c r="G42" i="8"/>
  <c r="G41" i="8"/>
  <c r="G44" i="8"/>
  <c r="G43" i="8"/>
  <c r="AP50" i="9"/>
  <c r="AF50" i="9"/>
  <c r="G12" i="8"/>
  <c r="G22" i="8" s="1"/>
  <c r="H6" i="12" s="1"/>
  <c r="G17" i="8"/>
  <c r="G27" i="8" s="1"/>
  <c r="H11" i="12" s="1"/>
  <c r="G18" i="8"/>
  <c r="G28" i="8" s="1"/>
  <c r="H12" i="12" s="1"/>
  <c r="G14" i="8"/>
  <c r="G24" i="8" s="1"/>
  <c r="H8" i="12" s="1"/>
  <c r="G15" i="8"/>
  <c r="G25" i="8" s="1"/>
  <c r="H9" i="12" s="1"/>
  <c r="G13" i="8"/>
  <c r="G23" i="8" s="1"/>
  <c r="H7" i="12" s="1"/>
  <c r="G11" i="8"/>
  <c r="G21" i="8" s="1"/>
  <c r="H5" i="12" s="1"/>
  <c r="G16" i="8"/>
  <c r="G26" i="8" s="1"/>
  <c r="H10" i="12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G56" i="8" l="1"/>
  <c r="H11" i="13"/>
  <c r="G57" i="8"/>
  <c r="H12" i="13"/>
  <c r="H22" i="12"/>
  <c r="H15" i="12"/>
  <c r="H32" i="12" s="1"/>
  <c r="G50" i="8"/>
  <c r="H5" i="13"/>
  <c r="G55" i="8"/>
  <c r="H10" i="13"/>
  <c r="G53" i="8"/>
  <c r="H8" i="13"/>
  <c r="G54" i="8"/>
  <c r="H9" i="13"/>
  <c r="G51" i="8"/>
  <c r="H6" i="13"/>
  <c r="H16" i="12"/>
  <c r="H36" i="12"/>
  <c r="G52" i="8"/>
  <c r="H7" i="13"/>
  <c r="AV50" i="9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H36" i="13" l="1"/>
  <c r="H16" i="13"/>
  <c r="H17" i="12"/>
  <c r="H33" i="12"/>
  <c r="H15" i="13"/>
  <c r="H32" i="13" s="1"/>
  <c r="H22" i="13"/>
  <c r="AN52" i="9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G17" i="12" l="1"/>
  <c r="H34" i="12"/>
  <c r="H18" i="12"/>
  <c r="H33" i="13"/>
  <c r="H17" i="13"/>
  <c r="X53" i="9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H35" i="12" l="1"/>
  <c r="H26" i="12"/>
  <c r="H29" i="12"/>
  <c r="H27" i="12"/>
  <c r="H28" i="12"/>
  <c r="H25" i="12"/>
  <c r="H23" i="12"/>
  <c r="H24" i="12"/>
  <c r="G17" i="13"/>
  <c r="H34" i="13"/>
  <c r="H18" i="13"/>
  <c r="G18" i="12"/>
  <c r="G34" i="12"/>
  <c r="BD54" i="9"/>
  <c r="BF53" i="9"/>
  <c r="BL53" i="9" s="1"/>
  <c r="AV53" i="9"/>
  <c r="H40" i="8" s="1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H35" i="13" l="1"/>
  <c r="H25" i="13"/>
  <c r="H28" i="13"/>
  <c r="H24" i="13"/>
  <c r="H27" i="13"/>
  <c r="H29" i="13"/>
  <c r="H23" i="13"/>
  <c r="H26" i="13"/>
  <c r="G25" i="12"/>
  <c r="G35" i="12"/>
  <c r="G24" i="12"/>
  <c r="G27" i="12"/>
  <c r="G29" i="12"/>
  <c r="G26" i="12"/>
  <c r="G28" i="12"/>
  <c r="G23" i="12"/>
  <c r="G18" i="13"/>
  <c r="G34" i="13"/>
  <c r="AV54" i="9"/>
  <c r="BF54" i="9"/>
  <c r="BL54" i="9" s="1"/>
  <c r="AN55" i="9"/>
  <c r="AX55" i="9"/>
  <c r="BD55" i="9" s="1"/>
  <c r="H47" i="8"/>
  <c r="H46" i="8"/>
  <c r="H45" i="8"/>
  <c r="H42" i="8"/>
  <c r="H41" i="8"/>
  <c r="H44" i="8"/>
  <c r="H43" i="8"/>
  <c r="H40" i="8"/>
  <c r="AP55" i="9"/>
  <c r="AF55" i="9"/>
  <c r="H12" i="8"/>
  <c r="H22" i="8" s="1"/>
  <c r="I6" i="12" s="1"/>
  <c r="H11" i="8"/>
  <c r="H21" i="8" s="1"/>
  <c r="I5" i="12" s="1"/>
  <c r="H15" i="8"/>
  <c r="H25" i="8" s="1"/>
  <c r="I9" i="12" s="1"/>
  <c r="H18" i="8"/>
  <c r="H28" i="8" s="1"/>
  <c r="I12" i="12" s="1"/>
  <c r="H17" i="8"/>
  <c r="H27" i="8" s="1"/>
  <c r="I11" i="12" s="1"/>
  <c r="H14" i="8"/>
  <c r="H24" i="8" s="1"/>
  <c r="I8" i="12" s="1"/>
  <c r="H16" i="8"/>
  <c r="H26" i="8" s="1"/>
  <c r="I10" i="12" s="1"/>
  <c r="H13" i="8"/>
  <c r="H23" i="8" s="1"/>
  <c r="I7" i="12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H51" i="8" l="1"/>
  <c r="I6" i="13"/>
  <c r="I22" i="12"/>
  <c r="I15" i="12"/>
  <c r="I32" i="12" s="1"/>
  <c r="H52" i="8"/>
  <c r="I7" i="13"/>
  <c r="I36" i="12"/>
  <c r="I16" i="12"/>
  <c r="H55" i="8"/>
  <c r="I10" i="13"/>
  <c r="G28" i="13"/>
  <c r="G35" i="13"/>
  <c r="G25" i="13"/>
  <c r="G26" i="13"/>
  <c r="G27" i="13"/>
  <c r="G23" i="13"/>
  <c r="G24" i="13"/>
  <c r="G29" i="13"/>
  <c r="H57" i="8"/>
  <c r="I12" i="13"/>
  <c r="H50" i="8"/>
  <c r="I5" i="13"/>
  <c r="H53" i="8"/>
  <c r="I8" i="13"/>
  <c r="H54" i="8"/>
  <c r="I9" i="13"/>
  <c r="H56" i="8"/>
  <c r="I11" i="13"/>
  <c r="BD56" i="9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I15" i="13" l="1"/>
  <c r="I32" i="13" s="1"/>
  <c r="I22" i="13"/>
  <c r="I33" i="12"/>
  <c r="I17" i="12"/>
  <c r="I16" i="13"/>
  <c r="I36" i="13"/>
  <c r="BF56" i="9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I34" i="12" l="1"/>
  <c r="I18" i="12"/>
  <c r="I17" i="13"/>
  <c r="I33" i="13"/>
  <c r="BF57" i="9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I35" i="12" l="1"/>
  <c r="I26" i="12"/>
  <c r="I25" i="12"/>
  <c r="I24" i="12"/>
  <c r="I28" i="12"/>
  <c r="I23" i="12"/>
  <c r="I27" i="12"/>
  <c r="I29" i="12"/>
  <c r="I18" i="13"/>
  <c r="I34" i="13"/>
  <c r="BF58" i="9"/>
  <c r="BL58" i="9" s="1"/>
  <c r="AV58" i="9"/>
  <c r="I40" i="8" s="1" a="1"/>
  <c r="BD59" i="9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I35" i="13" l="1"/>
  <c r="I27" i="13"/>
  <c r="I24" i="13"/>
  <c r="I29" i="13"/>
  <c r="I28" i="13"/>
  <c r="I25" i="13"/>
  <c r="I23" i="13"/>
  <c r="I26" i="13"/>
  <c r="BD60" i="9"/>
  <c r="BF59" i="9"/>
  <c r="BL59" i="9" s="1"/>
  <c r="AV59" i="9"/>
  <c r="I41" i="8"/>
  <c r="J6" i="13" s="1"/>
  <c r="I42" i="8"/>
  <c r="I44" i="8"/>
  <c r="I46" i="8"/>
  <c r="I47" i="8"/>
  <c r="I40" i="8"/>
  <c r="I43" i="8"/>
  <c r="I45" i="8"/>
  <c r="AP60" i="9"/>
  <c r="AF60" i="9"/>
  <c r="AN60" i="9"/>
  <c r="I12" i="8"/>
  <c r="I22" i="8" s="1"/>
  <c r="J6" i="12" s="1"/>
  <c r="I11" i="8"/>
  <c r="I21" i="8" s="1"/>
  <c r="J5" i="12" s="1"/>
  <c r="I18" i="8"/>
  <c r="I28" i="8" s="1"/>
  <c r="J12" i="12" s="1"/>
  <c r="I15" i="8"/>
  <c r="I25" i="8" s="1"/>
  <c r="J9" i="12" s="1"/>
  <c r="I14" i="8"/>
  <c r="I24" i="8" s="1"/>
  <c r="J8" i="12" s="1"/>
  <c r="I17" i="8"/>
  <c r="I27" i="8" s="1"/>
  <c r="J11" i="12" s="1"/>
  <c r="I16" i="8"/>
  <c r="I26" i="8" s="1"/>
  <c r="J10" i="12" s="1"/>
  <c r="I13" i="8"/>
  <c r="I23" i="8" s="1"/>
  <c r="J7" i="12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J22" i="12" l="1"/>
  <c r="J15" i="12"/>
  <c r="J32" i="12" s="1"/>
  <c r="I57" i="8"/>
  <c r="J12" i="13"/>
  <c r="I56" i="8"/>
  <c r="J11" i="13"/>
  <c r="I54" i="8"/>
  <c r="J9" i="13"/>
  <c r="I53" i="8"/>
  <c r="J8" i="13"/>
  <c r="I52" i="8"/>
  <c r="J7" i="13"/>
  <c r="I55" i="8"/>
  <c r="J10" i="13"/>
  <c r="J36" i="12"/>
  <c r="J16" i="12"/>
  <c r="I50" i="8"/>
  <c r="J5" i="13"/>
  <c r="BD61" i="9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J17" i="12" l="1"/>
  <c r="J33" i="12"/>
  <c r="J22" i="13"/>
  <c r="J15" i="13"/>
  <c r="J32" i="13" s="1"/>
  <c r="J16" i="13"/>
  <c r="J36" i="13"/>
  <c r="BD62" i="9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J34" i="12" l="1"/>
  <c r="J18" i="12"/>
  <c r="J17" i="13"/>
  <c r="J33" i="13"/>
  <c r="BD63" i="9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J35" i="12" l="1"/>
  <c r="J27" i="12"/>
  <c r="J28" i="12"/>
  <c r="J25" i="12"/>
  <c r="J26" i="12"/>
  <c r="J24" i="12"/>
  <c r="J29" i="12"/>
  <c r="J23" i="12"/>
  <c r="J18" i="13"/>
  <c r="J34" i="13"/>
  <c r="AV63" i="9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J35" i="13" l="1"/>
  <c r="J23" i="13"/>
  <c r="J27" i="13"/>
  <c r="J25" i="13"/>
  <c r="J28" i="13"/>
  <c r="J24" i="13"/>
  <c r="J29" i="13"/>
  <c r="J26" i="13"/>
  <c r="BF64" i="9"/>
  <c r="BL64" i="9" s="1"/>
  <c r="AV64" i="9"/>
  <c r="AN65" i="9"/>
  <c r="AX65" i="9"/>
  <c r="BD65" i="9" s="1"/>
  <c r="J41" i="8"/>
  <c r="J43" i="8"/>
  <c r="J40" i="8"/>
  <c r="J42" i="8"/>
  <c r="J44" i="8"/>
  <c r="J46" i="8"/>
  <c r="J47" i="8"/>
  <c r="J45" i="8"/>
  <c r="AP65" i="9"/>
  <c r="AF65" i="9"/>
  <c r="J12" i="8"/>
  <c r="J22" i="8" s="1"/>
  <c r="K6" i="12" s="1"/>
  <c r="J15" i="8"/>
  <c r="J25" i="8" s="1"/>
  <c r="K9" i="12" s="1"/>
  <c r="J18" i="8"/>
  <c r="J28" i="8" s="1"/>
  <c r="K12" i="12" s="1"/>
  <c r="J11" i="8"/>
  <c r="J21" i="8" s="1"/>
  <c r="K5" i="12" s="1"/>
  <c r="J14" i="8"/>
  <c r="J24" i="8" s="1"/>
  <c r="K8" i="12" s="1"/>
  <c r="J13" i="8"/>
  <c r="J23" i="8" s="1"/>
  <c r="K7" i="12" s="1"/>
  <c r="J16" i="8"/>
  <c r="J26" i="8" s="1"/>
  <c r="K10" i="12" s="1"/>
  <c r="J17" i="8"/>
  <c r="J27" i="8" s="1"/>
  <c r="K11" i="12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J51" i="8" l="1"/>
  <c r="K6" i="13"/>
  <c r="J57" i="8"/>
  <c r="K12" i="13"/>
  <c r="J53" i="8"/>
  <c r="K8" i="13"/>
  <c r="J55" i="8"/>
  <c r="K10" i="13"/>
  <c r="K22" i="12"/>
  <c r="K15" i="12"/>
  <c r="K32" i="12" s="1"/>
  <c r="J56" i="8"/>
  <c r="K11" i="13"/>
  <c r="J52" i="8"/>
  <c r="K7" i="13"/>
  <c r="J50" i="8"/>
  <c r="K5" i="13"/>
  <c r="K16" i="12"/>
  <c r="K36" i="12"/>
  <c r="J54" i="8"/>
  <c r="K9" i="13"/>
  <c r="BF65" i="9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K33" i="12" l="1"/>
  <c r="K17" i="12"/>
  <c r="K36" i="13"/>
  <c r="K16" i="13"/>
  <c r="K22" i="13"/>
  <c r="K15" i="13"/>
  <c r="K32" i="13" s="1"/>
  <c r="AV66" i="9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K33" i="13" l="1"/>
  <c r="K17" i="13"/>
  <c r="K34" i="12"/>
  <c r="K18" i="12"/>
  <c r="AV67" i="9"/>
  <c r="BF67" i="9"/>
  <c r="BL67" i="9" s="1"/>
  <c r="A2" i="8" a="1"/>
  <c r="P2" i="8" s="1"/>
  <c r="BC68" i="9"/>
  <c r="BD68" i="9" s="1"/>
  <c r="AN68" i="9"/>
  <c r="AP68" i="9"/>
  <c r="AF68" i="9"/>
  <c r="K35" i="12" l="1"/>
  <c r="K23" i="12"/>
  <c r="K29" i="12"/>
  <c r="K27" i="12"/>
  <c r="K25" i="12"/>
  <c r="K28" i="12"/>
  <c r="K24" i="12"/>
  <c r="K26" i="12"/>
  <c r="K34" i="13"/>
  <c r="K18" i="13"/>
  <c r="Z8" i="8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A10" i="8" l="1"/>
  <c r="K35" i="13"/>
  <c r="K23" i="13"/>
  <c r="K28" i="13"/>
  <c r="K26" i="13"/>
  <c r="K25" i="13"/>
  <c r="K24" i="13"/>
  <c r="K27" i="13"/>
  <c r="K29" i="13"/>
  <c r="AB10" i="8"/>
  <c r="K40" i="8"/>
  <c r="K47" i="8"/>
  <c r="L12" i="13" s="1"/>
  <c r="K46" i="8"/>
  <c r="L11" i="13" s="1"/>
  <c r="K45" i="8"/>
  <c r="L10" i="13" s="1"/>
  <c r="K44" i="8"/>
  <c r="L9" i="13" s="1"/>
  <c r="K42" i="8"/>
  <c r="L7" i="13" s="1"/>
  <c r="K41" i="8"/>
  <c r="L6" i="13" s="1"/>
  <c r="K43" i="8"/>
  <c r="L8" i="13" s="1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AB39" i="8" s="1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L5" i="12" s="1"/>
  <c r="K18" i="8"/>
  <c r="K15" i="8"/>
  <c r="K13" i="8"/>
  <c r="K14" i="8"/>
  <c r="K16" i="8"/>
  <c r="K12" i="8"/>
  <c r="K17" i="8"/>
  <c r="M9" i="13" l="1"/>
  <c r="M10" i="13"/>
  <c r="M11" i="13"/>
  <c r="L15" i="12"/>
  <c r="L32" i="12" s="1"/>
  <c r="L22" i="12"/>
  <c r="K50" i="8"/>
  <c r="L5" i="13"/>
  <c r="M8" i="13"/>
  <c r="M7" i="13"/>
  <c r="L36" i="13"/>
  <c r="L16" i="13"/>
  <c r="M12" i="13"/>
  <c r="M6" i="13"/>
  <c r="AA39" i="8"/>
  <c r="L12" i="8"/>
  <c r="K22" i="8"/>
  <c r="L6" i="12" s="1"/>
  <c r="L43" i="8"/>
  <c r="K53" i="8"/>
  <c r="L16" i="8"/>
  <c r="K26" i="8"/>
  <c r="L10" i="12" s="1"/>
  <c r="L41" i="8"/>
  <c r="K51" i="8"/>
  <c r="M39" i="8"/>
  <c r="L14" i="8"/>
  <c r="K24" i="8"/>
  <c r="L8" i="12" s="1"/>
  <c r="L42" i="8"/>
  <c r="K52" i="8"/>
  <c r="L44" i="8"/>
  <c r="K54" i="8"/>
  <c r="L45" i="8"/>
  <c r="K55" i="8"/>
  <c r="L18" i="8"/>
  <c r="K28" i="8"/>
  <c r="L12" i="12" s="1"/>
  <c r="L46" i="8"/>
  <c r="K56" i="8"/>
  <c r="L15" i="8"/>
  <c r="K25" i="8"/>
  <c r="L9" i="12" s="1"/>
  <c r="L47" i="8"/>
  <c r="K57" i="8"/>
  <c r="L13" i="8"/>
  <c r="K23" i="8"/>
  <c r="L7" i="12" s="1"/>
  <c r="L17" i="8"/>
  <c r="K27" i="8"/>
  <c r="L11" i="12" s="1"/>
  <c r="M10" i="8"/>
  <c r="E34" i="13"/>
  <c r="E18" i="13"/>
  <c r="E35" i="13" s="1"/>
  <c r="M8" i="12" l="1"/>
  <c r="M6" i="12"/>
  <c r="M10" i="12"/>
  <c r="L16" i="12"/>
  <c r="L36" i="12"/>
  <c r="M12" i="12"/>
  <c r="L17" i="13"/>
  <c r="L33" i="13"/>
  <c r="M16" i="13"/>
  <c r="F17" i="13" s="1"/>
  <c r="F34" i="13" s="1"/>
  <c r="L22" i="13"/>
  <c r="L15" i="13"/>
  <c r="L32" i="13" s="1"/>
  <c r="M7" i="12"/>
  <c r="M9" i="12"/>
  <c r="M11" i="12"/>
  <c r="M17" i="13"/>
  <c r="F18" i="13"/>
  <c r="L18" i="13" l="1"/>
  <c r="L34" i="13"/>
  <c r="L17" i="12"/>
  <c r="L33" i="12"/>
  <c r="M16" i="12"/>
  <c r="F35" i="13"/>
  <c r="F28" i="13"/>
  <c r="F23" i="13"/>
  <c r="F24" i="13"/>
  <c r="F26" i="13"/>
  <c r="F25" i="13"/>
  <c r="F29" i="13"/>
  <c r="F27" i="13"/>
  <c r="L34" i="12" l="1"/>
  <c r="L18" i="12"/>
  <c r="E25" i="13"/>
  <c r="M25" i="13" s="1"/>
  <c r="E26" i="13"/>
  <c r="M26" i="13" s="1"/>
  <c r="F17" i="12"/>
  <c r="L35" i="13"/>
  <c r="L26" i="13"/>
  <c r="L29" i="13"/>
  <c r="E29" i="13" s="1"/>
  <c r="M29" i="13" s="1"/>
  <c r="L28" i="13"/>
  <c r="E28" i="13" s="1"/>
  <c r="M28" i="13" s="1"/>
  <c r="L27" i="13"/>
  <c r="E27" i="13" s="1"/>
  <c r="M27" i="13" s="1"/>
  <c r="L25" i="13"/>
  <c r="L23" i="13"/>
  <c r="E23" i="13" s="1"/>
  <c r="M23" i="13" s="1"/>
  <c r="L24" i="13"/>
  <c r="E24" i="13"/>
  <c r="M24" i="13" s="1"/>
  <c r="G9" i="16"/>
  <c r="G11" i="16"/>
  <c r="F18" i="12" l="1"/>
  <c r="F34" i="12"/>
  <c r="M17" i="12"/>
  <c r="L35" i="12"/>
  <c r="L25" i="12"/>
  <c r="L29" i="12"/>
  <c r="L26" i="12"/>
  <c r="L28" i="12"/>
  <c r="L23" i="12"/>
  <c r="L27" i="12"/>
  <c r="L24" i="12"/>
  <c r="G19" i="16"/>
  <c r="G20" i="16" s="1"/>
  <c r="F35" i="12" l="1"/>
  <c r="F28" i="12"/>
  <c r="E28" i="12" s="1"/>
  <c r="M28" i="12" s="1"/>
  <c r="F23" i="12"/>
  <c r="E23" i="12" s="1"/>
  <c r="M23" i="12" s="1"/>
  <c r="F27" i="12"/>
  <c r="E27" i="12" s="1"/>
  <c r="M27" i="12" s="1"/>
  <c r="F26" i="12"/>
  <c r="E26" i="12" s="1"/>
  <c r="M26" i="12" s="1"/>
  <c r="F25" i="12"/>
  <c r="E25" i="12" s="1"/>
  <c r="M25" i="12" s="1"/>
  <c r="F24" i="12"/>
  <c r="E24" i="12" s="1"/>
  <c r="M24" i="12" s="1"/>
  <c r="F29" i="12"/>
  <c r="E29" i="12" s="1"/>
  <c r="M29" i="12" s="1"/>
  <c r="F95" i="16"/>
  <c r="F91" i="16"/>
  <c r="F90" i="16"/>
  <c r="E70" i="16" l="1"/>
  <c r="G17" i="16"/>
  <c r="F96" i="16"/>
  <c r="F97" i="16"/>
  <c r="F98" i="16" s="1"/>
  <c r="I19" i="16"/>
  <c r="I20" i="16" s="1"/>
  <c r="H90" i="16" l="1"/>
  <c r="H91" i="16"/>
  <c r="H95" i="16"/>
  <c r="I17" i="16"/>
  <c r="I9" i="16"/>
  <c r="I11" i="16"/>
  <c r="G70" i="16" l="1"/>
  <c r="H96" i="16"/>
  <c r="H97" i="16"/>
  <c r="H98" i="16" s="1"/>
  <c r="H7" i="16"/>
  <c r="J11" i="16"/>
  <c r="H10" i="16" l="1"/>
  <c r="H8" i="16"/>
  <c r="J19" i="16"/>
  <c r="J20" i="16" s="1"/>
  <c r="J9" i="16"/>
  <c r="H9" i="16"/>
  <c r="H19" i="16"/>
  <c r="H20" i="16" s="1"/>
  <c r="H11" i="16"/>
  <c r="J10" i="16"/>
  <c r="G90" i="16" l="1"/>
  <c r="G95" i="16"/>
  <c r="G91" i="16"/>
  <c r="K11" i="16"/>
  <c r="K9" i="16"/>
  <c r="K19" i="16"/>
  <c r="K20" i="16" s="1"/>
  <c r="K10" i="16"/>
  <c r="H70" i="16" l="1"/>
  <c r="F70" i="16"/>
  <c r="G96" i="16"/>
  <c r="G97" i="16"/>
  <c r="G98" i="16" s="1"/>
  <c r="L19" i="16"/>
  <c r="L20" i="16" s="1"/>
  <c r="L11" i="16"/>
  <c r="L10" i="16"/>
  <c r="L9" i="16"/>
  <c r="I70" i="16" l="1"/>
  <c r="H74" i="16"/>
  <c r="H78" i="16"/>
  <c r="M10" i="16"/>
  <c r="M11" i="16"/>
  <c r="M19" i="16"/>
  <c r="M20" i="16" s="1"/>
  <c r="M9" i="16"/>
  <c r="I74" i="16" l="1"/>
  <c r="I78" i="16"/>
  <c r="J70" i="16"/>
  <c r="H79" i="16"/>
  <c r="H84" i="16"/>
  <c r="H82" i="16"/>
  <c r="H85" i="16" s="1"/>
  <c r="H75" i="16"/>
  <c r="K70" i="16"/>
  <c r="K74" i="16" s="1"/>
  <c r="M17" i="16" l="1"/>
  <c r="J74" i="16"/>
  <c r="J78" i="16"/>
  <c r="K75" i="16"/>
  <c r="I79" i="16"/>
  <c r="I84" i="16"/>
  <c r="I82" i="16"/>
  <c r="I85" i="16" s="1"/>
  <c r="I75" i="16"/>
  <c r="K78" i="16"/>
  <c r="K79" i="16" l="1"/>
  <c r="J79" i="16"/>
  <c r="J84" i="16"/>
  <c r="J82" i="16"/>
  <c r="J85" i="16" s="1"/>
  <c r="J75" i="16"/>
  <c r="K82" i="16"/>
  <c r="K85" i="16" s="1"/>
  <c r="K84" i="16"/>
</calcChain>
</file>

<file path=xl/sharedStrings.xml><?xml version="1.0" encoding="utf-8"?>
<sst xmlns="http://schemas.openxmlformats.org/spreadsheetml/2006/main" count="2197" uniqueCount="375">
  <si>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</si>
  <si>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</si>
  <si>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</si>
  <si>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</si>
  <si>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</si>
  <si>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</si>
  <si>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</si>
  <si>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</si>
  <si>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</si>
  <si>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</si>
  <si>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</si>
  <si>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</si>
  <si>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</si>
  <si>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</si>
  <si>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</si>
  <si>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</si>
  <si>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</si>
  <si>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</si>
  <si>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</si>
  <si>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</si>
  <si>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</si>
  <si>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</si>
  <si>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</si>
  <si>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</si>
  <si>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</si>
  <si>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</si>
  <si>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</si>
  <si>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</si>
  <si>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</si>
  <si>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</si>
  <si>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</si>
  <si>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</si>
  <si>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</si>
  <si>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</si>
  <si>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</si>
  <si>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</si>
  <si>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</si>
  <si>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</si>
  <si>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</si>
  <si>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</si>
  <si>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</si>
  <si>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</si>
  <si>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</si>
  <si>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</si>
  <si>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</si>
  <si>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</si>
  <si>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</si>
  <si>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</si>
  <si>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</si>
  <si>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</si>
  <si>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</si>
  <si>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</si>
  <si>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</si>
  <si>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</si>
  <si>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</si>
  <si>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</si>
  <si>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</si>
  <si>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</si>
  <si>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</si>
  <si>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</si>
  <si>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</si>
  <si>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</si>
  <si>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</si>
  <si>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</si>
  <si>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</si>
  <si>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</si>
  <si>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</si>
  <si>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</si>
  <si>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</si>
  <si>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</si>
  <si>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</si>
  <si>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</si>
  <si>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</si>
  <si>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</si>
  <si>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</si>
  <si>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</si>
  <si>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</si>
  <si>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</si>
  <si>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</si>
  <si>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</si>
  <si>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</si>
  <si>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</si>
  <si>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</si>
  <si>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</si>
  <si>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</si>
  <si>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</si>
  <si>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</si>
  <si>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</si>
  <si>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</si>
  <si>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</si>
  <si>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</si>
  <si>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</si>
  <si>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</si>
  <si>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</si>
  <si>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</si>
  <si>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</si>
  <si>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</si>
  <si>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</si>
  <si>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</si>
  <si>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</si>
  <si>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</si>
  <si>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</si>
  <si>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</si>
  <si>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</si>
  <si>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</si>
  <si>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</si>
  <si>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</si>
  <si>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</si>
  <si>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</si>
  <si>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</si>
  <si>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</si>
  <si>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</si>
  <si>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</si>
  <si>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</si>
  <si>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</si>
  <si>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</si>
  <si>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</si>
  <si>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</si>
  <si>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</si>
  <si>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</si>
  <si>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</si>
  <si>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</si>
  <si>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</si>
  <si>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</si>
  <si>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</si>
  <si>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</si>
  <si>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</si>
  <si>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</si>
  <si>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</si>
  <si>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</si>
  <si>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</si>
  <si>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</si>
  <si>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</si>
  <si>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</si>
  <si>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</si>
  <si>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</si>
  <si>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</si>
  <si>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</si>
  <si>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</si>
  <si>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</si>
  <si>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</si>
  <si>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</si>
  <si>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</si>
  <si>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</si>
  <si>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</si>
  <si>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</si>
  <si>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</si>
  <si>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</si>
  <si>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</si>
  <si>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</si>
  <si>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</si>
  <si>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</si>
  <si>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</si>
  <si>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</si>
  <si>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</si>
  <si>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</si>
  <si>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</si>
  <si>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</si>
  <si>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</si>
  <si>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</si>
  <si>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</si>
  <si>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</si>
  <si>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</si>
  <si>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</si>
  <si>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</si>
  <si>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</si>
  <si>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</si>
  <si>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</si>
  <si>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</si>
  <si>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</si>
  <si>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</si>
  <si>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</si>
  <si>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</si>
  <si>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</si>
  <si>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</si>
  <si>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</si>
  <si>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</si>
  <si>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</si>
  <si>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</si>
  <si>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</si>
  <si>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</si>
  <si>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</si>
  <si>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</si>
  <si>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</si>
  <si>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</si>
  <si>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</si>
  <si>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</si>
  <si>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</si>
  <si>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</si>
  <si>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</si>
  <si>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</si>
  <si>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</si>
  <si>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</si>
  <si>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</si>
  <si>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</si>
  <si>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</si>
  <si>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</si>
  <si>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</si>
  <si>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</si>
  <si>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</si>
  <si>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</si>
  <si>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</si>
  <si>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</si>
  <si>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</si>
  <si>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</si>
  <si>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</si>
  <si>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</si>
  <si>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</si>
  <si>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</si>
  <si>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</si>
  <si>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</si>
  <si>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</si>
  <si>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</si>
  <si>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</si>
  <si>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</si>
  <si>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</si>
  <si>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</si>
  <si>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</si>
  <si>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</si>
  <si>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</si>
  <si>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</si>
  <si>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</si>
  <si>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</si>
  <si>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</si>
  <si>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</si>
  <si>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</si>
  <si>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</si>
  <si>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</si>
  <si>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</si>
  <si>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</si>
  <si>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</si>
  <si>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</si>
  <si>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</si>
  <si>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</si>
  <si>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</si>
  <si>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</si>
  <si>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</si>
  <si>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</si>
  <si>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</si>
  <si>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</si>
  <si>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</si>
  <si>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</si>
  <si>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</si>
  <si>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</si>
  <si>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</si>
  <si>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</si>
  <si>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</si>
  <si>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</si>
  <si>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</si>
  <si>
    <t>Werte in 2011 wurden von Jahr 2010 genohmen</t>
  </si>
  <si>
    <t>EU-Cap (2011 = 1)</t>
  </si>
  <si>
    <t>EU-Cap 95% (2011 = 1)</t>
  </si>
  <si>
    <t>total emissions:</t>
  </si>
  <si>
    <t>Source:</t>
  </si>
  <si>
    <t>OPA</t>
  </si>
  <si>
    <t>ETP (RTS)</t>
  </si>
  <si>
    <t>calibration factor</t>
  </si>
  <si>
    <t>INDCs scenario</t>
  </si>
  <si>
    <t xml:space="preserve">Original </t>
  </si>
  <si>
    <t>2DC scenario</t>
  </si>
  <si>
    <t>ETP (2DS)</t>
  </si>
  <si>
    <t>ITA</t>
  </si>
  <si>
    <t>POL</t>
  </si>
  <si>
    <t>UKI</t>
  </si>
  <si>
    <t>ESP</t>
  </si>
  <si>
    <t>BNL</t>
  </si>
  <si>
    <t>non-ETS Cap (normal policies)</t>
  </si>
  <si>
    <t>calibration</t>
  </si>
  <si>
    <t>non-ETS Cap (2dc)</t>
  </si>
  <si>
    <t>ENavi - E3</t>
  </si>
  <si>
    <t>E3</t>
  </si>
  <si>
    <t>Starke Europa</t>
  </si>
  <si>
    <t>Scenario</t>
  </si>
  <si>
    <t>Target</t>
  </si>
  <si>
    <t>80% reduction of emissions by 2050 in comparison to 1990</t>
  </si>
  <si>
    <t>2050 target</t>
  </si>
  <si>
    <t>-0,8 (to 1990)</t>
  </si>
  <si>
    <t>Description</t>
  </si>
  <si>
    <t>Real</t>
  </si>
  <si>
    <t>Projected</t>
  </si>
  <si>
    <t>source for Real: http://ec.europa.eu/eurostat/statistics-explained/index.php/Greenhouse_gas_emission_statistics</t>
  </si>
  <si>
    <t>NEWAGE INPUT</t>
  </si>
  <si>
    <t>ETS</t>
  </si>
  <si>
    <t>ESD</t>
  </si>
  <si>
    <t>Source</t>
  </si>
  <si>
    <t>EU-reference</t>
  </si>
  <si>
    <t>Schwach Europa</t>
  </si>
  <si>
    <t>E1</t>
  </si>
  <si>
    <t>Equal to EU-Reference Scenario</t>
  </si>
  <si>
    <t>file:///N:\ega\450 Kopernikus ENavi\6_Literatur_Gesamtprojekt\EU_Europa\EU_Reference_Scenario_2016_AppendixRefSce.xls</t>
  </si>
  <si>
    <t>tax</t>
  </si>
  <si>
    <t>try</t>
  </si>
  <si>
    <t>emission</t>
  </si>
  <si>
    <t>carbon_tax_yr("DEU","</t>
  </si>
  <si>
    <t>") =</t>
  </si>
  <si>
    <t>;</t>
  </si>
  <si>
    <t>DEU-CO2</t>
  </si>
  <si>
    <t>2050-target</t>
  </si>
  <si>
    <t>Source: Klimaschutzplan 2050 and UNFCC paper</t>
  </si>
  <si>
    <t>CO2-Emissionen</t>
  </si>
  <si>
    <t>Handlungsfeld</t>
  </si>
  <si>
    <t>NEWAGE-SET</t>
  </si>
  <si>
    <t>(in Mio. t CO2)</t>
  </si>
  <si>
    <t>(Minderung in % ggü. 1990)</t>
  </si>
  <si>
    <t>Energiewirtschaft</t>
  </si>
  <si>
    <t>e(i)</t>
  </si>
  <si>
    <t>COL</t>
  </si>
  <si>
    <t>CRU</t>
  </si>
  <si>
    <t>GAS</t>
  </si>
  <si>
    <t>OIL</t>
  </si>
  <si>
    <t>ELE</t>
  </si>
  <si>
    <t>Gebäude</t>
  </si>
  <si>
    <t>bui(i)</t>
  </si>
  <si>
    <t>BUI</t>
  </si>
  <si>
    <t>Verkehr</t>
  </si>
  <si>
    <t>trn(i)</t>
  </si>
  <si>
    <t>TRN</t>
  </si>
  <si>
    <t>Industrie</t>
  </si>
  <si>
    <t>ind(i)</t>
  </si>
  <si>
    <t>IRS</t>
  </si>
  <si>
    <t>NFM</t>
  </si>
  <si>
    <t>NMM</t>
  </si>
  <si>
    <t>PPP</t>
  </si>
  <si>
    <t>CHM</t>
  </si>
  <si>
    <t>FOT</t>
  </si>
  <si>
    <t>MVH</t>
  </si>
  <si>
    <t>MAC</t>
  </si>
  <si>
    <t>ROI</t>
  </si>
  <si>
    <t>Landwirtschaft</t>
  </si>
  <si>
    <t>agr(i)</t>
  </si>
  <si>
    <t>AGR</t>
  </si>
  <si>
    <t>Teilsumme</t>
  </si>
  <si>
    <t>Sonstige</t>
  </si>
  <si>
    <t>ser(i)</t>
  </si>
  <si>
    <t>SER</t>
  </si>
  <si>
    <t>Gesamtsumme</t>
  </si>
  <si>
    <t>ACHTUNG! WERTE FÜR 2011, 2015, 2020, 2025, 2035 UND 2045 LINEAR INTERPOLIERT!!!</t>
  </si>
  <si>
    <t>energy</t>
  </si>
  <si>
    <t>buildings</t>
  </si>
  <si>
    <t>transport</t>
  </si>
  <si>
    <t>industry</t>
  </si>
  <si>
    <t>agriculture</t>
  </si>
  <si>
    <t>services</t>
  </si>
  <si>
    <t>ALL</t>
  </si>
  <si>
    <t>ACHTUNG! WERTE FÜR 2011, 2015, 2020, 2025, 2035 UND 2045 ENTSTEHEN DURCH LINEARE INTERPOLATION (SIEHE OBEN)!!!</t>
  </si>
  <si>
    <t>Formel für lineare Interpolation:</t>
  </si>
  <si>
    <t>Source: Klimaschutzplan 2050 and UNFCC paper; Projektion 2030 - 2050 angepasst (Industrie unterscheidet prozessbedingte und restliche Emissionen)</t>
  </si>
  <si>
    <t>original</t>
  </si>
  <si>
    <t>NEWAGE values</t>
  </si>
  <si>
    <t>German CO2 (NA)</t>
  </si>
  <si>
    <t xml:space="preserve">EU27 </t>
  </si>
  <si>
    <t>reduction</t>
  </si>
  <si>
    <t>Starke Europa - ohne Deutschland</t>
  </si>
  <si>
    <t xml:space="preserve">E3 </t>
  </si>
  <si>
    <t>Roland's</t>
  </si>
  <si>
    <t>UBA</t>
  </si>
  <si>
    <t>GHG</t>
  </si>
  <si>
    <t>CO2 %</t>
  </si>
  <si>
    <t>CO2</t>
  </si>
  <si>
    <t>https://www.umweltbundesamt.de/daten/klima/treibhausgas-emissionen-in-deutschland#textpart-3</t>
  </si>
  <si>
    <t>NEWAGE input sectorial</t>
  </si>
  <si>
    <t>NEWAGE input DEU solo</t>
  </si>
  <si>
    <t>Schwach Europa - ohne deutschland - B</t>
  </si>
  <si>
    <t>NEWAGE</t>
  </si>
  <si>
    <t>EU-BAU</t>
  </si>
  <si>
    <t>E2</t>
  </si>
  <si>
    <t>E0</t>
  </si>
  <si>
    <t>Cluster Union</t>
  </si>
  <si>
    <t>Equal to cluster union</t>
  </si>
  <si>
    <t>C:\GAMS\NEWAGE_REEEM_Kopernikus\xcel_data\Archiv\clusters emisisons.xlsx</t>
  </si>
  <si>
    <t>ETS - clusters</t>
  </si>
  <si>
    <t>Hallo Roland,</t>
  </si>
  <si>
    <t>ich schlage vor, den Maximalwert für die Windenergie zunächst einmal aus PanEU zu nehmen: 1200 PJ oder 333,33 TWh/a. Für die Photovoltaik können wir erst einmal die Werte von Mainzer nehmen: 195,5 TWh/a oder 703,8 PJ.</t>
  </si>
  <si>
    <t>Viele Grüße</t>
  </si>
  <si>
    <t>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</si>
</sst>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0.000"/>
    <numFmt numFmtId="166" formatCode="0.0%"/>
    <numFmt numFmtId="167" formatCode="#,##0.000"/>
    <numFmt numFmtId="168" formatCode="#,##0.0000"/>
    <numFmt numFmtId="169" formatCode="0.000%"/>
    <numFmt numFmtId="170" formatCode="_-* #,##0\ _€_-;\-* #,##0\ _€_-;_-* &quot;-&quot;??\ _€_-;_-@_-"/>
    <numFmt numFmtId="171" formatCode="_-* #,##0.0000\ _€_-;\-* #,##0.0000\ _€_-;_-* &quot;-&quot;??\ _€_-;_-@_-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46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/>
    <xf numFmtId="168" fontId="19" fillId="0" borderId="18" xfId="0" applyNumberFormat="1" applyFont="1" applyBorder="1"/>
    <xf numFmtId="0" fontId="0" fillId="11" borderId="0" xfId="0" applyFill="1"/>
    <xf numFmtId="0" fontId="0" fillId="0" borderId="22" xfId="0" applyBorder="1"/>
    <xf numFmtId="0" fontId="0" fillId="0" borderId="3" xfId="0" applyBorder="1"/>
    <xf numFmtId="0" fontId="0" fillId="0" borderId="4" xfId="0" applyBorder="1"/>
    <xf numFmtId="0" fontId="0" fillId="0" borderId="40" xfId="0" applyBorder="1"/>
    <xf numFmtId="0" fontId="1" fillId="0" borderId="41" xfId="0" applyFont="1" applyBorder="1"/>
    <xf numFmtId="0" fontId="0" fillId="0" borderId="15" xfId="0" applyFill="1" applyBorder="1"/>
    <xf numFmtId="0" fontId="0" fillId="0" borderId="5" xfId="0" applyBorder="1"/>
    <xf numFmtId="0" fontId="0" fillId="15" borderId="42" xfId="0" applyFill="1" applyBorder="1"/>
    <xf numFmtId="0" fontId="0" fillId="15" borderId="17" xfId="0" applyFill="1" applyBorder="1"/>
    <xf numFmtId="0" fontId="0" fillId="0" borderId="43" xfId="0" applyBorder="1"/>
    <xf numFmtId="0" fontId="0" fillId="0" borderId="15" xfId="0" applyBorder="1"/>
    <xf numFmtId="0" fontId="0" fillId="0" borderId="6" xfId="0" applyBorder="1"/>
    <xf numFmtId="0" fontId="0" fillId="0" borderId="29" xfId="0" applyBorder="1"/>
    <xf numFmtId="0" fontId="1" fillId="0" borderId="36" xfId="0" applyFont="1" applyBorder="1"/>
    <xf numFmtId="0" fontId="1" fillId="0" borderId="24" xfId="0" applyFont="1" applyBorder="1"/>
    <xf numFmtId="0" fontId="0" fillId="28" borderId="0" xfId="0" applyNumberFormat="1" applyFill="1" applyBorder="1"/>
    <xf numFmtId="0" fontId="0" fillId="0" borderId="23" xfId="0" applyBorder="1"/>
    <xf numFmtId="0" fontId="0" fillId="0" borderId="36" xfId="0" applyBorder="1"/>
    <xf numFmtId="0" fontId="0" fillId="28" borderId="0" xfId="0" applyFill="1" applyBorder="1"/>
    <xf numFmtId="0" fontId="0" fillId="3" borderId="0" xfId="0" applyFill="1" applyBorder="1"/>
    <xf numFmtId="0" fontId="0" fillId="15" borderId="0" xfId="0" applyFill="1" applyBorder="1"/>
    <xf numFmtId="0" fontId="0" fillId="0" borderId="0" xfId="0" quotePrefix="1" applyBorder="1"/>
    <xf numFmtId="0" fontId="18" fillId="0" borderId="0" xfId="0" applyFont="1" applyBorder="1"/>
    <xf numFmtId="0" fontId="1" fillId="0" borderId="4" xfId="0" applyFont="1" applyBorder="1"/>
    <xf numFmtId="0" fontId="1" fillId="0" borderId="40" xfId="0" applyFont="1" applyBorder="1"/>
    <xf numFmtId="0" fontId="1" fillId="0" borderId="6" xfId="0" applyFont="1" applyBorder="1"/>
    <xf numFmtId="0" fontId="1" fillId="0" borderId="5" xfId="0" applyFont="1" applyBorder="1"/>
    <xf numFmtId="0" fontId="1" fillId="11" borderId="36" xfId="0" applyFont="1" applyFill="1" applyBorder="1"/>
    <xf numFmtId="0" fontId="1" fillId="0" borderId="0" xfId="0" applyFont="1" applyBorder="1"/>
    <xf numFmtId="0" fontId="1" fillId="11" borderId="5" xfId="0" applyFont="1" applyFill="1" applyBorder="1"/>
    <xf numFmtId="0" fontId="1" fillId="0" borderId="15" xfId="0" applyFont="1" applyBorder="1"/>
    <xf numFmtId="0" fontId="16" fillId="0" borderId="0" xfId="2" applyBorder="1"/>
    <xf numFmtId="0" fontId="0" fillId="15" borderId="21" xfId="0" applyFill="1" applyBorder="1"/>
    <xf numFmtId="0" fontId="0" fillId="15" borderId="22" xfId="0" applyFill="1" applyBorder="1"/>
    <xf numFmtId="0" fontId="0" fillId="15" borderId="36" xfId="0" applyFill="1" applyBorder="1"/>
    <xf numFmtId="169" fontId="0" fillId="0" borderId="0" xfId="1" applyNumberFormat="1" applyFont="1"/>
    <xf numFmtId="0" fontId="0" fillId="0" borderId="5" xfId="0" applyFill="1" applyBorder="1"/>
    <xf numFmtId="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1" applyNumberFormat="1" applyFont="1"/>
    <xf numFmtId="43" fontId="0" fillId="0" borderId="0" xfId="3" applyFont="1"/>
    <xf numFmtId="0" fontId="1" fillId="0" borderId="0" xfId="0" applyNumberFormat="1" applyFont="1"/>
    <xf numFmtId="43" fontId="1" fillId="0" borderId="0" xfId="3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 applyFont="1" applyBorder="1"/>
    <xf numFmtId="0" fontId="0" fillId="0" borderId="36" xfId="0" applyFill="1" applyBorder="1"/>
    <xf numFmtId="0" fontId="1" fillId="15" borderId="22" xfId="0" applyFont="1" applyFill="1" applyBorder="1"/>
    <xf numFmtId="170" fontId="0" fillId="0" borderId="0" xfId="3" applyNumberFormat="1" applyFont="1" applyFill="1"/>
    <xf numFmtId="43" fontId="1" fillId="0" borderId="0" xfId="3" applyFont="1" applyBorder="1"/>
    <xf numFmtId="0" fontId="1" fillId="0" borderId="27" xfId="0" applyFont="1" applyBorder="1"/>
    <xf numFmtId="166" fontId="0" fillId="0" borderId="27" xfId="1" applyNumberFormat="1" applyFont="1" applyBorder="1"/>
    <xf numFmtId="0" fontId="1" fillId="19" borderId="0" xfId="0" applyNumberFormat="1" applyFont="1" applyFill="1"/>
    <xf numFmtId="166" fontId="0" fillId="19" borderId="0" xfId="1" applyNumberFormat="1" applyFont="1" applyFill="1"/>
    <xf numFmtId="166" fontId="0" fillId="19" borderId="27" xfId="1" applyNumberFormat="1" applyFont="1" applyFill="1" applyBorder="1"/>
    <xf numFmtId="0" fontId="0" fillId="0" borderId="27" xfId="0" applyBorder="1"/>
    <xf numFmtId="0" fontId="45" fillId="29" borderId="0" xfId="0" applyFont="1" applyFill="1"/>
    <xf numFmtId="2" fontId="0" fillId="0" borderId="27" xfId="0" applyNumberFormat="1" applyBorder="1"/>
    <xf numFmtId="170" fontId="0" fillId="0" borderId="0" xfId="0" applyNumberFormat="1"/>
    <xf numFmtId="170" fontId="0" fillId="0" borderId="27" xfId="0" applyNumberFormat="1" applyBorder="1"/>
    <xf numFmtId="43" fontId="0" fillId="0" borderId="0" xfId="3" applyNumberFormat="1" applyFont="1"/>
    <xf numFmtId="43" fontId="0" fillId="29" borderId="0" xfId="3" applyNumberFormat="1" applyFont="1" applyFill="1"/>
    <xf numFmtId="10" fontId="0" fillId="0" borderId="0" xfId="1" applyNumberFormat="1" applyFont="1"/>
    <xf numFmtId="43" fontId="0" fillId="0" borderId="29" xfId="0" applyNumberFormat="1" applyBorder="1"/>
    <xf numFmtId="171" fontId="0" fillId="0" borderId="0" xfId="0" applyNumberFormat="1"/>
    <xf numFmtId="0" fontId="1" fillId="0" borderId="0" xfId="0" applyFont="1" applyFill="1" applyBorder="1"/>
    <xf numFmtId="0" fontId="0" fillId="0" borderId="24" xfId="0" applyBorder="1"/>
    <xf numFmtId="0" fontId="1" fillId="0" borderId="21" xfId="0" applyFont="1" applyBorder="1"/>
    <xf numFmtId="0" fontId="4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  <xf numFmtId="9" fontId="0" fillId="0" borderId="0" xfId="0" applyNumberFormat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1" fillId="15" borderId="44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1" fillId="15" borderId="45" xfId="0" applyFont="1" applyFill="1" applyBorder="1" applyAlignment="1">
      <alignment horizontal="center"/>
    </xf>
    <xf numFmtId="0" fontId="1" fillId="15" borderId="33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0" fillId="29" borderId="46" xfId="0" applyFill="1" applyBorder="1" applyAlignment="1">
      <alignment horizontal="center"/>
    </xf>
    <xf numFmtId="0" fontId="0" fillId="29" borderId="6" xfId="0" applyFill="1" applyBorder="1" applyAlignment="1">
      <alignment horizontal="center"/>
    </xf>
    <xf numFmtId="0" fontId="0" fillId="29" borderId="7" xfId="0" applyFill="1" applyBorder="1" applyAlignment="1">
      <alignment horizontal="center"/>
    </xf>
  </cellXfs>
  <cellStyles count="5">
    <cellStyle name="Komma 2" xfId="3"/>
    <cellStyle name="Link" xfId="2" builtinId="8"/>
    <cellStyle name="Prozent" xfId="1" builtinId="5"/>
    <cellStyle name="Standard" xfId="0" builtinId="0"/>
    <cellStyle name="Währung 2" xfId="4"/>
  </cellStyles>
  <dxfs count="4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2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externalLink" Target="externalLinks/externalLink5.xml"/><Relationship Id="rId33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pivotCacheDefinition" Target="pivotCache/pivotCacheDefinition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externalLink" Target="externalLinks/externalLink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theme" Target="theme/theme1.xml"/><Relationship Id="rId8" Type="http://schemas.openxmlformats.org/officeDocument/2006/relationships/worksheet" Target="worksheets/sheet7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B-469B-B43D-BD7A60456429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B-469B-B43D-BD7A60456429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B-469B-B43D-BD7A60456429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B-469B-B43D-BD7A60456429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B-469B-B43D-BD7A60456429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9B-469B-B43D-BD7A60456429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9B-469B-B43D-BD7A60456429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9B-469B-B43D-BD7A60456429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9B-469B-B43D-BD7A60456429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CE9B-469B-B43D-BD7A60456429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CE9B-469B-B43D-BD7A60456429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CE9B-469B-B43D-BD7A60456429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CE9B-469B-B43D-BD7A60456429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CE9B-469B-B43D-BD7A60456429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CE9B-469B-B43D-BD7A60456429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CE9B-469B-B43D-BD7A60456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92256"/>
        <c:axId val="110043712"/>
      </c:barChart>
      <c:catAx>
        <c:axId val="125792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3712"/>
        <c:crosses val="autoZero"/>
        <c:auto val="1"/>
        <c:lblAlgn val="ctr"/>
        <c:lblOffset val="100"/>
        <c:noMultiLvlLbl val="0"/>
      </c:catAx>
      <c:valAx>
        <c:axId val="1100437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57922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3-4192-AD70-6E5B7C357C1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3-4192-AD70-6E5B7C357C1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33-4192-AD70-6E5B7C357C1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33-4192-AD70-6E5B7C357C1F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33-4192-AD70-6E5B7C357C1F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33-4192-AD70-6E5B7C357C1F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33-4192-AD70-6E5B7C357C1F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33-4192-AD70-6E5B7C357C1F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33-4192-AD70-6E5B7C357C1F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F033-4192-AD70-6E5B7C357C1F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A-F033-4192-AD70-6E5B7C357C1F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B-F033-4192-AD70-6E5B7C357C1F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C-F033-4192-AD70-6E5B7C357C1F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D-F033-4192-AD70-6E5B7C357C1F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E-F033-4192-AD70-6E5B7C357C1F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F-F033-4192-AD70-6E5B7C35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94816"/>
        <c:axId val="110046016"/>
      </c:barChart>
      <c:catAx>
        <c:axId val="125794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6016"/>
        <c:crosses val="autoZero"/>
        <c:auto val="1"/>
        <c:lblAlgn val="ctr"/>
        <c:lblOffset val="100"/>
        <c:noMultiLvlLbl val="0"/>
      </c:catAx>
      <c:valAx>
        <c:axId val="1100460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57948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3-4D02-9FF8-A155A1746269}"/>
            </c:ext>
          </c:extLst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3-4D02-9FF8-A155A1746269}"/>
            </c:ext>
          </c:extLst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3-4D02-9FF8-A155A1746269}"/>
            </c:ext>
          </c:extLst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3-4D02-9FF8-A155A1746269}"/>
            </c:ext>
          </c:extLst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3-4D02-9FF8-A155A1746269}"/>
            </c:ext>
          </c:extLst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3-4D02-9FF8-A155A1746269}"/>
            </c:ext>
          </c:extLst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73-4D02-9FF8-A155A174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36480"/>
        <c:axId val="110048896"/>
      </c:barChart>
      <c:catAx>
        <c:axId val="18203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048896"/>
        <c:crosses val="autoZero"/>
        <c:auto val="1"/>
        <c:lblAlgn val="ctr"/>
        <c:lblOffset val="100"/>
        <c:noMultiLvlLbl val="0"/>
      </c:catAx>
      <c:valAx>
        <c:axId val="1100488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64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7-4D1B-8A6C-E31C7C5DB652}"/>
            </c:ext>
          </c:extLst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7-4D1B-8A6C-E31C7C5DB652}"/>
            </c:ext>
          </c:extLst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7-4D1B-8A6C-E31C7C5DB652}"/>
            </c:ext>
          </c:extLst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7-4D1B-8A6C-E31C7C5DB652}"/>
            </c:ext>
          </c:extLst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57-4D1B-8A6C-E31C7C5DB652}"/>
            </c:ext>
          </c:extLst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57-4D1B-8A6C-E31C7C5D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35968"/>
        <c:axId val="110050624"/>
      </c:lineChart>
      <c:catAx>
        <c:axId val="18203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050624"/>
        <c:crosses val="autoZero"/>
        <c:auto val="1"/>
        <c:lblAlgn val="ctr"/>
        <c:lblOffset val="100"/>
        <c:noMultiLvlLbl val="0"/>
      </c:catAx>
      <c:valAx>
        <c:axId val="1100506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5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C-4BF5-8DA2-AB488388A331}"/>
            </c:ext>
          </c:extLst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C-4BF5-8DA2-AB488388A331}"/>
            </c:ext>
          </c:extLst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AC-4BF5-8DA2-AB488388A331}"/>
            </c:ext>
          </c:extLst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AC-4BF5-8DA2-AB488388A331}"/>
            </c:ext>
          </c:extLst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C-4BF5-8DA2-AB488388A331}"/>
            </c:ext>
          </c:extLst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AC-4BF5-8DA2-AB488388A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38016"/>
        <c:axId val="165603008"/>
      </c:lineChart>
      <c:catAx>
        <c:axId val="18203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3008"/>
        <c:crosses val="autoZero"/>
        <c:auto val="1"/>
        <c:lblAlgn val="ctr"/>
        <c:lblOffset val="100"/>
        <c:noMultiLvlLbl val="0"/>
      </c:catAx>
      <c:valAx>
        <c:axId val="1656030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2038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B-4D99-B3D0-53AF95E72649}"/>
            </c:ext>
          </c:extLst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B-4D99-B3D0-53AF95E72649}"/>
            </c:ext>
          </c:extLst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B-4D99-B3D0-53AF95E72649}"/>
            </c:ext>
          </c:extLst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B-4D99-B3D0-53AF95E72649}"/>
            </c:ext>
          </c:extLst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5B-4D99-B3D0-53AF95E72649}"/>
            </c:ext>
          </c:extLst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5B-4D99-B3D0-53AF95E72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54368"/>
        <c:axId val="165605312"/>
      </c:lineChart>
      <c:catAx>
        <c:axId val="18815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5312"/>
        <c:crosses val="autoZero"/>
        <c:auto val="1"/>
        <c:lblAlgn val="ctr"/>
        <c:lblOffset val="100"/>
        <c:noMultiLvlLbl val="0"/>
      </c:catAx>
      <c:valAx>
        <c:axId val="1656053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4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51-4BC0-A68A-FCAAC88260F7}"/>
            </c:ext>
          </c:extLst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BC0-A68A-FCAAC88260F7}"/>
            </c:ext>
          </c:extLst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BC0-A68A-FCAAC88260F7}"/>
            </c:ext>
          </c:extLst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BC0-A68A-FCAAC88260F7}"/>
            </c:ext>
          </c:extLst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BC0-A68A-FCAAC88260F7}"/>
            </c:ext>
          </c:extLst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BC0-A68A-FCAAC882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90912"/>
        <c:axId val="165607616"/>
      </c:lineChart>
      <c:catAx>
        <c:axId val="1051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07616"/>
        <c:crosses val="autoZero"/>
        <c:auto val="1"/>
        <c:lblAlgn val="ctr"/>
        <c:lblOffset val="100"/>
        <c:noMultiLvlLbl val="0"/>
      </c:catAx>
      <c:valAx>
        <c:axId val="1656076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519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2-469D-8B37-076114A35A29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2-469D-8B37-076114A35A29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2-469D-8B37-076114A35A29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2-469D-8B37-076114A35A29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2-469D-8B37-076114A35A29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E2-469D-8B37-076114A3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8096"/>
        <c:axId val="188056128"/>
      </c:lineChart>
      <c:catAx>
        <c:axId val="12134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56128"/>
        <c:crosses val="autoZero"/>
        <c:auto val="1"/>
        <c:lblAlgn val="ctr"/>
        <c:lblOffset val="100"/>
        <c:noMultiLvlLbl val="0"/>
      </c:catAx>
      <c:valAx>
        <c:axId val="1880561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21348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6-4D4C-AE31-B6F45C59599F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6-4D4C-AE31-B6F45C59599F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E6-4D4C-AE31-B6F45C59599F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E6-4D4C-AE31-B6F45C59599F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E6-4D4C-AE31-B6F45C59599F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E6-4D4C-AE31-B6F45C59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55392"/>
        <c:axId val="188058432"/>
      </c:lineChart>
      <c:catAx>
        <c:axId val="18815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58432"/>
        <c:crosses val="autoZero"/>
        <c:auto val="1"/>
        <c:lblAlgn val="ctr"/>
        <c:lblOffset val="100"/>
        <c:noMultiLvlLbl val="0"/>
      </c:catAx>
      <c:valAx>
        <c:axId val="188058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F-4C0F-A4F9-AD6314C08B86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F-4C0F-A4F9-AD6314C08B86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F-4C0F-A4F9-AD6314C08B86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F-4C0F-A4F9-AD6314C08B86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6F-4C0F-A4F9-AD6314C08B86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6F-4C0F-A4F9-AD6314C0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57440"/>
        <c:axId val="188060736"/>
      </c:lineChart>
      <c:catAx>
        <c:axId val="1881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060736"/>
        <c:crosses val="autoZero"/>
        <c:auto val="1"/>
        <c:lblAlgn val="ctr"/>
        <c:lblOffset val="100"/>
        <c:noMultiLvlLbl val="0"/>
      </c:catAx>
      <c:valAx>
        <c:axId val="1880607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15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3-4595-82FA-ACBBB1717358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3-4595-82FA-ACBBB1717358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43-4595-82FA-ACBBB1717358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43-4595-82FA-ACBBB1717358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3-4595-82FA-ACBBB1717358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43-4595-82FA-ACBBB171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60576"/>
        <c:axId val="182493184"/>
      </c:lineChart>
      <c:catAx>
        <c:axId val="18876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93184"/>
        <c:crosses val="autoZero"/>
        <c:auto val="1"/>
        <c:lblAlgn val="ctr"/>
        <c:lblOffset val="100"/>
        <c:noMultiLvlLbl val="0"/>
      </c:catAx>
      <c:valAx>
        <c:axId val="1824931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8760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C-406B-8D24-D9B8762FBFEC}"/>
            </c:ext>
          </c:extLst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C-406B-8D24-D9B8762FBFEC}"/>
            </c:ext>
          </c:extLst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3C-406B-8D24-D9B8762FBFEC}"/>
            </c:ext>
          </c:extLst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3C-406B-8D24-D9B8762FBFEC}"/>
            </c:ext>
          </c:extLst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3C-406B-8D24-D9B8762FBFEC}"/>
            </c:ext>
          </c:extLst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48000"/>
        <c:axId val="182495488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96640"/>
        <c:axId val="182496064"/>
      </c:scatterChart>
      <c:catAx>
        <c:axId val="17164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82495488"/>
        <c:crosses val="autoZero"/>
        <c:auto val="1"/>
        <c:lblAlgn val="ctr"/>
        <c:lblOffset val="100"/>
        <c:noMultiLvlLbl val="0"/>
      </c:catAx>
      <c:valAx>
        <c:axId val="18249548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1648000"/>
        <c:crosses val="autoZero"/>
        <c:crossBetween val="between"/>
      </c:valAx>
      <c:valAx>
        <c:axId val="1824960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2496640"/>
        <c:crosses val="max"/>
        <c:crossBetween val="midCat"/>
      </c:valAx>
      <c:valAx>
        <c:axId val="18249664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2496064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2-4F4E-9D16-F5C2CE45E6E4}"/>
            </c:ext>
          </c:extLst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2-4F4E-9D16-F5C2CE45E6E4}"/>
            </c:ext>
          </c:extLst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2-4F4E-9D16-F5C2CE45E6E4}"/>
            </c:ext>
          </c:extLst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32-4F4E-9D16-F5C2CE45E6E4}"/>
            </c:ext>
          </c:extLst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32-4F4E-9D16-F5C2CE45E6E4}"/>
            </c:ext>
          </c:extLst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32-4F4E-9D16-F5C2CE45E6E4}"/>
            </c:ext>
          </c:extLst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32-4F4E-9D16-F5C2CE45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49024"/>
        <c:axId val="182498944"/>
      </c:lineChart>
      <c:catAx>
        <c:axId val="1716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98944"/>
        <c:crosses val="autoZero"/>
        <c:auto val="1"/>
        <c:lblAlgn val="ctr"/>
        <c:lblOffset val="100"/>
        <c:noMultiLvlLbl val="0"/>
      </c:catAx>
      <c:valAx>
        <c:axId val="1824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4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9-48D6-83A1-7D9651F27729}"/>
            </c:ext>
          </c:extLst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9-48D6-83A1-7D9651F27729}"/>
            </c:ext>
          </c:extLst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9-48D6-83A1-7D9651F27729}"/>
            </c:ext>
          </c:extLst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09-48D6-83A1-7D9651F27729}"/>
            </c:ext>
          </c:extLst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09-48D6-83A1-7D9651F27729}"/>
            </c:ext>
          </c:extLst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09-48D6-83A1-7D9651F27729}"/>
            </c:ext>
          </c:extLst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09-48D6-83A1-7D9651F2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50048"/>
        <c:axId val="188997632"/>
      </c:lineChart>
      <c:catAx>
        <c:axId val="1716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997632"/>
        <c:crosses val="autoZero"/>
        <c:auto val="1"/>
        <c:lblAlgn val="ctr"/>
        <c:lblOffset val="100"/>
        <c:noMultiLvlLbl val="0"/>
      </c:catAx>
      <c:valAx>
        <c:axId val="18899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50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A-45BF-B871-26BCF46892A3}"/>
            </c:ext>
          </c:extLst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A-45BF-B871-26BCF46892A3}"/>
            </c:ext>
          </c:extLst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A-45BF-B871-26BCF46892A3}"/>
            </c:ext>
          </c:extLst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A-45BF-B871-26BCF46892A3}"/>
            </c:ext>
          </c:extLst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A-45BF-B871-26BCF46892A3}"/>
            </c:ext>
          </c:extLst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DA-45BF-B871-26BCF46892A3}"/>
            </c:ext>
          </c:extLst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A-45BF-B871-26BCF468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23104"/>
        <c:axId val="188999936"/>
      </c:lineChart>
      <c:catAx>
        <c:axId val="17182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999936"/>
        <c:crosses val="autoZero"/>
        <c:auto val="1"/>
        <c:lblAlgn val="ctr"/>
        <c:lblOffset val="100"/>
        <c:noMultiLvlLbl val="0"/>
      </c:catAx>
      <c:valAx>
        <c:axId val="18899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2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7-4A52-8EB4-E8AE0CD589D2}"/>
            </c:ext>
          </c:extLst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7-4A52-8EB4-E8AE0CD589D2}"/>
            </c:ext>
          </c:extLst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7-4A52-8EB4-E8AE0CD589D2}"/>
            </c:ext>
          </c:extLst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7-4A52-8EB4-E8AE0CD589D2}"/>
            </c:ext>
          </c:extLst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7-4A52-8EB4-E8AE0CD589D2}"/>
            </c:ext>
          </c:extLst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7-4A52-8EB4-E8AE0CD589D2}"/>
            </c:ext>
          </c:extLst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97-4A52-8EB4-E8AE0CD58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63648"/>
        <c:axId val="189002240"/>
      </c:lineChart>
      <c:catAx>
        <c:axId val="1887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02240"/>
        <c:crosses val="autoZero"/>
        <c:auto val="1"/>
        <c:lblAlgn val="ctr"/>
        <c:lblOffset val="100"/>
        <c:noMultiLvlLbl val="0"/>
      </c:catAx>
      <c:valAx>
        <c:axId val="18900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76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0-4337-8EF8-81D0668104AD}"/>
            </c:ext>
          </c:extLst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0-4337-8EF8-81D0668104AD}"/>
            </c:ext>
          </c:extLst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0-4337-8EF8-81D0668104AD}"/>
            </c:ext>
          </c:extLst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0-4337-8EF8-81D0668104AD}"/>
            </c:ext>
          </c:extLst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60-4337-8EF8-81D0668104AD}"/>
            </c:ext>
          </c:extLst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25152"/>
        <c:axId val="189004544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77568"/>
        <c:axId val="189005120"/>
      </c:scatterChart>
      <c:catAx>
        <c:axId val="1718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89004544"/>
        <c:crosses val="autoZero"/>
        <c:auto val="1"/>
        <c:lblAlgn val="ctr"/>
        <c:lblOffset val="100"/>
        <c:noMultiLvlLbl val="0"/>
      </c:catAx>
      <c:valAx>
        <c:axId val="189004544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1825152"/>
        <c:crosses val="autoZero"/>
        <c:crossBetween val="between"/>
      </c:valAx>
      <c:valAx>
        <c:axId val="1890051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9677568"/>
        <c:crosses val="max"/>
        <c:crossBetween val="midCat"/>
      </c:valAx>
      <c:valAx>
        <c:axId val="18967756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9005120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2-4357-BB3C-A29398AD266A}"/>
            </c:ext>
          </c:extLst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2-4357-BB3C-A29398AD266A}"/>
            </c:ext>
          </c:extLst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52-4357-BB3C-A29398AD266A}"/>
            </c:ext>
          </c:extLst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52-4357-BB3C-A29398AD266A}"/>
            </c:ext>
          </c:extLst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52-4357-BB3C-A29398AD266A}"/>
            </c:ext>
          </c:extLst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52-4357-BB3C-A29398AD266A}"/>
            </c:ext>
          </c:extLst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52-4357-BB3C-A29398AD266A}"/>
            </c:ext>
          </c:extLst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52-4357-BB3C-A29398AD266A}"/>
            </c:ext>
          </c:extLst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52-4357-BB3C-A29398AD266A}"/>
            </c:ext>
          </c:extLst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52-4357-BB3C-A29398AD266A}"/>
            </c:ext>
          </c:extLst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52-4357-BB3C-A29398AD266A}"/>
            </c:ext>
          </c:extLst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52-4357-BB3C-A29398AD266A}"/>
            </c:ext>
          </c:extLst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F52-4357-BB3C-A29398AD266A}"/>
            </c:ext>
          </c:extLst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F52-4357-BB3C-A29398AD266A}"/>
            </c:ext>
          </c:extLst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F52-4357-BB3C-A29398AD266A}"/>
            </c:ext>
          </c:extLst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F52-4357-BB3C-A29398AD266A}"/>
            </c:ext>
          </c:extLst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F52-4357-BB3C-A29398AD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63136"/>
        <c:axId val="189679872"/>
      </c:lineChart>
      <c:catAx>
        <c:axId val="18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79872"/>
        <c:crosses val="autoZero"/>
        <c:auto val="1"/>
        <c:lblAlgn val="ctr"/>
        <c:lblOffset val="100"/>
        <c:noMultiLvlLbl val="0"/>
      </c:catAx>
      <c:valAx>
        <c:axId val="189679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763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B-4532-B5E9-AA2BBBDEC624}"/>
            </c:ext>
          </c:extLst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B-4532-B5E9-AA2BBBDEC624}"/>
            </c:ext>
          </c:extLst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B-4532-B5E9-AA2BBBDEC624}"/>
            </c:ext>
          </c:extLst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32-B5E9-AA2BBBDEC624}"/>
            </c:ext>
          </c:extLst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AB-4532-B5E9-AA2BBBDEC624}"/>
            </c:ext>
          </c:extLst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AB-4532-B5E9-AA2BBBDEC624}"/>
            </c:ext>
          </c:extLst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AB-4532-B5E9-AA2BBBDEC624}"/>
            </c:ext>
          </c:extLst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AB-4532-B5E9-AA2BBBDEC624}"/>
            </c:ext>
          </c:extLst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AB-4532-B5E9-AA2BBBDEC624}"/>
            </c:ext>
          </c:extLst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AB-4532-B5E9-AA2BBBDEC624}"/>
            </c:ext>
          </c:extLst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AB-4532-B5E9-AA2BBBDEC624}"/>
            </c:ext>
          </c:extLst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0AB-4532-B5E9-AA2BBBDEC624}"/>
            </c:ext>
          </c:extLst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0AB-4532-B5E9-AA2BBBDEC624}"/>
            </c:ext>
          </c:extLst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0AB-4532-B5E9-AA2BBBDEC624}"/>
            </c:ext>
          </c:extLst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0AB-4532-B5E9-AA2BBBDEC624}"/>
            </c:ext>
          </c:extLst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0AB-4532-B5E9-AA2BBBDEC624}"/>
            </c:ext>
          </c:extLst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0AB-4532-B5E9-AA2BBBDEC624}"/>
            </c:ext>
          </c:extLst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0AB-4532-B5E9-AA2BBBDE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97248"/>
        <c:axId val="189683328"/>
      </c:lineChart>
      <c:catAx>
        <c:axId val="1885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83328"/>
        <c:crosses val="autoZero"/>
        <c:auto val="1"/>
        <c:lblAlgn val="ctr"/>
        <c:lblOffset val="100"/>
        <c:noMultiLvlLbl val="0"/>
      </c:catAx>
      <c:valAx>
        <c:axId val="189683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59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2-4468-9D07-93C7FD243EB6}"/>
            </c:ext>
          </c:extLst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2-4468-9D07-93C7FD243EB6}"/>
            </c:ext>
          </c:extLst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2-4468-9D07-93C7FD243EB6}"/>
            </c:ext>
          </c:extLst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2-4468-9D07-93C7FD243EB6}"/>
            </c:ext>
          </c:extLst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52-4468-9D07-93C7FD243EB6}"/>
            </c:ext>
          </c:extLst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52-4468-9D07-93C7FD243EB6}"/>
            </c:ext>
          </c:extLst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52-4468-9D07-93C7FD24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18240"/>
        <c:axId val="189244544"/>
      </c:lineChart>
      <c:catAx>
        <c:axId val="1886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4544"/>
        <c:crosses val="autoZero"/>
        <c:auto val="1"/>
        <c:lblAlgn val="ctr"/>
        <c:lblOffset val="100"/>
        <c:noMultiLvlLbl val="0"/>
      </c:catAx>
      <c:valAx>
        <c:axId val="18924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6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B-4F38-A779-591CE9099955}"/>
            </c:ext>
          </c:extLst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B-4F38-A779-591CE909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99808"/>
        <c:axId val="189246848"/>
      </c:lineChart>
      <c:catAx>
        <c:axId val="18859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6848"/>
        <c:crosses val="autoZero"/>
        <c:auto val="1"/>
        <c:lblAlgn val="ctr"/>
        <c:lblOffset val="100"/>
        <c:noMultiLvlLbl val="0"/>
      </c:catAx>
      <c:valAx>
        <c:axId val="189246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859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8-40DF-8720-0C13B9E1F604}"/>
            </c:ext>
          </c:extLst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8-40DF-8720-0C13B9E1F604}"/>
            </c:ext>
          </c:extLst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8-40DF-8720-0C13B9E1F604}"/>
            </c:ext>
          </c:extLst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38-40DF-8720-0C13B9E1F604}"/>
            </c:ext>
          </c:extLst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38-40DF-8720-0C13B9E1F604}"/>
            </c:ext>
          </c:extLst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38-40DF-8720-0C13B9E1F604}"/>
            </c:ext>
          </c:extLst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38-40DF-8720-0C13B9E1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02368"/>
        <c:axId val="189249152"/>
      </c:lineChart>
      <c:catAx>
        <c:axId val="19020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49152"/>
        <c:crosses val="autoZero"/>
        <c:auto val="1"/>
        <c:lblAlgn val="ctr"/>
        <c:lblOffset val="100"/>
        <c:noMultiLvlLbl val="0"/>
      </c:catAx>
      <c:valAx>
        <c:axId val="18924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02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3-4249-863F-D75713803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03392"/>
        <c:axId val="190652416"/>
      </c:lineChart>
      <c:catAx>
        <c:axId val="19020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2416"/>
        <c:crosses val="autoZero"/>
        <c:auto val="1"/>
        <c:lblAlgn val="ctr"/>
        <c:lblOffset val="100"/>
        <c:noMultiLvlLbl val="0"/>
      </c:catAx>
      <c:valAx>
        <c:axId val="190652416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03392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9-4CCB-868A-305A3AD90F43}"/>
            </c:ext>
          </c:extLst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9-4CCB-868A-305A3AD9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03904"/>
        <c:axId val="190654144"/>
      </c:lineChart>
      <c:catAx>
        <c:axId val="1902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4144"/>
        <c:crosses val="autoZero"/>
        <c:auto val="1"/>
        <c:lblAlgn val="ctr"/>
        <c:lblOffset val="100"/>
        <c:noMultiLvlLbl val="0"/>
      </c:catAx>
      <c:valAx>
        <c:axId val="190654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020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3-4AFA-B278-AB5C186088A3}"/>
            </c:ext>
          </c:extLst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3-4AFA-B278-AB5C186088A3}"/>
            </c:ext>
          </c:extLst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3-4AFA-B278-AB5C186088A3}"/>
            </c:ext>
          </c:extLst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A3-4AFA-B278-AB5C186088A3}"/>
            </c:ext>
          </c:extLst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A3-4AFA-B278-AB5C186088A3}"/>
            </c:ext>
          </c:extLst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3-4AFA-B278-AB5C186088A3}"/>
            </c:ext>
          </c:extLst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3-4AFA-B278-AB5C18608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89440"/>
        <c:axId val="190656448"/>
      </c:lineChart>
      <c:catAx>
        <c:axId val="1713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6448"/>
        <c:crosses val="autoZero"/>
        <c:auto val="1"/>
        <c:lblAlgn val="ctr"/>
        <c:lblOffset val="100"/>
        <c:noMultiLvlLbl val="0"/>
      </c:catAx>
      <c:valAx>
        <c:axId val="1906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8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F-46E7-A954-ACBC61C1036A}"/>
            </c:ext>
          </c:extLst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F-46E7-A954-ACBC61C1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89952"/>
        <c:axId val="190659328"/>
      </c:lineChart>
      <c:catAx>
        <c:axId val="17138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659328"/>
        <c:crosses val="autoZero"/>
        <c:auto val="1"/>
        <c:lblAlgn val="ctr"/>
        <c:lblOffset val="100"/>
        <c:noMultiLvlLbl val="0"/>
      </c:catAx>
      <c:valAx>
        <c:axId val="1906593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138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4-44D7-87B3-74507B662231}"/>
            </c:ext>
          </c:extLst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4-44D7-87B3-74507B662231}"/>
            </c:ext>
          </c:extLst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A4-44D7-87B3-74507B662231}"/>
            </c:ext>
          </c:extLst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A4-44D7-87B3-74507B662231}"/>
            </c:ext>
          </c:extLst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A4-44D7-87B3-74507B662231}"/>
            </c:ext>
          </c:extLst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A4-44D7-87B3-74507B662231}"/>
            </c:ext>
          </c:extLst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A4-44D7-87B3-74507B662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0976"/>
        <c:axId val="190120512"/>
      </c:lineChart>
      <c:catAx>
        <c:axId val="17139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0512"/>
        <c:crosses val="autoZero"/>
        <c:auto val="1"/>
        <c:lblAlgn val="ctr"/>
        <c:lblOffset val="100"/>
        <c:noMultiLvlLbl val="0"/>
      </c:catAx>
      <c:valAx>
        <c:axId val="19012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9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C-411D-9184-87106D9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1488"/>
        <c:axId val="190122816"/>
      </c:lineChart>
      <c:catAx>
        <c:axId val="17139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2816"/>
        <c:crosses val="autoZero"/>
        <c:auto val="1"/>
        <c:lblAlgn val="ctr"/>
        <c:lblOffset val="100"/>
        <c:noMultiLvlLbl val="0"/>
      </c:catAx>
      <c:valAx>
        <c:axId val="190122816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91488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4-4538-8490-8E91F7E456B8}"/>
            </c:ext>
          </c:extLst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4-4538-8490-8E91F7E45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2000"/>
        <c:axId val="190124544"/>
      </c:lineChart>
      <c:catAx>
        <c:axId val="17139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4544"/>
        <c:crosses val="autoZero"/>
        <c:auto val="1"/>
        <c:lblAlgn val="ctr"/>
        <c:lblOffset val="100"/>
        <c:noMultiLvlLbl val="0"/>
      </c:catAx>
      <c:valAx>
        <c:axId val="190124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139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C-4306-B9DE-DCCE72678D0C}"/>
            </c:ext>
          </c:extLst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C-4306-B9DE-DCCE72678D0C}"/>
            </c:ext>
          </c:extLst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C-4306-B9DE-DCCE72678D0C}"/>
            </c:ext>
          </c:extLst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C-4306-B9DE-DCCE72678D0C}"/>
            </c:ext>
          </c:extLst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EC-4306-B9DE-DCCE72678D0C}"/>
            </c:ext>
          </c:extLst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EC-4306-B9DE-DCCE72678D0C}"/>
            </c:ext>
          </c:extLst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EC-4306-B9DE-DCCE72678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99744"/>
        <c:axId val="190126848"/>
      </c:lineChart>
      <c:catAx>
        <c:axId val="19119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26848"/>
        <c:crosses val="autoZero"/>
        <c:auto val="1"/>
        <c:lblAlgn val="ctr"/>
        <c:lblOffset val="100"/>
        <c:noMultiLvlLbl val="0"/>
      </c:catAx>
      <c:valAx>
        <c:axId val="1901268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19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4-446A-B030-52239B12D5AE}"/>
            </c:ext>
          </c:extLst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4-446A-B030-52239B12D5AE}"/>
            </c:ext>
          </c:extLst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84-446A-B030-52239B12D5AE}"/>
            </c:ext>
          </c:extLst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84-446A-B030-52239B12D5AE}"/>
            </c:ext>
          </c:extLst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84-446A-B030-52239B12D5AE}"/>
            </c:ext>
          </c:extLst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84-446A-B030-52239B12D5AE}"/>
            </c:ext>
          </c:extLst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84-446A-B030-52239B12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84000"/>
        <c:axId val="190973056"/>
      </c:lineChart>
      <c:catAx>
        <c:axId val="19078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3056"/>
        <c:crosses val="autoZero"/>
        <c:auto val="1"/>
        <c:lblAlgn val="ctr"/>
        <c:lblOffset val="100"/>
        <c:noMultiLvlLbl val="0"/>
      </c:catAx>
      <c:valAx>
        <c:axId val="1909730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078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6-4E25-B989-C1BF7D9F854A}"/>
            </c:ext>
          </c:extLst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D6-4E25-B989-C1BF7D9F854A}"/>
            </c:ext>
          </c:extLst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D6-4E25-B989-C1BF7D9F854A}"/>
            </c:ext>
          </c:extLst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D6-4E25-B989-C1BF7D9F854A}"/>
            </c:ext>
          </c:extLst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D6-4E25-B989-C1BF7D9F854A}"/>
            </c:ext>
          </c:extLst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D6-4E25-B989-C1BF7D9F854A}"/>
            </c:ext>
          </c:extLst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D6-4E25-B989-C1BF7D9F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00768"/>
        <c:axId val="190975360"/>
      </c:lineChart>
      <c:catAx>
        <c:axId val="19120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5360"/>
        <c:crosses val="autoZero"/>
        <c:auto val="1"/>
        <c:lblAlgn val="ctr"/>
        <c:lblOffset val="100"/>
        <c:noMultiLvlLbl val="0"/>
      </c:catAx>
      <c:valAx>
        <c:axId val="1909753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200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B-4764-9329-E8E01359BED5}"/>
            </c:ext>
          </c:extLst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B-4764-9329-E8E01359BED5}"/>
            </c:ext>
          </c:extLst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B-4764-9329-E8E01359BED5}"/>
            </c:ext>
          </c:extLst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B-4764-9329-E8E01359BED5}"/>
            </c:ext>
          </c:extLst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9B-4764-9329-E8E01359BED5}"/>
            </c:ext>
          </c:extLst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9B-4764-9329-E8E01359BED5}"/>
            </c:ext>
          </c:extLst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9B-4764-9329-E8E01359B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86048"/>
        <c:axId val="190977664"/>
      </c:lineChart>
      <c:catAx>
        <c:axId val="19078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977664"/>
        <c:crosses val="autoZero"/>
        <c:auto val="1"/>
        <c:lblAlgn val="ctr"/>
        <c:lblOffset val="100"/>
        <c:noMultiLvlLbl val="0"/>
      </c:catAx>
      <c:valAx>
        <c:axId val="1909776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078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C-4EA2-B215-738EE9DF61C8}"/>
            </c:ext>
          </c:extLst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C-4EA2-B215-738EE9DF61C8}"/>
            </c:ext>
          </c:extLst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C-4EA2-B215-738EE9DF6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69920"/>
        <c:axId val="191652992"/>
      </c:lineChart>
      <c:catAx>
        <c:axId val="19156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1652992"/>
        <c:crosses val="autoZero"/>
        <c:auto val="1"/>
        <c:lblAlgn val="ctr"/>
        <c:lblOffset val="100"/>
        <c:noMultiLvlLbl val="0"/>
      </c:catAx>
      <c:valAx>
        <c:axId val="1916529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569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DEHst_1vs4!$C$73:$L$73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0.68980929177634043</c:v>
                </c:pt>
                <c:pt idx="5">
                  <c:v>0.59103420443528676</c:v>
                </c:pt>
                <c:pt idx="6">
                  <c:v>0.49225911709423303</c:v>
                </c:pt>
                <c:pt idx="7">
                  <c:v>0.39348402975317937</c:v>
                </c:pt>
                <c:pt idx="8">
                  <c:v>0.2947089424121257</c:v>
                </c:pt>
                <c:pt idx="9">
                  <c:v>0.19593385507107203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B09-A4B5-5B02F69FC35C}"/>
            </c:ext>
          </c:extLst>
        </c:ser>
        <c:ser>
          <c:idx val="1"/>
          <c:order val="1"/>
          <c:tx>
            <c:strRef>
              <c:f>DEHst_1vs4!$B$74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0.75840429964064848</c:v>
                </c:pt>
                <c:pt idx="5">
                  <c:v>0.64980696436276342</c:v>
                </c:pt>
                <c:pt idx="6">
                  <c:v>0.54120962908487835</c:v>
                </c:pt>
                <c:pt idx="7">
                  <c:v>0.43261229380699323</c:v>
                </c:pt>
                <c:pt idx="8">
                  <c:v>0.32401495852910811</c:v>
                </c:pt>
                <c:pt idx="9">
                  <c:v>0.21541762325122304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D-4B09-A4B5-5B02F69FC35C}"/>
            </c:ext>
          </c:extLst>
        </c:ser>
        <c:ser>
          <c:idx val="2"/>
          <c:order val="2"/>
          <c:tx>
            <c:strRef>
              <c:f>DEHst_1vs4!$B$75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DEHst_1vs4!$C$75:$L$75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0.564719006762881</c:v>
                </c:pt>
                <c:pt idx="5">
                  <c:v>0.48385583214179678</c:v>
                </c:pt>
                <c:pt idx="6">
                  <c:v>0.40299265752071256</c:v>
                </c:pt>
                <c:pt idx="7">
                  <c:v>0.32212948289962834</c:v>
                </c:pt>
                <c:pt idx="8">
                  <c:v>0.24126630827854409</c:v>
                </c:pt>
                <c:pt idx="9">
                  <c:v>0.16040313365745987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D-4B09-A4B5-5B02F69FC35C}"/>
            </c:ext>
          </c:extLst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DEHst_1vs4!$C$76:$L$76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0.65389692294826529</c:v>
                </c:pt>
                <c:pt idx="5">
                  <c:v>0.56026419511136194</c:v>
                </c:pt>
                <c:pt idx="6">
                  <c:v>0.46663146727445853</c:v>
                </c:pt>
                <c:pt idx="7">
                  <c:v>0.37299873943755513</c:v>
                </c:pt>
                <c:pt idx="8">
                  <c:v>0.27936601160065178</c:v>
                </c:pt>
                <c:pt idx="9">
                  <c:v>0.1857332837637484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D-4B09-A4B5-5B02F69FC35C}"/>
            </c:ext>
          </c:extLst>
        </c:ser>
        <c:ser>
          <c:idx val="4"/>
          <c:order val="4"/>
          <c:tx>
            <c:strRef>
              <c:f>DEHst_1vs4!$B$77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DEHst_1vs4!$C$77:$L$77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0.62271164304855653</c:v>
                </c:pt>
                <c:pt idx="5">
                  <c:v>0.53354439397885955</c:v>
                </c:pt>
                <c:pt idx="6">
                  <c:v>0.44437714490916264</c:v>
                </c:pt>
                <c:pt idx="7">
                  <c:v>0.35520989583946566</c:v>
                </c:pt>
                <c:pt idx="8">
                  <c:v>0.26604264676976869</c:v>
                </c:pt>
                <c:pt idx="9">
                  <c:v>0.17687539770007168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9D-4B09-A4B5-5B02F69FC35C}"/>
            </c:ext>
          </c:extLst>
        </c:ser>
        <c:ser>
          <c:idx val="5"/>
          <c:order val="5"/>
          <c:tx>
            <c:strRef>
              <c:f>DEHst_1vs4!$B$78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0.72221783251436311</c:v>
                </c:pt>
                <c:pt idx="5">
                  <c:v>0.61880210539046321</c:v>
                </c:pt>
                <c:pt idx="6">
                  <c:v>0.51538637826656331</c:v>
                </c:pt>
                <c:pt idx="7">
                  <c:v>0.41197065114266335</c:v>
                </c:pt>
                <c:pt idx="8">
                  <c:v>0.30855492401876339</c:v>
                </c:pt>
                <c:pt idx="9">
                  <c:v>0.20513919689486343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9D-4B09-A4B5-5B02F69FC35C}"/>
            </c:ext>
          </c:extLst>
        </c:ser>
        <c:ser>
          <c:idx val="6"/>
          <c:order val="6"/>
          <c:tx>
            <c:strRef>
              <c:f>DEHst_1vs4!$B$79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DEHst_1vs4!$C$79:$L$79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9D-4B09-A4B5-5B02F69F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98208"/>
        <c:axId val="191655296"/>
      </c:lineChart>
      <c:catAx>
        <c:axId val="1911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655296"/>
        <c:crosses val="autoZero"/>
        <c:auto val="1"/>
        <c:lblAlgn val="ctr"/>
        <c:lblOffset val="100"/>
        <c:noMultiLvlLbl val="0"/>
      </c:catAx>
      <c:valAx>
        <c:axId val="19165529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19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DEHst_1vs4!$D$79:$H$79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0.66338369584234458</c:v>
                </c:pt>
                <c:pt idx="4">
                  <c:v>0.56839253918697108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4-4CCF-B12E-E93DBAC9E12F}"/>
            </c:ext>
          </c:extLst>
        </c:ser>
        <c:ser>
          <c:idx val="0"/>
          <c:order val="1"/>
          <c:tx>
            <c:strRef>
              <c:f>DEHst_1vs4!$A$82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DEHst_1vs4!$D$88:$H$88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0.55106600443874743</c:v>
                </c:pt>
                <c:pt idx="3">
                  <c:v>0.48156129375230955</c:v>
                </c:pt>
                <c:pt idx="4">
                  <c:v>0.41205658306587173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4-4CCF-B12E-E93DBAC9E12F}"/>
            </c:ext>
          </c:extLst>
        </c:ser>
        <c:ser>
          <c:idx val="2"/>
          <c:order val="2"/>
          <c:tx>
            <c:strRef>
              <c:f>DEHst_1vs4!$A$91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DEHst_1vs4!$D$97:$H$97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0.68324548314301359</c:v>
                </c:pt>
                <c:pt idx="4">
                  <c:v>0.6081161137883091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4-4CCF-B12E-E93DBAC9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1456"/>
        <c:axId val="191657600"/>
      </c:lineChart>
      <c:catAx>
        <c:axId val="19157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657600"/>
        <c:crosses val="autoZero"/>
        <c:auto val="1"/>
        <c:lblAlgn val="ctr"/>
        <c:lblOffset val="100"/>
        <c:noMultiLvlLbl val="0"/>
      </c:catAx>
      <c:valAx>
        <c:axId val="191657600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57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DEHst_1vs4!$C$82:$L$82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0.57301747484347176</c:v>
                </c:pt>
                <c:pt idx="4">
                  <c:v>0.50074407476713723</c:v>
                </c:pt>
                <c:pt idx="5">
                  <c:v>0.42847067469080286</c:v>
                </c:pt>
                <c:pt idx="6">
                  <c:v>0.35619727461446848</c:v>
                </c:pt>
                <c:pt idx="7">
                  <c:v>0.283923874538134</c:v>
                </c:pt>
                <c:pt idx="8">
                  <c:v>0.2116504744617996</c:v>
                </c:pt>
                <c:pt idx="9">
                  <c:v>0.13937707438546515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7-4DD0-A35A-4AB03FD7332D}"/>
            </c:ext>
          </c:extLst>
        </c:ser>
        <c:ser>
          <c:idx val="1"/>
          <c:order val="1"/>
          <c:tx>
            <c:strRef>
              <c:f>DEHst_1vs4!$B$83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DEHst_1vs4!$C$83:$L$83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0.62999864146715689</c:v>
                </c:pt>
                <c:pt idx="4">
                  <c:v>0.55053833552318743</c:v>
                </c:pt>
                <c:pt idx="5">
                  <c:v>0.47107802957921824</c:v>
                </c:pt>
                <c:pt idx="6">
                  <c:v>0.39161772363524894</c:v>
                </c:pt>
                <c:pt idx="7">
                  <c:v>0.31215741769127958</c:v>
                </c:pt>
                <c:pt idx="8">
                  <c:v>0.23269711174731028</c:v>
                </c:pt>
                <c:pt idx="9">
                  <c:v>0.15323680580334101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7-4DD0-A35A-4AB03FD7332D}"/>
            </c:ext>
          </c:extLst>
        </c:ser>
        <c:ser>
          <c:idx val="2"/>
          <c:order val="2"/>
          <c:tx>
            <c:strRef>
              <c:f>DEHst_1vs4!$B$84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DEHst_1vs4!$C$84:$L$84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0.46910626329501459</c:v>
                </c:pt>
                <c:pt idx="4">
                  <c:v>0.40993894967216871</c:v>
                </c:pt>
                <c:pt idx="5">
                  <c:v>0.35077163604932293</c:v>
                </c:pt>
                <c:pt idx="6">
                  <c:v>0.2916043224264771</c:v>
                </c:pt>
                <c:pt idx="7">
                  <c:v>0.23243700880363125</c:v>
                </c:pt>
                <c:pt idx="8">
                  <c:v>0.17326969518078542</c:v>
                </c:pt>
                <c:pt idx="9">
                  <c:v>0.11410238155793959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7-4DD0-A35A-4AB03FD7332D}"/>
            </c:ext>
          </c:extLst>
        </c:ser>
        <c:ser>
          <c:idx val="3"/>
          <c:order val="3"/>
          <c:tx>
            <c:strRef>
              <c:f>DEHst_1vs4!$B$85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DEHst_1vs4!$C$85:$L$85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0.54318543989288537</c:v>
                </c:pt>
                <c:pt idx="4">
                  <c:v>0.47467468701620891</c:v>
                </c:pt>
                <c:pt idx="5">
                  <c:v>0.40616393413953256</c:v>
                </c:pt>
                <c:pt idx="6">
                  <c:v>0.33765318126285621</c:v>
                </c:pt>
                <c:pt idx="7">
                  <c:v>0.26914242838617985</c:v>
                </c:pt>
                <c:pt idx="8">
                  <c:v>0.20063167550950348</c:v>
                </c:pt>
                <c:pt idx="9">
                  <c:v>0.13212092263282713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F7-4DD0-A35A-4AB03FD7332D}"/>
            </c:ext>
          </c:extLst>
        </c:ser>
        <c:ser>
          <c:idx val="4"/>
          <c:order val="4"/>
          <c:tx>
            <c:strRef>
              <c:f>DEHst_1vs4!$B$86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DEHst_1vs4!$C$86:$L$86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0.51728014903430419</c:v>
                </c:pt>
                <c:pt idx="4">
                  <c:v>0.45203677199259246</c:v>
                </c:pt>
                <c:pt idx="5">
                  <c:v>0.38679339495088078</c:v>
                </c:pt>
                <c:pt idx="6">
                  <c:v>0.32155001790916915</c:v>
                </c:pt>
                <c:pt idx="7">
                  <c:v>0.25630664086745747</c:v>
                </c:pt>
                <c:pt idx="8">
                  <c:v>0.19106326382574579</c:v>
                </c:pt>
                <c:pt idx="9">
                  <c:v>0.12581988678403408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F7-4DD0-A35A-4AB03FD7332D}"/>
            </c:ext>
          </c:extLst>
        </c:ser>
        <c:ser>
          <c:idx val="5"/>
          <c:order val="5"/>
          <c:tx>
            <c:strRef>
              <c:f>DEHst_1vs4!$B$87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DEHst_1vs4!$C$87:$L$87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0.59993891588298276</c:v>
                </c:pt>
                <c:pt idx="4">
                  <c:v>0.52426997524409991</c:v>
                </c:pt>
                <c:pt idx="5">
                  <c:v>0.44860103460521716</c:v>
                </c:pt>
                <c:pt idx="6">
                  <c:v>0.37293209396633448</c:v>
                </c:pt>
                <c:pt idx="7">
                  <c:v>0.29726315332745168</c:v>
                </c:pt>
                <c:pt idx="8">
                  <c:v>0.22159421268856894</c:v>
                </c:pt>
                <c:pt idx="9">
                  <c:v>0.14592527204968617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F7-4DD0-A35A-4AB03FD7332D}"/>
            </c:ext>
          </c:extLst>
        </c:ser>
        <c:ser>
          <c:idx val="6"/>
          <c:order val="6"/>
          <c:tx>
            <c:strRef>
              <c:f>DEHst_1vs4!$B$88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DEHst_1vs4!$C$88:$L$88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0.55106600443874743</c:v>
                </c:pt>
                <c:pt idx="4">
                  <c:v>0.48156129375230955</c:v>
                </c:pt>
                <c:pt idx="5">
                  <c:v>0.41205658306587173</c:v>
                </c:pt>
                <c:pt idx="6">
                  <c:v>0.34255187237943391</c:v>
                </c:pt>
                <c:pt idx="7">
                  <c:v>0.27304716169299603</c:v>
                </c:pt>
                <c:pt idx="8">
                  <c:v>0.20354245100655821</c:v>
                </c:pt>
                <c:pt idx="9">
                  <c:v>0.13403774032012039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F7-4DD0-A35A-4AB03FD73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2480"/>
        <c:axId val="191414272"/>
      </c:lineChart>
      <c:catAx>
        <c:axId val="1915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4272"/>
        <c:crosses val="autoZero"/>
        <c:auto val="1"/>
        <c:lblAlgn val="ctr"/>
        <c:lblOffset val="100"/>
        <c:noMultiLvlLbl val="0"/>
      </c:catAx>
      <c:valAx>
        <c:axId val="19141427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5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DEHst_1vs4!$C$91:$L$91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0.71046226458401518</c:v>
                </c:pt>
                <c:pt idx="5">
                  <c:v>0.63234015005063637</c:v>
                </c:pt>
                <c:pt idx="6">
                  <c:v>0.55421803551725757</c:v>
                </c:pt>
                <c:pt idx="7">
                  <c:v>0.47609592098387871</c:v>
                </c:pt>
                <c:pt idx="8">
                  <c:v>0.3979738064504999</c:v>
                </c:pt>
                <c:pt idx="9">
                  <c:v>0.31985169191712109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4345-A1D6-B7297EBC4D0A}"/>
            </c:ext>
          </c:extLst>
        </c:ser>
        <c:ser>
          <c:idx val="1"/>
          <c:order val="1"/>
          <c:tx>
            <c:strRef>
              <c:f>DEHst_1vs4!$B$92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DEHst_1vs4!$C$92:$L$92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0.78111101519875159</c:v>
                </c:pt>
                <c:pt idx="5">
                  <c:v>0.69522039547896974</c:v>
                </c:pt>
                <c:pt idx="6">
                  <c:v>0.6093297757591879</c:v>
                </c:pt>
                <c:pt idx="7">
                  <c:v>0.52343915603940605</c:v>
                </c:pt>
                <c:pt idx="8">
                  <c:v>0.43754853631962426</c:v>
                </c:pt>
                <c:pt idx="9">
                  <c:v>0.35165791659984236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6-4345-A1D6-B7297EBC4D0A}"/>
            </c:ext>
          </c:extLst>
        </c:ser>
        <c:ser>
          <c:idx val="2"/>
          <c:order val="2"/>
          <c:tx>
            <c:strRef>
              <c:f>DEHst_1vs4!$B$93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DEHst_1vs4!$C$93:$L$93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0.58162676145638037</c:v>
                </c:pt>
                <c:pt idx="5">
                  <c:v>0.51767134152879557</c:v>
                </c:pt>
                <c:pt idx="6">
                  <c:v>0.45371592160121077</c:v>
                </c:pt>
                <c:pt idx="7">
                  <c:v>0.38976050167362597</c:v>
                </c:pt>
                <c:pt idx="8">
                  <c:v>0.32580508174604117</c:v>
                </c:pt>
                <c:pt idx="9">
                  <c:v>0.26184966181845637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6-4345-A1D6-B7297EBC4D0A}"/>
            </c:ext>
          </c:extLst>
        </c:ser>
        <c:ser>
          <c:idx val="3"/>
          <c:order val="3"/>
          <c:tx>
            <c:strRef>
              <c:f>DEHst_1vs4!$B$94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DEHst_1vs4!$C$94:$L$94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0.67347467513234505</c:v>
                </c:pt>
                <c:pt idx="5">
                  <c:v>0.59941969947952145</c:v>
                </c:pt>
                <c:pt idx="6">
                  <c:v>0.52536472382669785</c:v>
                </c:pt>
                <c:pt idx="7">
                  <c:v>0.45130974817387426</c:v>
                </c:pt>
                <c:pt idx="8">
                  <c:v>0.37725477252105066</c:v>
                </c:pt>
                <c:pt idx="9">
                  <c:v>0.30319979686822707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6-4345-A1D6-B7297EBC4D0A}"/>
            </c:ext>
          </c:extLst>
        </c:ser>
        <c:ser>
          <c:idx val="4"/>
          <c:order val="4"/>
          <c:tx>
            <c:strRef>
              <c:f>DEHst_1vs4!$B$95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DEHst_1vs4!$C$95:$L$95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0.64135570421767485</c:v>
                </c:pt>
                <c:pt idx="5">
                  <c:v>0.57083251631709642</c:v>
                </c:pt>
                <c:pt idx="6">
                  <c:v>0.50030932841651798</c:v>
                </c:pt>
                <c:pt idx="7">
                  <c:v>0.42978614051593939</c:v>
                </c:pt>
                <c:pt idx="8">
                  <c:v>0.35926295261536084</c:v>
                </c:pt>
                <c:pt idx="9">
                  <c:v>0.2887397647147823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86-4345-A1D6-B7297EBC4D0A}"/>
            </c:ext>
          </c:extLst>
        </c:ser>
        <c:ser>
          <c:idx val="5"/>
          <c:order val="5"/>
          <c:tx>
            <c:strRef>
              <c:f>DEHst_1vs4!$B$96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DEHst_1vs4!$C$96:$L$96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0.74384112091299681</c:v>
                </c:pt>
                <c:pt idx="5">
                  <c:v>0.66204868218773039</c:v>
                </c:pt>
                <c:pt idx="6">
                  <c:v>0.58025624346246407</c:v>
                </c:pt>
                <c:pt idx="7">
                  <c:v>0.49846380473719776</c:v>
                </c:pt>
                <c:pt idx="8">
                  <c:v>0.41667136601193139</c:v>
                </c:pt>
                <c:pt idx="9">
                  <c:v>0.33487892728666507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86-4345-A1D6-B7297EBC4D0A}"/>
            </c:ext>
          </c:extLst>
        </c:ser>
        <c:ser>
          <c:idx val="6"/>
          <c:order val="6"/>
          <c:tx>
            <c:strRef>
              <c:f>DEHst_1vs4!$B$97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DEHst_1vs4!$C$97:$L$97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0.68324548314301359</c:v>
                </c:pt>
                <c:pt idx="5">
                  <c:v>0.6081161137883091</c:v>
                </c:pt>
                <c:pt idx="6">
                  <c:v>0.53298674443360461</c:v>
                </c:pt>
                <c:pt idx="7">
                  <c:v>0.45785737507890012</c:v>
                </c:pt>
                <c:pt idx="8">
                  <c:v>0.38272800572419563</c:v>
                </c:pt>
                <c:pt idx="9">
                  <c:v>0.30759863636949114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86-4345-A1D6-B7297EBC4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02400"/>
        <c:axId val="191416576"/>
      </c:lineChart>
      <c:catAx>
        <c:axId val="19210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6576"/>
        <c:crosses val="autoZero"/>
        <c:auto val="1"/>
        <c:lblAlgn val="ctr"/>
        <c:lblOffset val="100"/>
        <c:noMultiLvlLbl val="0"/>
      </c:catAx>
      <c:valAx>
        <c:axId val="19141657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10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D-4B63-9128-B5306E44FDF2}"/>
            </c:ext>
          </c:extLst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D-4B63-9128-B5306E44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02912"/>
        <c:axId val="191418880"/>
      </c:lineChart>
      <c:catAx>
        <c:axId val="19210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418880"/>
        <c:crosses val="autoZero"/>
        <c:auto val="1"/>
        <c:lblAlgn val="ctr"/>
        <c:lblOffset val="100"/>
        <c:noMultiLvlLbl val="0"/>
      </c:catAx>
      <c:valAx>
        <c:axId val="191418880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1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00256"/>
        <c:axId val="191421760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6-4B3F-B0D6-E235D3929AF2}"/>
            </c:ext>
          </c:extLst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6-4B3F-B0D6-E235D3929AF2}"/>
            </c:ext>
          </c:extLst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00256"/>
        <c:axId val="191421760"/>
      </c:lineChart>
      <c:catAx>
        <c:axId val="19120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1421760"/>
        <c:crosses val="autoZero"/>
        <c:auto val="1"/>
        <c:lblAlgn val="ctr"/>
        <c:lblOffset val="100"/>
        <c:noMultiLvlLbl val="0"/>
      </c:catAx>
      <c:valAx>
        <c:axId val="1914217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20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729664"/>
        <c:axId val="192758912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0-4CEA-8346-5396995D2F75}"/>
            </c:ext>
          </c:extLst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0-4CEA-8346-5396995D2F75}"/>
            </c:ext>
          </c:extLst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29664"/>
        <c:axId val="192758912"/>
      </c:lineChart>
      <c:catAx>
        <c:axId val="19172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758912"/>
        <c:crosses val="autoZero"/>
        <c:auto val="1"/>
        <c:lblAlgn val="ctr"/>
        <c:lblOffset val="100"/>
        <c:noMultiLvlLbl val="0"/>
      </c:catAx>
      <c:valAx>
        <c:axId val="1927589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1729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1.2778998888566195</c:v>
                </c:pt>
                <c:pt idx="2">
                  <c:v>1.5557997777132389</c:v>
                </c:pt>
                <c:pt idx="3">
                  <c:v>1.0070134521338598</c:v>
                </c:pt>
                <c:pt idx="4">
                  <c:v>0.69579069652462189</c:v>
                </c:pt>
                <c:pt idx="5">
                  <c:v>0.56818904621811039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9-4A2A-A6A0-83B5FE3AAD60}"/>
            </c:ext>
          </c:extLst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9-4A2A-A6A0-83B5FE3AA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32224"/>
        <c:axId val="192761216"/>
      </c:lineChart>
      <c:catAx>
        <c:axId val="19173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761216"/>
        <c:crosses val="autoZero"/>
        <c:auto val="1"/>
        <c:lblAlgn val="ctr"/>
        <c:lblOffset val="100"/>
        <c:noMultiLvlLbl val="0"/>
      </c:catAx>
      <c:valAx>
        <c:axId val="19276121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9173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4-49BC-B2DA-B9FB92C3F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03424"/>
        <c:axId val="192763520"/>
      </c:lineChart>
      <c:catAx>
        <c:axId val="19210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763520"/>
        <c:crosses val="autoZero"/>
        <c:auto val="1"/>
        <c:lblAlgn val="ctr"/>
        <c:lblOffset val="100"/>
        <c:noMultiLvlLbl val="0"/>
      </c:catAx>
      <c:valAx>
        <c:axId val="1927635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210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96-4E1A-8D1E-0E50F540AF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'EU-Pfad'!$C$70:$K$70</c:f>
              <c:numCache>
                <c:formatCode>#,##0.00</c:formatCode>
                <c:ptCount val="9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  <c:pt idx="5">
                  <c:v>0.52774889730039498</c:v>
                </c:pt>
                <c:pt idx="6">
                  <c:v>0.41774889730039505</c:v>
                </c:pt>
                <c:pt idx="7">
                  <c:v>0.30774889730039506</c:v>
                </c:pt>
                <c:pt idx="8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6-4E1A-8D1E-0E50F540AF4D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'EU-Pfad'!$C$74:$K$74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6-4E1A-8D1E-0E50F540AF4D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96-4E1A-8D1E-0E50F540AF4D}"/>
                </c:ext>
              </c:extLst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96-4E1A-8D1E-0E50F540AF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'EU-Pfad'!$C$78:$K$78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96-4E1A-8D1E-0E50F540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33248"/>
        <c:axId val="192585728"/>
      </c:lineChart>
      <c:catAx>
        <c:axId val="19173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585728"/>
        <c:crosses val="autoZero"/>
        <c:auto val="1"/>
        <c:lblAlgn val="ctr"/>
        <c:lblOffset val="100"/>
        <c:noMultiLvlLbl val="0"/>
      </c:catAx>
      <c:valAx>
        <c:axId val="19258572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1733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'EU-Pfad'!$C$70:$G$70</c:f>
              <c:numCache>
                <c:formatCode>#,##0.00</c:formatCode>
                <c:ptCount val="5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3-4E9F-B594-EBED7D3867AA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'EU-Pfad'!$C$74:$G$74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3-4E9F-B594-EBED7D3867AA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43-4E9F-B594-EBED7D3867AA}"/>
                </c:ext>
              </c:extLst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43-4E9F-B594-EBED7D3867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'EU-Pfad'!$C$78:$G$78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43-4E9F-B594-EBED7D3867AA}"/>
            </c:ext>
          </c:extLst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'EU-Pfad'!$C$82:$G$82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43-4E9F-B594-EBED7D38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79744"/>
        <c:axId val="192587456"/>
      </c:lineChart>
      <c:catAx>
        <c:axId val="1924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92587456"/>
        <c:crosses val="autoZero"/>
        <c:auto val="1"/>
        <c:lblAlgn val="ctr"/>
        <c:lblOffset val="100"/>
        <c:noMultiLvlLbl val="0"/>
      </c:catAx>
      <c:valAx>
        <c:axId val="192587456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479744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1-44E3-8D97-91309E17B6DD}"/>
            </c:ext>
          </c:extLst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1.137230103759018</c:v>
                </c:pt>
                <c:pt idx="4">
                  <c:v>1.0795342727071264</c:v>
                </c:pt>
                <c:pt idx="5">
                  <c:v>0.84058792689659656</c:v>
                </c:pt>
                <c:pt idx="6">
                  <c:v>0.58882492685290699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1-44E3-8D97-91309E17B6DD}"/>
            </c:ext>
          </c:extLst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1.1938015173593788</c:v>
                </c:pt>
                <c:pt idx="4">
                  <c:v>1.0337837338102485</c:v>
                </c:pt>
                <c:pt idx="5">
                  <c:v>0.72480960470667155</c:v>
                </c:pt>
                <c:pt idx="6">
                  <c:v>0.64363013219952026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1-44E3-8D97-91309E17B6DD}"/>
            </c:ext>
          </c:extLst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1-44E3-8D97-91309E17B6DD}"/>
            </c:ext>
          </c:extLst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1.1804294231375638</c:v>
                </c:pt>
                <c:pt idx="4">
                  <c:v>1.0119569557555661</c:v>
                </c:pt>
                <c:pt idx="5">
                  <c:v>0.80876695610467675</c:v>
                </c:pt>
                <c:pt idx="6">
                  <c:v>0.61073233549500894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1-44E3-8D97-91309E17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80768"/>
        <c:axId val="192589760"/>
      </c:lineChart>
      <c:catAx>
        <c:axId val="19248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589760"/>
        <c:crosses val="autoZero"/>
        <c:auto val="1"/>
        <c:lblAlgn val="ctr"/>
        <c:lblOffset val="100"/>
        <c:noMultiLvlLbl val="0"/>
      </c:catAx>
      <c:valAx>
        <c:axId val="192589760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92480768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5A-4E49-A7C5-B96F789F4FE3}"/>
                </c:ext>
              </c:extLst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5A-4E49-A7C5-B96F789F4FE3}"/>
                </c:ext>
              </c:extLst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5A-4E49-A7C5-B96F789F4FE3}"/>
                </c:ext>
              </c:extLst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5A-4E49-A7C5-B96F789F4F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192105984"/>
        <c:axId val="192592640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1846.4749640653095</c:v>
                </c:pt>
                <c:pt idx="3">
                  <c:v>1293.440520452807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5A-4E49-A7C5-B96F789F4FE3}"/>
            </c:ext>
          </c:extLst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1846.7489593460225</c:v>
                </c:pt>
                <c:pt idx="3">
                  <c:v>1284.8093345206096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81792"/>
        <c:axId val="192592064"/>
      </c:lineChart>
      <c:catAx>
        <c:axId val="19248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92592064"/>
        <c:crosses val="autoZero"/>
        <c:auto val="1"/>
        <c:lblAlgn val="ctr"/>
        <c:lblOffset val="100"/>
        <c:noMultiLvlLbl val="0"/>
      </c:catAx>
      <c:valAx>
        <c:axId val="192592064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92481792"/>
        <c:crosses val="autoZero"/>
        <c:crossBetween val="between"/>
      </c:valAx>
      <c:valAx>
        <c:axId val="192592640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92105984"/>
        <c:crosses val="max"/>
        <c:crossBetween val="between"/>
        <c:majorUnit val="20"/>
      </c:valAx>
      <c:catAx>
        <c:axId val="19210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59264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360.78918947280778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9-4B0A-9314-FB0CFF56261A}"/>
            </c:ext>
          </c:extLst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352.15800354061054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82816"/>
        <c:axId val="193275008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39-4B0A-9314-FB0CFF56261A}"/>
                </c:ext>
              </c:extLst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39-4B0A-9314-FB0CFF56261A}"/>
                </c:ext>
              </c:extLst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39-4B0A-9314-FB0CFF56261A}"/>
                </c:ext>
              </c:extLst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39-4B0A-9314-FB0CFF5626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00640"/>
        <c:axId val="193275584"/>
      </c:lineChart>
      <c:catAx>
        <c:axId val="19248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275008"/>
        <c:crosses val="autoZero"/>
        <c:auto val="1"/>
        <c:lblAlgn val="ctr"/>
        <c:lblOffset val="100"/>
        <c:noMultiLvlLbl val="0"/>
      </c:catAx>
      <c:valAx>
        <c:axId val="1932750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92482816"/>
        <c:crosses val="autoZero"/>
        <c:crossBetween val="between"/>
      </c:valAx>
      <c:valAx>
        <c:axId val="193275584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193200640"/>
        <c:crosses val="max"/>
        <c:crossBetween val="between"/>
        <c:majorUnit val="10"/>
      </c:valAx>
      <c:catAx>
        <c:axId val="19320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2755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92038495188105E-2"/>
          <c:y val="4.1666666666666664E-2"/>
          <c:w val="0.8521968503937007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80%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'EU-Pfad'!$C$128:$I$128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4177.7299999999996</c:v>
                </c:pt>
                <c:pt idx="4">
                  <c:v>3441.06</c:v>
                </c:pt>
                <c:pt idx="5">
                  <c:v>2294.0400000000004</c:v>
                </c:pt>
                <c:pt idx="6">
                  <c:v>1147.0199999999995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2E-4177-B8C4-4F4B5D876E94}"/>
            </c:ext>
          </c:extLst>
        </c:ser>
        <c:ser>
          <c:idx val="1"/>
          <c:order val="1"/>
          <c:tx>
            <c:v>95%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'EU-Pfad'!$C$130:$I$130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3747.5974999999999</c:v>
                </c:pt>
                <c:pt idx="4">
                  <c:v>2580.7950000000001</c:v>
                </c:pt>
                <c:pt idx="5">
                  <c:v>1433.7749999999996</c:v>
                </c:pt>
                <c:pt idx="6">
                  <c:v>286.75500000000011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2E-4177-B8C4-4F4B5D8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33056"/>
        <c:axId val="408932224"/>
      </c:scatterChart>
      <c:valAx>
        <c:axId val="40893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932224"/>
        <c:crosses val="autoZero"/>
        <c:crossBetween val="midCat"/>
      </c:valAx>
      <c:valAx>
        <c:axId val="4089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93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Diagramm1"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598365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96</xdr:row>
      <xdr:rowOff>38100</xdr:rowOff>
    </xdr:from>
    <xdr:to>
      <xdr:col>11</xdr:col>
      <xdr:colOff>714375</xdr:colOff>
      <xdr:row>106</xdr:row>
      <xdr:rowOff>61913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80</xdr:row>
      <xdr:rowOff>104775</xdr:rowOff>
    </xdr:from>
    <xdr:to>
      <xdr:col>17</xdr:col>
      <xdr:colOff>228599</xdr:colOff>
      <xdr:row>90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581026</xdr:colOff>
      <xdr:row>70</xdr:row>
      <xdr:rowOff>28575</xdr:rowOff>
    </xdr:from>
    <xdr:to>
      <xdr:col>16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560295</xdr:colOff>
      <xdr:row>102</xdr:row>
      <xdr:rowOff>169209</xdr:rowOff>
    </xdr:from>
    <xdr:to>
      <xdr:col>15</xdr:col>
      <xdr:colOff>257736</xdr:colOff>
      <xdr:row>112</xdr:row>
      <xdr:rowOff>290233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161925</xdr:rowOff>
    </xdr:from>
    <xdr:to>
      <xdr:col>3</xdr:col>
      <xdr:colOff>0</xdr:colOff>
      <xdr:row>52</xdr:row>
      <xdr:rowOff>30506</xdr:rowOff>
    </xdr:to>
    <xdr:pic>
      <xdr:nvPicPr>
        <xdr:cNvPr id="2" name="Grafik 1" descr="http://static.giga.de/wp-content/uploads/2017/05/excel-formel-werte-interpoliere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"/>
          <a:ext cx="2286000" cy="821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2/xcel_data/Archiv/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Daten&#252;bergabe-IER_2015-07-24_V2_ob_t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clusters%20emi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1846748959.3460226</v>
          </cell>
          <cell r="E15">
            <v>1846474964.0653095</v>
          </cell>
          <cell r="F15">
            <v>1592150857.7288625</v>
          </cell>
          <cell r="G15">
            <v>1846748959.3460226</v>
          </cell>
          <cell r="H15">
            <v>1776575523.424448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1284809334.5206096</v>
          </cell>
          <cell r="E19">
            <v>1293440520.4528069</v>
          </cell>
          <cell r="F19">
            <v>1413828211.4188089</v>
          </cell>
          <cell r="G19">
            <v>1284809334.5206096</v>
          </cell>
          <cell r="H19">
            <v>1341563364.3467631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352158003.54061055</v>
          </cell>
          <cell r="Q19">
            <v>360789189.47280777</v>
          </cell>
          <cell r="R19">
            <v>448753879.64178312</v>
          </cell>
          <cell r="S19">
            <v>352158003.54061055</v>
          </cell>
          <cell r="T19">
            <v>391862313.99123347</v>
          </cell>
        </row>
        <row r="20">
          <cell r="A20">
            <v>2030</v>
          </cell>
          <cell r="D20">
            <v>1284809334.5206096</v>
          </cell>
          <cell r="E20">
            <v>1293440520.4528069</v>
          </cell>
          <cell r="F20">
            <v>1413828211.4188089</v>
          </cell>
          <cell r="G20">
            <v>1284809334.5206096</v>
          </cell>
          <cell r="H20">
            <v>1341563364.3467631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352158003.54061055</v>
          </cell>
          <cell r="Q20">
            <v>360789189.47280777</v>
          </cell>
          <cell r="R20">
            <v>448753879.64178312</v>
          </cell>
          <cell r="S20">
            <v>352158003.54061055</v>
          </cell>
          <cell r="T20">
            <v>391862313.99123347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ETS targets"/>
      <sheetName val="emissions_history_GHG_NEWAGE"/>
      <sheetName val="input_NEWAGE"/>
      <sheetName val="NEWAGE mapping"/>
      <sheetName val="CO2_per_GDP"/>
      <sheetName val="emissions_CO2_allCountries"/>
      <sheetName val="emissions_nonETS_GHG_EU28"/>
      <sheetName val="GHG_nonETS_proj"/>
      <sheetName val="GHG_reduction_NEWAGE"/>
    </sheetNames>
    <sheetDataSet>
      <sheetData sheetId="0"/>
      <sheetData sheetId="1"/>
      <sheetData sheetId="2">
        <row r="1">
          <cell r="B1">
            <v>2011</v>
          </cell>
          <cell r="C1">
            <v>2015</v>
          </cell>
          <cell r="D1">
            <v>2020</v>
          </cell>
          <cell r="E1">
            <v>2025</v>
          </cell>
          <cell r="F1">
            <v>2030</v>
          </cell>
          <cell r="G1">
            <v>2035</v>
          </cell>
          <cell r="H1">
            <v>2040</v>
          </cell>
          <cell r="I1">
            <v>2045</v>
          </cell>
          <cell r="J1">
            <v>2050</v>
          </cell>
        </row>
        <row r="2">
          <cell r="A2" t="str">
            <v>DEU</v>
          </cell>
          <cell r="B2">
            <v>1</v>
          </cell>
          <cell r="C2">
            <v>1.0108350415606064</v>
          </cell>
          <cell r="D2">
            <v>0.90748181019530105</v>
          </cell>
          <cell r="E2">
            <v>0.78085644133084042</v>
          </cell>
          <cell r="F2">
            <v>0.65423107246637979</v>
          </cell>
          <cell r="G2">
            <v>0.54343387470997684</v>
          </cell>
          <cell r="H2">
            <v>0.43263667695357377</v>
          </cell>
          <cell r="I2">
            <v>0.32183947919717071</v>
          </cell>
          <cell r="J2">
            <v>0.21104228144076762</v>
          </cell>
        </row>
        <row r="3">
          <cell r="A3" t="str">
            <v>FRA</v>
          </cell>
          <cell r="B3">
            <v>1</v>
          </cell>
          <cell r="C3">
            <v>1.0001643655489809</v>
          </cell>
          <cell r="D3">
            <v>0.93197293447293428</v>
          </cell>
          <cell r="E3">
            <v>0.80734864672364659</v>
          </cell>
          <cell r="F3">
            <v>0.6827243589743589</v>
          </cell>
          <cell r="G3">
            <v>0.56622774216524208</v>
          </cell>
          <cell r="H3">
            <v>0.44973112535612531</v>
          </cell>
          <cell r="I3">
            <v>0.33323450854700853</v>
          </cell>
          <cell r="J3">
            <v>0.21673789173789168</v>
          </cell>
        </row>
        <row r="4">
          <cell r="A4" t="str">
            <v>ITA</v>
          </cell>
          <cell r="B4">
            <v>1</v>
          </cell>
          <cell r="C4">
            <v>0.92295704024935621</v>
          </cell>
          <cell r="D4">
            <v>0.95900664046618755</v>
          </cell>
          <cell r="E4">
            <v>0.85306986041469013</v>
          </cell>
          <cell r="F4">
            <v>0.7471330803631927</v>
          </cell>
          <cell r="G4">
            <v>0.61610601029949852</v>
          </cell>
          <cell r="H4">
            <v>0.48507894023580433</v>
          </cell>
          <cell r="I4">
            <v>0.35405187017210998</v>
          </cell>
          <cell r="J4">
            <v>0.22302480010841572</v>
          </cell>
        </row>
        <row r="5">
          <cell r="A5" t="str">
            <v>POL</v>
          </cell>
          <cell r="B5">
            <v>1</v>
          </cell>
          <cell r="C5">
            <v>0.94899132434409961</v>
          </cell>
          <cell r="D5">
            <v>1.0486641580432738</v>
          </cell>
          <cell r="E5">
            <v>0.95207666980244576</v>
          </cell>
          <cell r="F5">
            <v>0.85548918156161791</v>
          </cell>
          <cell r="G5">
            <v>0.75660199121981808</v>
          </cell>
          <cell r="H5">
            <v>0.65771480087801826</v>
          </cell>
          <cell r="I5">
            <v>0.55882761053621821</v>
          </cell>
          <cell r="J5">
            <v>0.45994042019441828</v>
          </cell>
        </row>
        <row r="6">
          <cell r="A6" t="str">
            <v>UKI</v>
          </cell>
          <cell r="B6">
            <v>1</v>
          </cell>
          <cell r="C6">
            <v>0.96924029727497929</v>
          </cell>
          <cell r="D6">
            <v>1.0273575557390586</v>
          </cell>
          <cell r="E6">
            <v>0.89893786127167619</v>
          </cell>
          <cell r="F6">
            <v>0.77051816680429397</v>
          </cell>
          <cell r="G6">
            <v>0.63904086056387877</v>
          </cell>
          <cell r="H6">
            <v>0.50756355432346345</v>
          </cell>
          <cell r="I6">
            <v>0.37608624808304825</v>
          </cell>
          <cell r="J6">
            <v>0.24460894184263296</v>
          </cell>
        </row>
        <row r="7">
          <cell r="A7" t="str">
            <v>ESP</v>
          </cell>
          <cell r="B7">
            <v>1</v>
          </cell>
          <cell r="C7">
            <v>0.92070246015782142</v>
          </cell>
          <cell r="D7">
            <v>1.0075866470679253</v>
          </cell>
          <cell r="E7">
            <v>0.91798081386353103</v>
          </cell>
          <cell r="F7">
            <v>0.82837498065913673</v>
          </cell>
          <cell r="G7">
            <v>0.67608744004332366</v>
          </cell>
          <cell r="H7">
            <v>0.52379989942751048</v>
          </cell>
          <cell r="I7">
            <v>0.37151235881169736</v>
          </cell>
          <cell r="J7">
            <v>0.21922481819588424</v>
          </cell>
        </row>
        <row r="8">
          <cell r="A8" t="str">
            <v>BNL</v>
          </cell>
          <cell r="B8">
            <v>1</v>
          </cell>
          <cell r="C8">
            <v>0.91278434488924209</v>
          </cell>
          <cell r="D8">
            <v>0.88304956789510269</v>
          </cell>
          <cell r="E8">
            <v>0.77814741233733964</v>
          </cell>
          <cell r="F8">
            <v>0.67324525677957681</v>
          </cell>
          <cell r="G8">
            <v>0.55738502036356419</v>
          </cell>
          <cell r="H8">
            <v>0.44152478394755151</v>
          </cell>
          <cell r="I8">
            <v>0.32566454753153867</v>
          </cell>
          <cell r="J8">
            <v>0.20980431111552592</v>
          </cell>
        </row>
        <row r="9">
          <cell r="A9" t="str">
            <v>EUN</v>
          </cell>
          <cell r="B9">
            <v>1</v>
          </cell>
          <cell r="C9">
            <v>0.94918433467856533</v>
          </cell>
          <cell r="D9">
            <v>0.92254703575285635</v>
          </cell>
          <cell r="E9">
            <v>0.82076735065082707</v>
          </cell>
          <cell r="F9">
            <v>0.71898766554879767</v>
          </cell>
          <cell r="G9">
            <v>0.59993534360256917</v>
          </cell>
          <cell r="H9">
            <v>0.48088302165634056</v>
          </cell>
          <cell r="I9">
            <v>0.36183069971011195</v>
          </cell>
          <cell r="J9">
            <v>0.24277837776388334</v>
          </cell>
        </row>
        <row r="10">
          <cell r="A10" t="str">
            <v>EUS</v>
          </cell>
          <cell r="B10">
            <v>1</v>
          </cell>
          <cell r="C10">
            <v>0.95053995068167008</v>
          </cell>
          <cell r="D10">
            <v>1.1457983050367055</v>
          </cell>
          <cell r="E10">
            <v>1.0413949434539838</v>
          </cell>
          <cell r="F10">
            <v>0.93699158187126208</v>
          </cell>
          <cell r="G10">
            <v>0.80718021031149922</v>
          </cell>
          <cell r="H10">
            <v>0.67736883875173626</v>
          </cell>
          <cell r="I10">
            <v>0.54755746719197307</v>
          </cell>
          <cell r="J10">
            <v>0.41774609563220999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3:R43"/>
  <sheetViews>
    <sheetView workbookViewId="0">
      <selection activeCell="S8" sqref="S8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L68"/>
  <sheetViews>
    <sheetView zoomScale="85" zoomScaleNormal="85" workbookViewId="0">
      <selection activeCell="I16" sqref="I16"/>
    </sheetView>
  </sheetViews>
  <sheetFormatPr baseColWidth="10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480" t="s">
        <v>80</v>
      </c>
      <c r="C18" s="481"/>
      <c r="D18" s="481"/>
      <c r="E18" s="481"/>
      <c r="F18" s="481"/>
      <c r="G18" s="482"/>
      <c r="H18" s="52"/>
      <c r="I18" s="52"/>
      <c r="J18" s="480" t="s">
        <v>81</v>
      </c>
      <c r="K18" s="481"/>
      <c r="L18" s="481"/>
      <c r="M18" s="481"/>
      <c r="N18" s="481"/>
      <c r="O18" s="482"/>
    </row>
    <row r="19" spans="1:64" x14ac:dyDescent="0.25">
      <c r="B19" s="483" t="s">
        <v>76</v>
      </c>
      <c r="C19" s="484"/>
      <c r="D19" s="484"/>
      <c r="E19" s="484"/>
      <c r="F19" s="484"/>
      <c r="G19" s="485"/>
      <c r="H19" s="52"/>
      <c r="I19" s="56"/>
      <c r="J19" s="483" t="s">
        <v>77</v>
      </c>
      <c r="K19" s="484"/>
      <c r="L19" s="484"/>
      <c r="M19" s="484"/>
      <c r="N19" s="484"/>
      <c r="O19" s="485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479" t="s">
        <v>82</v>
      </c>
      <c r="S21" s="479"/>
      <c r="T21" s="479"/>
      <c r="U21" s="479"/>
      <c r="V21" s="479"/>
      <c r="W21" s="479"/>
      <c r="Z21" s="479" t="s">
        <v>83</v>
      </c>
      <c r="AA21" s="479"/>
      <c r="AB21" s="479"/>
      <c r="AC21" s="479"/>
      <c r="AD21" s="479"/>
      <c r="AE21" s="479"/>
      <c r="AH21" s="479" t="s">
        <v>84</v>
      </c>
      <c r="AI21" s="479"/>
      <c r="AJ21" s="479"/>
      <c r="AK21" s="479"/>
      <c r="AL21" s="479"/>
      <c r="AM21" s="479"/>
      <c r="AP21" s="479" t="s">
        <v>85</v>
      </c>
      <c r="AQ21" s="479"/>
      <c r="AR21" s="479"/>
      <c r="AS21" s="479"/>
      <c r="AT21" s="479"/>
      <c r="AU21" s="479"/>
      <c r="AX21" s="479" t="s">
        <v>119</v>
      </c>
      <c r="AY21" s="479"/>
      <c r="AZ21" s="479"/>
      <c r="BA21" s="479"/>
      <c r="BB21" s="479"/>
      <c r="BC21" s="479"/>
      <c r="BF21" s="479" t="s">
        <v>120</v>
      </c>
      <c r="BG21" s="479"/>
      <c r="BH21" s="479"/>
      <c r="BI21" s="479"/>
      <c r="BJ21" s="479"/>
      <c r="BK21" s="479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4" priority="42" operator="containsText" text="error">
      <formula>NOT(ISERROR(SEARCH("error",B21)))</formula>
    </cfRule>
    <cfRule type="containsText" dxfId="43" priority="43" operator="containsText" text="ok">
      <formula>NOT(ISERROR(SEARCH("ok",B21)))</formula>
    </cfRule>
  </conditionalFormatting>
  <conditionalFormatting sqref="R23:W68">
    <cfRule type="cellIs" dxfId="42" priority="41" operator="equal">
      <formula>100</formula>
    </cfRule>
  </conditionalFormatting>
  <conditionalFormatting sqref="P23:W68">
    <cfRule type="cellIs" dxfId="41" priority="40" operator="equal">
      <formula>0</formula>
    </cfRule>
  </conditionalFormatting>
  <conditionalFormatting sqref="J21:O21">
    <cfRule type="containsText" dxfId="40" priority="38" operator="containsText" text="error">
      <formula>NOT(ISERROR(SEARCH("error",J21)))</formula>
    </cfRule>
    <cfRule type="containsText" dxfId="39" priority="39" operator="containsText" text="ok">
      <formula>NOT(ISERROR(SEARCH("ok",J21)))</formula>
    </cfRule>
  </conditionalFormatting>
  <conditionalFormatting sqref="R68:W68">
    <cfRule type="cellIs" dxfId="38" priority="37" operator="between">
      <formula>$B$16-0.01</formula>
      <formula>$B$16+0.01</formula>
    </cfRule>
  </conditionalFormatting>
  <conditionalFormatting sqref="Z23:AE67">
    <cfRule type="cellIs" dxfId="37" priority="36" operator="equal">
      <formula>100</formula>
    </cfRule>
  </conditionalFormatting>
  <conditionalFormatting sqref="Y23:AE67 Y68">
    <cfRule type="cellIs" dxfId="36" priority="35" operator="equal">
      <formula>0</formula>
    </cfRule>
  </conditionalFormatting>
  <conditionalFormatting sqref="Z68:AE68">
    <cfRule type="cellIs" dxfId="35" priority="34" operator="equal">
      <formula>100</formula>
    </cfRule>
  </conditionalFormatting>
  <conditionalFormatting sqref="Z68:AE68">
    <cfRule type="cellIs" dxfId="34" priority="33" operator="equal">
      <formula>0</formula>
    </cfRule>
  </conditionalFormatting>
  <conditionalFormatting sqref="Z68:AE68">
    <cfRule type="cellIs" dxfId="33" priority="32" operator="between">
      <formula>$B$16-0.01</formula>
      <formula>$B$16+0.01</formula>
    </cfRule>
  </conditionalFormatting>
  <conditionalFormatting sqref="AH23:AM68">
    <cfRule type="cellIs" dxfId="32" priority="31" operator="equal">
      <formula>100</formula>
    </cfRule>
  </conditionalFormatting>
  <conditionalFormatting sqref="AG23:AM68">
    <cfRule type="cellIs" dxfId="31" priority="30" operator="equal">
      <formula>0</formula>
    </cfRule>
  </conditionalFormatting>
  <conditionalFormatting sqref="AH68:AM68">
    <cfRule type="cellIs" dxfId="30" priority="29" operator="between">
      <formula>$B$16-0.01</formula>
      <formula>$B$16+0.01</formula>
    </cfRule>
  </conditionalFormatting>
  <conditionalFormatting sqref="AP23:AU67">
    <cfRule type="cellIs" dxfId="29" priority="28" operator="equal">
      <formula>100</formula>
    </cfRule>
  </conditionalFormatting>
  <conditionalFormatting sqref="AO23:AU67 AO68">
    <cfRule type="cellIs" dxfId="28" priority="27" operator="equal">
      <formula>0</formula>
    </cfRule>
  </conditionalFormatting>
  <conditionalFormatting sqref="AP68:AU68">
    <cfRule type="cellIs" dxfId="27" priority="26" operator="equal">
      <formula>100</formula>
    </cfRule>
  </conditionalFormatting>
  <conditionalFormatting sqref="AP68:AU68">
    <cfRule type="cellIs" dxfId="26" priority="25" operator="equal">
      <formula>0</formula>
    </cfRule>
  </conditionalFormatting>
  <conditionalFormatting sqref="AP68:AU68">
    <cfRule type="cellIs" dxfId="25" priority="24" operator="between">
      <formula>$B$16-0.01</formula>
      <formula>$B$16+0.01</formula>
    </cfRule>
  </conditionalFormatting>
  <conditionalFormatting sqref="X68">
    <cfRule type="cellIs" dxfId="24" priority="23" operator="equal">
      <formula>100</formula>
    </cfRule>
  </conditionalFormatting>
  <conditionalFormatting sqref="X68">
    <cfRule type="cellIs" dxfId="23" priority="22" operator="equal">
      <formula>0</formula>
    </cfRule>
  </conditionalFormatting>
  <conditionalFormatting sqref="X68">
    <cfRule type="cellIs" dxfId="22" priority="21" operator="between">
      <formula>$B$16-0.01</formula>
      <formula>$B$16+0.01</formula>
    </cfRule>
  </conditionalFormatting>
  <conditionalFormatting sqref="AF68">
    <cfRule type="cellIs" dxfId="21" priority="20" operator="equal">
      <formula>100</formula>
    </cfRule>
  </conditionalFormatting>
  <conditionalFormatting sqref="AF68">
    <cfRule type="cellIs" dxfId="20" priority="19" operator="equal">
      <formula>0</formula>
    </cfRule>
  </conditionalFormatting>
  <conditionalFormatting sqref="AF68">
    <cfRule type="cellIs" dxfId="19" priority="18" operator="between">
      <formula>$B$16-0.01</formula>
      <formula>$B$16+0.01</formula>
    </cfRule>
  </conditionalFormatting>
  <conditionalFormatting sqref="AX23:BC68">
    <cfRule type="cellIs" dxfId="18" priority="8" operator="equal">
      <formula>100</formula>
    </cfRule>
  </conditionalFormatting>
  <conditionalFormatting sqref="AW23:BC68">
    <cfRule type="cellIs" dxfId="17" priority="7" operator="equal">
      <formula>0</formula>
    </cfRule>
  </conditionalFormatting>
  <conditionalFormatting sqref="AX68:BC68">
    <cfRule type="cellIs" dxfId="16" priority="6" operator="between">
      <formula>$B$16-0.01</formula>
      <formula>$B$16+0.01</formula>
    </cfRule>
  </conditionalFormatting>
  <conditionalFormatting sqref="BF23:BK67">
    <cfRule type="cellIs" dxfId="15" priority="5" operator="equal">
      <formula>100</formula>
    </cfRule>
  </conditionalFormatting>
  <conditionalFormatting sqref="BE68 BE23:BK67">
    <cfRule type="cellIs" dxfId="14" priority="4" operator="equal">
      <formula>0</formula>
    </cfRule>
  </conditionalFormatting>
  <conditionalFormatting sqref="BF68:BK68">
    <cfRule type="cellIs" dxfId="13" priority="3" operator="equal">
      <formula>100</formula>
    </cfRule>
  </conditionalFormatting>
  <conditionalFormatting sqref="BF68:BK68">
    <cfRule type="cellIs" dxfId="12" priority="2" operator="equal">
      <formula>0</formula>
    </cfRule>
  </conditionalFormatting>
  <conditionalFormatting sqref="BF68:BK68">
    <cfRule type="cellIs" dxfId="11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U57"/>
  <sheetViews>
    <sheetView workbookViewId="0">
      <selection activeCell="L48" sqref="L48"/>
    </sheetView>
  </sheetViews>
  <sheetFormatPr baseColWidth="10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486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486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486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486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486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486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486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486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486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486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486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486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19"/>
  <sheetViews>
    <sheetView zoomScale="85" zoomScaleNormal="85" workbookViewId="0">
      <selection activeCell="L27" sqref="L27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</sheetData>
  <conditionalFormatting sqref="C3:L19">
    <cfRule type="cellIs" dxfId="1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N20"/>
  <sheetViews>
    <sheetView zoomScale="85" zoomScaleNormal="85" workbookViewId="0">
      <selection activeCell="L4" sqref="L4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</sheetData>
  <conditionalFormatting sqref="C3:L20">
    <cfRule type="cellIs" dxfId="9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D688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489" t="s">
        <v>0</v>
      </c>
      <c r="B2" s="489"/>
    </row>
    <row r="3" spans="1:4" ht="15" customHeight="1" x14ac:dyDescent="0.25">
      <c r="A3" s="26" t="s">
        <v>183</v>
      </c>
      <c r="B3" s="288" t="s">
        <v>184</v>
      </c>
      <c r="C3" s="487" t="s">
        <v>23</v>
      </c>
      <c r="D3" s="488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B3:M36"/>
  <sheetViews>
    <sheetView workbookViewId="0">
      <selection activeCell="S29" sqref="S29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8" priority="1" operator="equal">
      <formula>0</formula>
    </cfRule>
    <cfRule type="cellIs" dxfId="7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B3:M39"/>
  <sheetViews>
    <sheetView topLeftCell="A13" workbookViewId="0">
      <selection activeCell="F44" sqref="F44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6" priority="1" operator="equal">
      <formula>0</formula>
    </cfRule>
    <cfRule type="cellIs" dxfId="5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2:O61"/>
  <sheetViews>
    <sheetView workbookViewId="0">
      <selection activeCell="H6" sqref="H6"/>
    </sheetView>
  </sheetViews>
  <sheetFormatPr baseColWidth="10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 t="shared" si="0"/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 t="shared" si="6"/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119"/>
  <sheetViews>
    <sheetView topLeftCell="A100" workbookViewId="0">
      <selection activeCell="T46" sqref="T46"/>
    </sheetView>
  </sheetViews>
  <sheetFormatPr baseColWidth="10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493" t="s">
        <v>156</v>
      </c>
    </row>
    <row r="7" spans="1:10" x14ac:dyDescent="0.25">
      <c r="C7" s="62" t="s">
        <v>147</v>
      </c>
      <c r="D7" s="189">
        <v>0.71</v>
      </c>
      <c r="E7" s="493"/>
    </row>
    <row r="8" spans="1:10" x14ac:dyDescent="0.25">
      <c r="C8" s="62" t="s">
        <v>150</v>
      </c>
      <c r="D8">
        <v>262</v>
      </c>
      <c r="E8" s="493"/>
    </row>
    <row r="9" spans="1:10" x14ac:dyDescent="0.25">
      <c r="C9" s="62" t="s">
        <v>151</v>
      </c>
      <c r="D9" s="32">
        <f>374*3</f>
        <v>1122</v>
      </c>
      <c r="E9" s="493"/>
    </row>
    <row r="10" spans="1:10" x14ac:dyDescent="0.25">
      <c r="C10" s="62" t="s">
        <v>152</v>
      </c>
      <c r="D10">
        <v>37.4</v>
      </c>
      <c r="E10" s="493"/>
      <c r="H10" s="479" t="s">
        <v>173</v>
      </c>
      <c r="I10" s="479"/>
      <c r="J10" s="479"/>
    </row>
    <row r="11" spans="1:10" ht="15" customHeight="1" x14ac:dyDescent="0.25">
      <c r="C11" s="62" t="s">
        <v>153</v>
      </c>
      <c r="D11" s="205">
        <v>1.7399999999999999E-2</v>
      </c>
      <c r="E11" s="493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515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500" t="s">
        <v>163</v>
      </c>
      <c r="M21" s="501"/>
      <c r="N21" s="248">
        <f>K21/B21-1</f>
        <v>-0.70954475603338096</v>
      </c>
    </row>
    <row r="22" spans="1:14" ht="15" customHeight="1" x14ac:dyDescent="0.25">
      <c r="A22" s="516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502"/>
      <c r="M22" s="503"/>
      <c r="N22" s="248"/>
    </row>
    <row r="23" spans="1:14" x14ac:dyDescent="0.25">
      <c r="A23" s="516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502"/>
      <c r="M23" s="503"/>
    </row>
    <row r="24" spans="1:14" x14ac:dyDescent="0.25">
      <c r="A24" s="517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504"/>
      <c r="M24" s="505"/>
    </row>
    <row r="25" spans="1:14" ht="15" customHeight="1" x14ac:dyDescent="0.25">
      <c r="A25" s="494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506" t="s">
        <v>168</v>
      </c>
      <c r="M25" s="507"/>
      <c r="N25" s="248">
        <f>K25/B25-1</f>
        <v>-0.82207373881663026</v>
      </c>
    </row>
    <row r="26" spans="1:14" ht="15" customHeight="1" x14ac:dyDescent="0.25">
      <c r="A26" s="495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 t="shared" si="6"/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508"/>
      <c r="M26" s="509"/>
      <c r="N26" s="248"/>
    </row>
    <row r="27" spans="1:14" x14ac:dyDescent="0.25">
      <c r="A27" s="495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508"/>
      <c r="M27" s="509"/>
    </row>
    <row r="28" spans="1:14" x14ac:dyDescent="0.25">
      <c r="A28" s="496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510"/>
      <c r="M28" s="511"/>
    </row>
    <row r="29" spans="1:14" ht="15" customHeight="1" x14ac:dyDescent="0.25">
      <c r="A29" s="497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518" t="s">
        <v>172</v>
      </c>
      <c r="M29" s="519"/>
      <c r="N29" s="248">
        <f>K29/B29-1</f>
        <v>-0.87343258401623947</v>
      </c>
    </row>
    <row r="30" spans="1:14" ht="15" customHeight="1" x14ac:dyDescent="0.25">
      <c r="A30" s="498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520"/>
      <c r="M30" s="521"/>
      <c r="N30" s="248"/>
    </row>
    <row r="31" spans="1:14" x14ac:dyDescent="0.25">
      <c r="A31" s="498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520"/>
      <c r="M31" s="521"/>
    </row>
    <row r="32" spans="1:14" x14ac:dyDescent="0.25">
      <c r="A32" s="499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522"/>
      <c r="M32" s="523"/>
    </row>
    <row r="37" spans="1:21" x14ac:dyDescent="0.25">
      <c r="C37" s="530" t="s">
        <v>159</v>
      </c>
      <c r="D37" s="530"/>
      <c r="E37" s="530"/>
      <c r="F37" s="530"/>
      <c r="G37" s="530"/>
      <c r="H37" s="530"/>
      <c r="I37" s="530"/>
      <c r="J37" s="530"/>
      <c r="K37" s="530"/>
    </row>
    <row r="38" spans="1:21" x14ac:dyDescent="0.25">
      <c r="C38" s="530"/>
      <c r="D38" s="530"/>
      <c r="E38" s="530"/>
      <c r="F38" s="530"/>
      <c r="G38" s="530"/>
      <c r="H38" s="530"/>
      <c r="I38" s="530"/>
      <c r="J38" s="530"/>
      <c r="K38" s="530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494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 t="shared" ref="M40:S40" si="13">$K40*E$26</f>
        <v>478.9609901599772</v>
      </c>
      <c r="N40" s="191">
        <f t="shared" si="13"/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495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495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495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495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496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515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516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516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516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516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517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497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498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498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498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498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499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2007</v>
      </c>
      <c r="D72" s="268">
        <v>2010</v>
      </c>
      <c r="E72" s="268">
        <v>2015</v>
      </c>
      <c r="F72" s="268">
        <v>2020</v>
      </c>
      <c r="G72" s="268">
        <v>2025</v>
      </c>
      <c r="H72" s="268">
        <v>2030</v>
      </c>
      <c r="I72" s="268">
        <v>2035</v>
      </c>
      <c r="J72" s="268">
        <v>2040</v>
      </c>
      <c r="K72" s="268">
        <v>2045</v>
      </c>
      <c r="L72" s="268">
        <v>2050</v>
      </c>
      <c r="M72" s="524" t="s">
        <v>182</v>
      </c>
    </row>
    <row r="73" spans="1:20" ht="15" customHeight="1" x14ac:dyDescent="0.25">
      <c r="A73" s="494" t="s">
        <v>170</v>
      </c>
      <c r="B73" s="269" t="str">
        <f t="shared" ref="B73:B79" si="75">B40</f>
        <v>EUN</v>
      </c>
      <c r="C73" s="270">
        <f t="shared" ref="C73:C79" si="76">E40/$E40</f>
        <v>1</v>
      </c>
      <c r="D73" s="271">
        <f t="shared" ref="D73:D79" si="77">H40/$E40</f>
        <v>0.95635447922924854</v>
      </c>
      <c r="E73" s="271">
        <f t="shared" ref="E73:L79" si="78">L40/$E40</f>
        <v>0.8667064936507729</v>
      </c>
      <c r="F73" s="271">
        <f t="shared" si="78"/>
        <v>0.78858437911739399</v>
      </c>
      <c r="G73" s="271">
        <f t="shared" si="78"/>
        <v>0.68980929177634043</v>
      </c>
      <c r="H73" s="271">
        <f t="shared" si="78"/>
        <v>0.59103420443528676</v>
      </c>
      <c r="I73" s="271">
        <f t="shared" si="78"/>
        <v>0.49225911709423303</v>
      </c>
      <c r="J73" s="271">
        <f t="shared" si="78"/>
        <v>0.39348402975317937</v>
      </c>
      <c r="K73" s="271">
        <f t="shared" si="78"/>
        <v>0.2947089424121257</v>
      </c>
      <c r="L73" s="271">
        <f t="shared" si="78"/>
        <v>0.19593385507107203</v>
      </c>
      <c r="M73" s="525"/>
    </row>
    <row r="74" spans="1:20" x14ac:dyDescent="0.25">
      <c r="A74" s="495"/>
      <c r="B74" s="269" t="str">
        <f t="shared" si="75"/>
        <v>DEU</v>
      </c>
      <c r="C74" s="270">
        <f t="shared" si="76"/>
        <v>1</v>
      </c>
      <c r="D74" s="271">
        <f t="shared" si="77"/>
        <v>0.93372896045778508</v>
      </c>
      <c r="E74" s="271">
        <f t="shared" si="78"/>
        <v>0.95289225463831539</v>
      </c>
      <c r="F74" s="271">
        <f t="shared" si="78"/>
        <v>0.86700163491853344</v>
      </c>
      <c r="G74" s="271">
        <f t="shared" si="78"/>
        <v>0.75840429964064848</v>
      </c>
      <c r="H74" s="271">
        <f t="shared" si="78"/>
        <v>0.64980696436276342</v>
      </c>
      <c r="I74" s="271">
        <f t="shared" si="78"/>
        <v>0.54120962908487835</v>
      </c>
      <c r="J74" s="271">
        <f t="shared" si="78"/>
        <v>0.43261229380699323</v>
      </c>
      <c r="K74" s="271">
        <f t="shared" si="78"/>
        <v>0.32401495852910811</v>
      </c>
      <c r="L74" s="271">
        <f t="shared" si="78"/>
        <v>0.21541762325122304</v>
      </c>
      <c r="M74" s="525"/>
    </row>
    <row r="75" spans="1:20" x14ac:dyDescent="0.25">
      <c r="A75" s="495"/>
      <c r="B75" s="269" t="str">
        <f t="shared" si="75"/>
        <v>EUS</v>
      </c>
      <c r="C75" s="270">
        <f t="shared" si="76"/>
        <v>1</v>
      </c>
      <c r="D75" s="271">
        <f t="shared" si="77"/>
        <v>0.7727239325334434</v>
      </c>
      <c r="E75" s="271">
        <f t="shared" si="78"/>
        <v>0.70953760131154997</v>
      </c>
      <c r="F75" s="271">
        <f t="shared" si="78"/>
        <v>0.64558218138396517</v>
      </c>
      <c r="G75" s="271">
        <f t="shared" si="78"/>
        <v>0.564719006762881</v>
      </c>
      <c r="H75" s="271">
        <f t="shared" si="78"/>
        <v>0.48385583214179678</v>
      </c>
      <c r="I75" s="271">
        <f t="shared" si="78"/>
        <v>0.40299265752071256</v>
      </c>
      <c r="J75" s="271">
        <f t="shared" si="78"/>
        <v>0.32212948289962834</v>
      </c>
      <c r="K75" s="271">
        <f t="shared" si="78"/>
        <v>0.24126630827854409</v>
      </c>
      <c r="L75" s="271">
        <f t="shared" si="78"/>
        <v>0.16040313365745987</v>
      </c>
      <c r="M75" s="525"/>
    </row>
    <row r="76" spans="1:20" x14ac:dyDescent="0.25">
      <c r="A76" s="495"/>
      <c r="B76" s="269" t="str">
        <f t="shared" si="75"/>
        <v>EUE</v>
      </c>
      <c r="C76" s="270">
        <f t="shared" si="76"/>
        <v>1</v>
      </c>
      <c r="D76" s="271">
        <f t="shared" si="77"/>
        <v>0.87602791846624206</v>
      </c>
      <c r="E76" s="271">
        <f t="shared" si="78"/>
        <v>0.82158462643799213</v>
      </c>
      <c r="F76" s="271">
        <f t="shared" si="78"/>
        <v>0.74752965078516853</v>
      </c>
      <c r="G76" s="271">
        <f t="shared" si="78"/>
        <v>0.65389692294826529</v>
      </c>
      <c r="H76" s="271">
        <f t="shared" si="78"/>
        <v>0.56026419511136194</v>
      </c>
      <c r="I76" s="271">
        <f t="shared" si="78"/>
        <v>0.46663146727445853</v>
      </c>
      <c r="J76" s="271">
        <f t="shared" si="78"/>
        <v>0.37299873943755513</v>
      </c>
      <c r="K76" s="271">
        <f t="shared" si="78"/>
        <v>0.27936601160065178</v>
      </c>
      <c r="L76" s="271">
        <f t="shared" si="78"/>
        <v>0.1857332837637484</v>
      </c>
      <c r="M76" s="525"/>
    </row>
    <row r="77" spans="1:20" x14ac:dyDescent="0.25">
      <c r="A77" s="495"/>
      <c r="B77" s="269" t="str">
        <f t="shared" si="75"/>
        <v>FRA</v>
      </c>
      <c r="C77" s="270">
        <f t="shared" si="76"/>
        <v>1</v>
      </c>
      <c r="D77" s="271">
        <f t="shared" si="77"/>
        <v>0.91263038525384976</v>
      </c>
      <c r="E77" s="271">
        <f t="shared" si="78"/>
        <v>0.78240208001883205</v>
      </c>
      <c r="F77" s="271">
        <f t="shared" si="78"/>
        <v>0.71187889211825339</v>
      </c>
      <c r="G77" s="271">
        <f t="shared" si="78"/>
        <v>0.62271164304855653</v>
      </c>
      <c r="H77" s="271">
        <f t="shared" si="78"/>
        <v>0.53354439397885955</v>
      </c>
      <c r="I77" s="271">
        <f t="shared" si="78"/>
        <v>0.44437714490916264</v>
      </c>
      <c r="J77" s="271">
        <f t="shared" si="78"/>
        <v>0.35520989583946566</v>
      </c>
      <c r="K77" s="271">
        <f t="shared" si="78"/>
        <v>0.26604264676976869</v>
      </c>
      <c r="L77" s="271">
        <f t="shared" si="78"/>
        <v>0.17687539770007168</v>
      </c>
      <c r="M77" s="525"/>
    </row>
    <row r="78" spans="1:20" x14ac:dyDescent="0.25">
      <c r="A78" s="496"/>
      <c r="B78" s="267" t="str">
        <f t="shared" si="75"/>
        <v>AUT</v>
      </c>
      <c r="C78" s="272">
        <f t="shared" si="76"/>
        <v>1</v>
      </c>
      <c r="D78" s="273">
        <f t="shared" si="77"/>
        <v>0.97381051964551946</v>
      </c>
      <c r="E78" s="273">
        <f t="shared" si="78"/>
        <v>0.90742599836352944</v>
      </c>
      <c r="F78" s="273">
        <f t="shared" si="78"/>
        <v>0.82563355963826301</v>
      </c>
      <c r="G78" s="273">
        <f t="shared" si="78"/>
        <v>0.72221783251436311</v>
      </c>
      <c r="H78" s="273">
        <f t="shared" si="78"/>
        <v>0.61880210539046321</v>
      </c>
      <c r="I78" s="273">
        <f t="shared" si="78"/>
        <v>0.51538637826656331</v>
      </c>
      <c r="J78" s="273">
        <f t="shared" si="78"/>
        <v>0.41197065114266335</v>
      </c>
      <c r="K78" s="273">
        <f t="shared" si="78"/>
        <v>0.30855492401876339</v>
      </c>
      <c r="L78" s="273">
        <f t="shared" si="78"/>
        <v>0.20513919689486343</v>
      </c>
      <c r="M78" s="526"/>
    </row>
    <row r="79" spans="1:20" x14ac:dyDescent="0.25">
      <c r="B79" s="101" t="str">
        <f t="shared" si="75"/>
        <v>EU</v>
      </c>
      <c r="C79" s="191">
        <f t="shared" si="76"/>
        <v>1</v>
      </c>
      <c r="D79" s="192">
        <f t="shared" si="77"/>
        <v>0.88673642000452668</v>
      </c>
      <c r="E79" s="192">
        <f t="shared" si="78"/>
        <v>0.83350422185242257</v>
      </c>
      <c r="F79" s="192">
        <f t="shared" si="78"/>
        <v>0.75837485249771808</v>
      </c>
      <c r="G79" s="192">
        <f t="shared" si="78"/>
        <v>0.66338369584234458</v>
      </c>
      <c r="H79" s="192">
        <f t="shared" si="78"/>
        <v>0.56839253918697108</v>
      </c>
      <c r="I79" s="192">
        <f t="shared" si="78"/>
        <v>0.47340138253159769</v>
      </c>
      <c r="J79" s="192">
        <f t="shared" si="78"/>
        <v>0.37841022587622419</v>
      </c>
      <c r="K79" s="192">
        <f t="shared" si="78"/>
        <v>0.28341906922085075</v>
      </c>
      <c r="L79" s="192">
        <f t="shared" si="78"/>
        <v>0.18842791256547728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</row>
    <row r="81" spans="1:13" x14ac:dyDescent="0.25">
      <c r="B81" s="274"/>
      <c r="C81" s="275">
        <f t="shared" ref="C81:L81" si="79">C72</f>
        <v>2007</v>
      </c>
      <c r="D81" s="275">
        <f t="shared" si="79"/>
        <v>2010</v>
      </c>
      <c r="E81" s="275">
        <f t="shared" si="79"/>
        <v>2015</v>
      </c>
      <c r="F81" s="275">
        <f t="shared" si="79"/>
        <v>2020</v>
      </c>
      <c r="G81" s="275">
        <f t="shared" si="79"/>
        <v>2025</v>
      </c>
      <c r="H81" s="275">
        <f t="shared" si="79"/>
        <v>2030</v>
      </c>
      <c r="I81" s="275">
        <f t="shared" si="79"/>
        <v>2035</v>
      </c>
      <c r="J81" s="275">
        <f t="shared" si="79"/>
        <v>2040</v>
      </c>
      <c r="K81" s="275">
        <f t="shared" si="79"/>
        <v>2045</v>
      </c>
      <c r="L81" s="275">
        <f t="shared" si="79"/>
        <v>2050</v>
      </c>
      <c r="M81" s="527" t="s">
        <v>182</v>
      </c>
    </row>
    <row r="82" spans="1:13" ht="15" customHeight="1" x14ac:dyDescent="0.25">
      <c r="A82" s="497" t="s">
        <v>171</v>
      </c>
      <c r="B82" s="276" t="str">
        <f t="shared" ref="B82" si="80">B73</f>
        <v>EUN</v>
      </c>
      <c r="C82" s="277">
        <f>E60/$E60</f>
        <v>1</v>
      </c>
      <c r="D82" s="278">
        <f>H60/$E60</f>
        <v>0.95635447922924854</v>
      </c>
      <c r="E82" s="278">
        <f>L60/$E60</f>
        <v>0.8667064936507729</v>
      </c>
      <c r="F82" s="278">
        <f t="shared" ref="F82:L88" si="81">M60/$E60</f>
        <v>0.57301747484347176</v>
      </c>
      <c r="G82" s="278">
        <f t="shared" si="81"/>
        <v>0.50074407476713723</v>
      </c>
      <c r="H82" s="278">
        <f t="shared" si="81"/>
        <v>0.42847067469080286</v>
      </c>
      <c r="I82" s="278">
        <f t="shared" si="81"/>
        <v>0.35619727461446848</v>
      </c>
      <c r="J82" s="278">
        <f t="shared" si="81"/>
        <v>0.283923874538134</v>
      </c>
      <c r="K82" s="278">
        <f t="shared" si="81"/>
        <v>0.2116504744617996</v>
      </c>
      <c r="L82" s="278">
        <f t="shared" si="81"/>
        <v>0.13937707438546515</v>
      </c>
      <c r="M82" s="528"/>
    </row>
    <row r="83" spans="1:13" x14ac:dyDescent="0.25">
      <c r="A83" s="498"/>
      <c r="B83" s="276" t="str">
        <f t="shared" ref="B83" si="82">B74</f>
        <v>DEU</v>
      </c>
      <c r="C83" s="277">
        <f>E61/$E61</f>
        <v>1</v>
      </c>
      <c r="D83" s="278">
        <f t="shared" ref="D83:D88" si="83">H61/$E61</f>
        <v>0.93372896045778508</v>
      </c>
      <c r="E83" s="278">
        <f t="shared" ref="E83:E88" si="84">L61/$E61</f>
        <v>0.95289225463831539</v>
      </c>
      <c r="F83" s="278">
        <f t="shared" si="81"/>
        <v>0.62999864146715689</v>
      </c>
      <c r="G83" s="278">
        <f t="shared" si="81"/>
        <v>0.55053833552318743</v>
      </c>
      <c r="H83" s="278">
        <f t="shared" si="81"/>
        <v>0.47107802957921824</v>
      </c>
      <c r="I83" s="278">
        <f t="shared" si="81"/>
        <v>0.39161772363524894</v>
      </c>
      <c r="J83" s="278">
        <f t="shared" si="81"/>
        <v>0.31215741769127958</v>
      </c>
      <c r="K83" s="278">
        <f t="shared" si="81"/>
        <v>0.23269711174731028</v>
      </c>
      <c r="L83" s="278">
        <f t="shared" si="81"/>
        <v>0.15323680580334101</v>
      </c>
      <c r="M83" s="528"/>
    </row>
    <row r="84" spans="1:13" x14ac:dyDescent="0.25">
      <c r="A84" s="498"/>
      <c r="B84" s="276" t="str">
        <f t="shared" ref="B84" si="85">B75</f>
        <v>EUS</v>
      </c>
      <c r="C84" s="277">
        <f t="shared" ref="C84:C87" si="86">E62/$E62</f>
        <v>1</v>
      </c>
      <c r="D84" s="278">
        <f t="shared" si="83"/>
        <v>0.7727239325334434</v>
      </c>
      <c r="E84" s="278">
        <f t="shared" si="84"/>
        <v>0.70953760131154997</v>
      </c>
      <c r="F84" s="278">
        <f t="shared" si="81"/>
        <v>0.46910626329501459</v>
      </c>
      <c r="G84" s="278">
        <f t="shared" si="81"/>
        <v>0.40993894967216871</v>
      </c>
      <c r="H84" s="278">
        <f t="shared" si="81"/>
        <v>0.35077163604932293</v>
      </c>
      <c r="I84" s="278">
        <f t="shared" si="81"/>
        <v>0.2916043224264771</v>
      </c>
      <c r="J84" s="278">
        <f t="shared" si="81"/>
        <v>0.23243700880363125</v>
      </c>
      <c r="K84" s="278">
        <f t="shared" si="81"/>
        <v>0.17326969518078542</v>
      </c>
      <c r="L84" s="278">
        <f t="shared" si="81"/>
        <v>0.11410238155793959</v>
      </c>
      <c r="M84" s="528"/>
    </row>
    <row r="85" spans="1:13" x14ac:dyDescent="0.25">
      <c r="A85" s="498"/>
      <c r="B85" s="276" t="str">
        <f t="shared" ref="B85" si="87">B76</f>
        <v>EUE</v>
      </c>
      <c r="C85" s="277">
        <f t="shared" si="86"/>
        <v>1</v>
      </c>
      <c r="D85" s="278">
        <f t="shared" si="83"/>
        <v>0.87602791846624206</v>
      </c>
      <c r="E85" s="278">
        <f t="shared" si="84"/>
        <v>0.82158462643799213</v>
      </c>
      <c r="F85" s="278">
        <f t="shared" si="81"/>
        <v>0.54318543989288537</v>
      </c>
      <c r="G85" s="278">
        <f t="shared" si="81"/>
        <v>0.47467468701620891</v>
      </c>
      <c r="H85" s="278">
        <f t="shared" si="81"/>
        <v>0.40616393413953256</v>
      </c>
      <c r="I85" s="278">
        <f t="shared" si="81"/>
        <v>0.33765318126285621</v>
      </c>
      <c r="J85" s="278">
        <f t="shared" si="81"/>
        <v>0.26914242838617985</v>
      </c>
      <c r="K85" s="278">
        <f t="shared" si="81"/>
        <v>0.20063167550950348</v>
      </c>
      <c r="L85" s="278">
        <f t="shared" si="81"/>
        <v>0.13212092263282713</v>
      </c>
      <c r="M85" s="528"/>
    </row>
    <row r="86" spans="1:13" x14ac:dyDescent="0.25">
      <c r="A86" s="498"/>
      <c r="B86" s="276" t="str">
        <f t="shared" ref="B86" si="88">B77</f>
        <v>FRA</v>
      </c>
      <c r="C86" s="277">
        <f t="shared" si="86"/>
        <v>1</v>
      </c>
      <c r="D86" s="278">
        <f t="shared" si="83"/>
        <v>0.91263038525384976</v>
      </c>
      <c r="E86" s="278">
        <f t="shared" si="84"/>
        <v>0.78240208001883205</v>
      </c>
      <c r="F86" s="278">
        <f t="shared" si="81"/>
        <v>0.51728014903430419</v>
      </c>
      <c r="G86" s="278">
        <f t="shared" si="81"/>
        <v>0.45203677199259246</v>
      </c>
      <c r="H86" s="278">
        <f t="shared" si="81"/>
        <v>0.38679339495088078</v>
      </c>
      <c r="I86" s="278">
        <f t="shared" si="81"/>
        <v>0.32155001790916915</v>
      </c>
      <c r="J86" s="278">
        <f t="shared" si="81"/>
        <v>0.25630664086745747</v>
      </c>
      <c r="K86" s="278">
        <f t="shared" si="81"/>
        <v>0.19106326382574579</v>
      </c>
      <c r="L86" s="278">
        <f t="shared" si="81"/>
        <v>0.12581988678403408</v>
      </c>
      <c r="M86" s="528"/>
    </row>
    <row r="87" spans="1:13" x14ac:dyDescent="0.25">
      <c r="A87" s="499"/>
      <c r="B87" s="274" t="str">
        <f t="shared" ref="B87" si="89">B78</f>
        <v>AUT</v>
      </c>
      <c r="C87" s="279">
        <f t="shared" si="86"/>
        <v>1</v>
      </c>
      <c r="D87" s="280">
        <f t="shared" si="83"/>
        <v>0.97381051964551946</v>
      </c>
      <c r="E87" s="280">
        <f t="shared" si="84"/>
        <v>0.90742599836352944</v>
      </c>
      <c r="F87" s="280">
        <f t="shared" si="81"/>
        <v>0.59993891588298276</v>
      </c>
      <c r="G87" s="280">
        <f t="shared" si="81"/>
        <v>0.52426997524409991</v>
      </c>
      <c r="H87" s="280">
        <f t="shared" si="81"/>
        <v>0.44860103460521716</v>
      </c>
      <c r="I87" s="280">
        <f t="shared" si="81"/>
        <v>0.37293209396633448</v>
      </c>
      <c r="J87" s="280">
        <f t="shared" si="81"/>
        <v>0.29726315332745168</v>
      </c>
      <c r="K87" s="280">
        <f t="shared" si="81"/>
        <v>0.22159421268856894</v>
      </c>
      <c r="L87" s="280">
        <f t="shared" si="81"/>
        <v>0.14592527204968617</v>
      </c>
      <c r="M87" s="529"/>
    </row>
    <row r="88" spans="1:13" x14ac:dyDescent="0.25">
      <c r="B88" s="101" t="str">
        <f t="shared" ref="B88" si="90">B79</f>
        <v>EU</v>
      </c>
      <c r="C88" s="191">
        <f>E66/$E66</f>
        <v>1</v>
      </c>
      <c r="D88" s="192">
        <f t="shared" si="83"/>
        <v>0.88673642000452668</v>
      </c>
      <c r="E88" s="192">
        <f t="shared" si="84"/>
        <v>0.83350422185242257</v>
      </c>
      <c r="F88" s="192">
        <f t="shared" si="81"/>
        <v>0.55106600443874743</v>
      </c>
      <c r="G88" s="192">
        <f t="shared" si="81"/>
        <v>0.48156129375230955</v>
      </c>
      <c r="H88" s="192">
        <f t="shared" si="81"/>
        <v>0.41205658306587173</v>
      </c>
      <c r="I88" s="192">
        <f t="shared" si="81"/>
        <v>0.34255187237943391</v>
      </c>
      <c r="J88" s="192">
        <f t="shared" si="81"/>
        <v>0.27304716169299603</v>
      </c>
      <c r="K88" s="192">
        <f t="shared" si="81"/>
        <v>0.20354245100655821</v>
      </c>
      <c r="L88" s="192">
        <f>S66/$E66</f>
        <v>0.13403774032012039</v>
      </c>
    </row>
    <row r="90" spans="1:13" x14ac:dyDescent="0.25">
      <c r="B90" s="281"/>
      <c r="C90" s="282">
        <f t="shared" ref="C90:L90" si="91">C81</f>
        <v>2007</v>
      </c>
      <c r="D90" s="282">
        <f t="shared" si="91"/>
        <v>2010</v>
      </c>
      <c r="E90" s="282">
        <f t="shared" si="91"/>
        <v>2015</v>
      </c>
      <c r="F90" s="282">
        <f t="shared" si="91"/>
        <v>2020</v>
      </c>
      <c r="G90" s="282">
        <f t="shared" si="91"/>
        <v>2025</v>
      </c>
      <c r="H90" s="282">
        <f t="shared" si="91"/>
        <v>2030</v>
      </c>
      <c r="I90" s="282">
        <f t="shared" si="91"/>
        <v>2035</v>
      </c>
      <c r="J90" s="282">
        <f t="shared" si="91"/>
        <v>2040</v>
      </c>
      <c r="K90" s="282">
        <f t="shared" si="91"/>
        <v>2045</v>
      </c>
      <c r="L90" s="282">
        <f t="shared" si="91"/>
        <v>2050</v>
      </c>
      <c r="M90" s="512" t="s">
        <v>182</v>
      </c>
    </row>
    <row r="91" spans="1:13" ht="15" customHeight="1" x14ac:dyDescent="0.25">
      <c r="A91" s="515" t="str">
        <f>A50</f>
        <v>Szenario 1 - Status Quo</v>
      </c>
      <c r="B91" s="283" t="str">
        <f t="shared" ref="B91:B97" si="92">B82</f>
        <v>EUN</v>
      </c>
      <c r="C91" s="284">
        <f>E50/$E50</f>
        <v>1</v>
      </c>
      <c r="D91" s="285">
        <f>H50/$E50</f>
        <v>0.95635447922924854</v>
      </c>
      <c r="E91" s="285">
        <f>L50/$E50</f>
        <v>0.8667064936507729</v>
      </c>
      <c r="F91" s="285">
        <f t="shared" ref="F91:L91" si="93">M50/$E50</f>
        <v>0.78858437911739399</v>
      </c>
      <c r="G91" s="285">
        <f t="shared" si="93"/>
        <v>0.71046226458401518</v>
      </c>
      <c r="H91" s="285">
        <f t="shared" si="93"/>
        <v>0.63234015005063637</v>
      </c>
      <c r="I91" s="285">
        <f t="shared" si="93"/>
        <v>0.55421803551725757</v>
      </c>
      <c r="J91" s="285">
        <f t="shared" si="93"/>
        <v>0.47609592098387871</v>
      </c>
      <c r="K91" s="285">
        <f t="shared" si="93"/>
        <v>0.3979738064504999</v>
      </c>
      <c r="L91" s="285">
        <f t="shared" si="93"/>
        <v>0.31985169191712109</v>
      </c>
      <c r="M91" s="513"/>
    </row>
    <row r="92" spans="1:13" x14ac:dyDescent="0.25">
      <c r="A92" s="516"/>
      <c r="B92" s="283" t="str">
        <f t="shared" si="92"/>
        <v>DEU</v>
      </c>
      <c r="C92" s="284">
        <f t="shared" ref="C92:C97" si="94">E51/$E51</f>
        <v>1</v>
      </c>
      <c r="D92" s="285">
        <f t="shared" ref="D92:D97" si="95">H51/$E51</f>
        <v>0.93372896045778508</v>
      </c>
      <c r="E92" s="285">
        <f t="shared" ref="E92:E97" si="96">L51/$E51</f>
        <v>0.95289225463831539</v>
      </c>
      <c r="F92" s="285">
        <f t="shared" ref="F92:F97" si="97">M51/$E51</f>
        <v>0.86700163491853344</v>
      </c>
      <c r="G92" s="285">
        <f t="shared" ref="G92:G97" si="98">N51/$E51</f>
        <v>0.78111101519875159</v>
      </c>
      <c r="H92" s="285">
        <f t="shared" ref="H92:H97" si="99">O51/$E51</f>
        <v>0.69522039547896974</v>
      </c>
      <c r="I92" s="285">
        <f t="shared" ref="I92:I97" si="100">P51/$E51</f>
        <v>0.6093297757591879</v>
      </c>
      <c r="J92" s="285">
        <f t="shared" ref="J92:J97" si="101">Q51/$E51</f>
        <v>0.52343915603940605</v>
      </c>
      <c r="K92" s="285">
        <f t="shared" ref="K92:K97" si="102">R51/$E51</f>
        <v>0.43754853631962426</v>
      </c>
      <c r="L92" s="285">
        <f t="shared" ref="L92:L97" si="103">S51/$E51</f>
        <v>0.35165791659984236</v>
      </c>
      <c r="M92" s="513"/>
    </row>
    <row r="93" spans="1:13" x14ac:dyDescent="0.25">
      <c r="A93" s="516"/>
      <c r="B93" s="283" t="str">
        <f t="shared" si="92"/>
        <v>EUS</v>
      </c>
      <c r="C93" s="284">
        <f t="shared" si="94"/>
        <v>1</v>
      </c>
      <c r="D93" s="285">
        <f t="shared" si="95"/>
        <v>0.7727239325334434</v>
      </c>
      <c r="E93" s="285">
        <f t="shared" si="96"/>
        <v>0.70953760131154997</v>
      </c>
      <c r="F93" s="285">
        <f t="shared" si="97"/>
        <v>0.64558218138396517</v>
      </c>
      <c r="G93" s="285">
        <f t="shared" si="98"/>
        <v>0.58162676145638037</v>
      </c>
      <c r="H93" s="285">
        <f t="shared" si="99"/>
        <v>0.51767134152879557</v>
      </c>
      <c r="I93" s="285">
        <f t="shared" si="100"/>
        <v>0.45371592160121077</v>
      </c>
      <c r="J93" s="285">
        <f t="shared" si="101"/>
        <v>0.38976050167362597</v>
      </c>
      <c r="K93" s="285">
        <f t="shared" si="102"/>
        <v>0.32580508174604117</v>
      </c>
      <c r="L93" s="285">
        <f t="shared" si="103"/>
        <v>0.26184966181845637</v>
      </c>
      <c r="M93" s="513"/>
    </row>
    <row r="94" spans="1:13" x14ac:dyDescent="0.25">
      <c r="A94" s="516"/>
      <c r="B94" s="283" t="str">
        <f t="shared" si="92"/>
        <v>EUE</v>
      </c>
      <c r="C94" s="284">
        <f t="shared" si="94"/>
        <v>1</v>
      </c>
      <c r="D94" s="285">
        <f t="shared" si="95"/>
        <v>0.87602791846624206</v>
      </c>
      <c r="E94" s="285">
        <f t="shared" si="96"/>
        <v>0.82158462643799213</v>
      </c>
      <c r="F94" s="285">
        <f t="shared" si="97"/>
        <v>0.74752965078516853</v>
      </c>
      <c r="G94" s="285">
        <f t="shared" si="98"/>
        <v>0.67347467513234505</v>
      </c>
      <c r="H94" s="285">
        <f t="shared" si="99"/>
        <v>0.59941969947952145</v>
      </c>
      <c r="I94" s="285">
        <f t="shared" si="100"/>
        <v>0.52536472382669785</v>
      </c>
      <c r="J94" s="285">
        <f t="shared" si="101"/>
        <v>0.45130974817387426</v>
      </c>
      <c r="K94" s="285">
        <f t="shared" si="102"/>
        <v>0.37725477252105066</v>
      </c>
      <c r="L94" s="285">
        <f t="shared" si="103"/>
        <v>0.30319979686822707</v>
      </c>
      <c r="M94" s="513"/>
    </row>
    <row r="95" spans="1:13" x14ac:dyDescent="0.25">
      <c r="A95" s="516"/>
      <c r="B95" s="283" t="str">
        <f t="shared" si="92"/>
        <v>FRA</v>
      </c>
      <c r="C95" s="284">
        <f t="shared" si="94"/>
        <v>1</v>
      </c>
      <c r="D95" s="285">
        <f t="shared" si="95"/>
        <v>0.91263038525384976</v>
      </c>
      <c r="E95" s="285">
        <f t="shared" si="96"/>
        <v>0.78240208001883205</v>
      </c>
      <c r="F95" s="285">
        <f t="shared" si="97"/>
        <v>0.71187889211825339</v>
      </c>
      <c r="G95" s="285">
        <f t="shared" si="98"/>
        <v>0.64135570421767485</v>
      </c>
      <c r="H95" s="285">
        <f t="shared" si="99"/>
        <v>0.57083251631709642</v>
      </c>
      <c r="I95" s="285">
        <f t="shared" si="100"/>
        <v>0.50030932841651798</v>
      </c>
      <c r="J95" s="285">
        <f t="shared" si="101"/>
        <v>0.42978614051593939</v>
      </c>
      <c r="K95" s="285">
        <f t="shared" si="102"/>
        <v>0.35926295261536084</v>
      </c>
      <c r="L95" s="285">
        <f t="shared" si="103"/>
        <v>0.2887397647147823</v>
      </c>
      <c r="M95" s="513"/>
    </row>
    <row r="96" spans="1:13" x14ac:dyDescent="0.25">
      <c r="A96" s="517"/>
      <c r="B96" s="281" t="str">
        <f t="shared" si="92"/>
        <v>AUT</v>
      </c>
      <c r="C96" s="286">
        <f t="shared" si="94"/>
        <v>1</v>
      </c>
      <c r="D96" s="287">
        <f t="shared" si="95"/>
        <v>0.97381051964551946</v>
      </c>
      <c r="E96" s="287">
        <f t="shared" si="96"/>
        <v>0.90742599836352944</v>
      </c>
      <c r="F96" s="287">
        <f t="shared" si="97"/>
        <v>0.82563355963826301</v>
      </c>
      <c r="G96" s="287">
        <f t="shared" si="98"/>
        <v>0.74384112091299681</v>
      </c>
      <c r="H96" s="287">
        <f t="shared" si="99"/>
        <v>0.66204868218773039</v>
      </c>
      <c r="I96" s="287">
        <f t="shared" si="100"/>
        <v>0.58025624346246407</v>
      </c>
      <c r="J96" s="287">
        <f t="shared" si="101"/>
        <v>0.49846380473719776</v>
      </c>
      <c r="K96" s="287">
        <f t="shared" si="102"/>
        <v>0.41667136601193139</v>
      </c>
      <c r="L96" s="287">
        <f t="shared" si="103"/>
        <v>0.33487892728666507</v>
      </c>
      <c r="M96" s="514"/>
    </row>
    <row r="97" spans="1:12" x14ac:dyDescent="0.25">
      <c r="B97" s="101" t="str">
        <f t="shared" si="92"/>
        <v>EU</v>
      </c>
      <c r="C97" s="191">
        <f t="shared" si="94"/>
        <v>1</v>
      </c>
      <c r="D97" s="192">
        <f t="shared" si="95"/>
        <v>0.88673642000452668</v>
      </c>
      <c r="E97" s="192">
        <f t="shared" si="96"/>
        <v>0.83350422185242257</v>
      </c>
      <c r="F97" s="192">
        <f t="shared" si="97"/>
        <v>0.75837485249771808</v>
      </c>
      <c r="G97" s="192">
        <f t="shared" si="98"/>
        <v>0.68324548314301359</v>
      </c>
      <c r="H97" s="192">
        <f t="shared" si="99"/>
        <v>0.6081161137883091</v>
      </c>
      <c r="I97" s="192">
        <f t="shared" si="100"/>
        <v>0.53298674443360461</v>
      </c>
      <c r="J97" s="192">
        <f t="shared" si="101"/>
        <v>0.45785737507890012</v>
      </c>
      <c r="K97" s="192">
        <f t="shared" si="102"/>
        <v>0.38272800572419563</v>
      </c>
      <c r="L97" s="192">
        <f t="shared" si="103"/>
        <v>0.30759863636949114</v>
      </c>
    </row>
    <row r="107" spans="1:12" x14ac:dyDescent="0.25">
      <c r="B107">
        <v>2005</v>
      </c>
      <c r="C107" s="45">
        <f>G115/H115</f>
        <v>2285.1784633998845</v>
      </c>
    </row>
    <row r="108" spans="1:12" x14ac:dyDescent="0.25">
      <c r="B108">
        <v>2010</v>
      </c>
      <c r="C108" s="45">
        <f>D113/D114*(-1)</f>
        <v>2149.4252873563273</v>
      </c>
    </row>
    <row r="109" spans="1:12" x14ac:dyDescent="0.25">
      <c r="B109">
        <v>2013</v>
      </c>
    </row>
    <row r="110" spans="1:12" x14ac:dyDescent="0.25">
      <c r="D110">
        <f>(D112-C112)/2</f>
        <v>-37.400000000000091</v>
      </c>
    </row>
    <row r="111" spans="1:12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2" x14ac:dyDescent="0.25">
      <c r="A112" s="490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104">E112+5*$D$113</f>
        <v>1588.425287356326</v>
      </c>
      <c r="G112" s="290">
        <f t="shared" si="104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491"/>
      <c r="B113" s="292" t="s">
        <v>187</v>
      </c>
      <c r="C113" s="293"/>
      <c r="D113" s="293">
        <f>D23</f>
        <v>-37.400000000000091</v>
      </c>
      <c r="E113" s="293">
        <f t="shared" ref="E113:G113" si="105">(E112-D112)/(E111-D111)</f>
        <v>-37.400000000000091</v>
      </c>
      <c r="F113" s="293">
        <f t="shared" si="105"/>
        <v>-37.400000000000091</v>
      </c>
      <c r="G113" s="293">
        <f t="shared" si="105"/>
        <v>-37.400000000000091</v>
      </c>
    </row>
    <row r="114" spans="1:9" x14ac:dyDescent="0.25">
      <c r="A114" s="491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106">F113/$C$108</f>
        <v>-1.7399999999999999E-2</v>
      </c>
      <c r="G114" s="294">
        <f t="shared" si="106"/>
        <v>-1.7399999999999999E-2</v>
      </c>
    </row>
    <row r="115" spans="1:9" x14ac:dyDescent="0.25">
      <c r="A115" s="490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491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107">(F115-E115)/(F111-E111)</f>
        <v>-47.287356321839205</v>
      </c>
      <c r="G116" s="74">
        <f t="shared" si="107"/>
        <v>-47.287356321839205</v>
      </c>
      <c r="H116" s="52"/>
    </row>
    <row r="117" spans="1:9" x14ac:dyDescent="0.25">
      <c r="A117" s="492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L21:M24"/>
    <mergeCell ref="L25:M28"/>
    <mergeCell ref="M90:M96"/>
    <mergeCell ref="A91:A96"/>
    <mergeCell ref="A50:A55"/>
    <mergeCell ref="A21:A24"/>
    <mergeCell ref="A25:A28"/>
    <mergeCell ref="A29:A32"/>
    <mergeCell ref="L29:M32"/>
    <mergeCell ref="M72:M78"/>
    <mergeCell ref="M81:M87"/>
    <mergeCell ref="A40:A45"/>
    <mergeCell ref="A60:A65"/>
    <mergeCell ref="C37:K38"/>
    <mergeCell ref="A112:A114"/>
    <mergeCell ref="A115:A117"/>
    <mergeCell ref="H10:J10"/>
    <mergeCell ref="E6:E11"/>
    <mergeCell ref="A73:A78"/>
    <mergeCell ref="A82:A87"/>
  </mergeCells>
  <conditionalFormatting sqref="C47:S47">
    <cfRule type="cellIs" dxfId="4" priority="7" operator="notEqual">
      <formula>0</formula>
    </cfRule>
  </conditionalFormatting>
  <conditionalFormatting sqref="C80:M80">
    <cfRule type="cellIs" dxfId="3" priority="3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57"/>
  <sheetViews>
    <sheetView workbookViewId="0">
      <selection activeCell="G24" sqref="G24"/>
    </sheetView>
  </sheetViews>
  <sheetFormatPr baseColWidth="10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4">
        <v>42170</v>
      </c>
      <c r="C2" t="s">
        <v>136</v>
      </c>
      <c r="D2" s="190" t="s">
        <v>213</v>
      </c>
    </row>
    <row r="3" spans="1:9" s="308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09" t="s">
        <v>194</v>
      </c>
      <c r="C5" s="309" t="s">
        <v>193</v>
      </c>
      <c r="D5" s="309" t="s">
        <v>214</v>
      </c>
      <c r="E5" s="309" t="s">
        <v>195</v>
      </c>
      <c r="F5" s="309" t="s">
        <v>216</v>
      </c>
      <c r="H5" t="str">
        <f>C25</f>
        <v>Effektiver Emissonspfad</v>
      </c>
      <c r="I5" s="309" t="s">
        <v>215</v>
      </c>
    </row>
    <row r="6" spans="1:9" x14ac:dyDescent="0.25">
      <c r="B6" s="310">
        <v>2013</v>
      </c>
      <c r="C6" s="311">
        <f>[4]Tabelle1!C4/10^6</f>
        <v>2199.4292489999998</v>
      </c>
      <c r="D6" s="311">
        <f>[4]Tabelle1!D4/10^6</f>
        <v>1959.7103279999999</v>
      </c>
      <c r="E6" s="311">
        <f>[4]Tabelle1!E4/10^6</f>
        <v>-400</v>
      </c>
      <c r="F6" s="311">
        <f>[4]Tabelle1!F4/10^6</f>
        <v>3759.1395769999999</v>
      </c>
      <c r="G6" s="312">
        <f>F6/D6</f>
        <v>1.9182118516650488</v>
      </c>
      <c r="I6" s="32">
        <f>F6</f>
        <v>3759.1395769999999</v>
      </c>
    </row>
    <row r="7" spans="1:9" x14ac:dyDescent="0.25">
      <c r="B7" s="310">
        <v>2014</v>
      </c>
      <c r="C7" s="311">
        <f>[4]Tabelle1!C5/10^6</f>
        <v>2025.942022</v>
      </c>
      <c r="D7" s="311">
        <f>[4]Tabelle1!D5/10^6</f>
        <v>1812</v>
      </c>
      <c r="E7" s="311">
        <f>[4]Tabelle1!E5/10^6</f>
        <v>-400</v>
      </c>
      <c r="F7" s="311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0">
        <v>2015</v>
      </c>
      <c r="C8" s="311">
        <f>[4]Tabelle1!C6/10^6</f>
        <v>1874.728824</v>
      </c>
      <c r="D8" s="311">
        <f>[4]Tabelle1!D6/10^6</f>
        <v>1988.21</v>
      </c>
      <c r="E8" s="311">
        <f>[4]Tabelle1!E6/10^6</f>
        <v>-400</v>
      </c>
      <c r="F8" s="311">
        <f>[4]Tabelle1!F6/10^6</f>
        <v>3462.9388239999998</v>
      </c>
      <c r="G8" s="312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0">
        <v>2016</v>
      </c>
      <c r="C9" s="311">
        <f>[4]Tabelle1!C7/10^6</f>
        <v>1464.3386599999999</v>
      </c>
      <c r="D9" s="311">
        <f>[4]Tabelle1!D7/10^6</f>
        <v>1983.2919999999999</v>
      </c>
      <c r="E9" s="311">
        <f>[4]Tabelle1!E7/10^6</f>
        <v>-400</v>
      </c>
      <c r="F9" s="311">
        <f>[4]Tabelle1!F7/10^6</f>
        <v>3047.6306599999998</v>
      </c>
      <c r="G9" s="148">
        <f t="shared" si="0"/>
        <v>1.536652525195483</v>
      </c>
    </row>
    <row r="10" spans="1:9" x14ac:dyDescent="0.25">
      <c r="B10" s="310">
        <v>2017</v>
      </c>
      <c r="C10" s="311">
        <f>[4]Tabelle1!C8/10^6</f>
        <v>1234.250106</v>
      </c>
      <c r="D10" s="311">
        <f>[4]Tabelle1!D8/10^6</f>
        <v>1978.374</v>
      </c>
      <c r="E10" s="311">
        <f>[4]Tabelle1!E8/10^6</f>
        <v>-400</v>
      </c>
      <c r="F10" s="311">
        <f>[4]Tabelle1!F8/10^6</f>
        <v>2812.6241060000002</v>
      </c>
      <c r="G10" s="148">
        <f t="shared" si="0"/>
        <v>1.4216847299853315</v>
      </c>
    </row>
    <row r="11" spans="1:9" x14ac:dyDescent="0.25">
      <c r="B11" s="310">
        <v>2018</v>
      </c>
      <c r="C11" s="311">
        <f>[4]Tabelle1!C9/10^6</f>
        <v>984.53421100000003</v>
      </c>
      <c r="D11" s="311">
        <f>[4]Tabelle1!D9/10^6</f>
        <v>1973.4559999999999</v>
      </c>
      <c r="E11" s="311">
        <f>[4]Tabelle1!E9/10^6</f>
        <v>-400</v>
      </c>
      <c r="F11" s="311">
        <f>[4]Tabelle1!F9/10^6</f>
        <v>2557.9902109999998</v>
      </c>
      <c r="G11" s="148">
        <f t="shared" si="0"/>
        <v>1.2961982486561645</v>
      </c>
    </row>
    <row r="12" spans="1:9" x14ac:dyDescent="0.25">
      <c r="B12" s="310">
        <v>2019</v>
      </c>
      <c r="C12" s="311">
        <f>[4]Tabelle1!C10/10^6</f>
        <v>596.89391499999999</v>
      </c>
      <c r="D12" s="311">
        <f>[4]Tabelle1!D10/10^6</f>
        <v>1968.538</v>
      </c>
      <c r="E12" s="311">
        <f>[4]Tabelle1!E10/10^6</f>
        <v>-400</v>
      </c>
      <c r="F12" s="311">
        <f>[4]Tabelle1!F10/10^6</f>
        <v>2165.4319150000001</v>
      </c>
      <c r="G12" s="148">
        <f t="shared" si="0"/>
        <v>1.1000203780673781</v>
      </c>
    </row>
    <row r="13" spans="1:9" x14ac:dyDescent="0.25">
      <c r="B13" s="310">
        <v>2020</v>
      </c>
      <c r="C13" s="311">
        <f>[4]Tabelle1!C11/10^6</f>
        <v>307.71187400000002</v>
      </c>
      <c r="D13" s="311">
        <f>[4]Tabelle1!D11/10^6</f>
        <v>1963.62</v>
      </c>
      <c r="E13" s="311">
        <f>[4]Tabelle1!E11/10^6</f>
        <v>-400</v>
      </c>
      <c r="F13" s="311">
        <f>[4]Tabelle1!F11/10^6</f>
        <v>1871.331874</v>
      </c>
      <c r="G13" s="312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0">
        <v>2021</v>
      </c>
      <c r="C14" s="311">
        <f>[4]Tabelle1!C12/10^6</f>
        <v>270.68793399999998</v>
      </c>
      <c r="D14" s="311">
        <f>[4]Tabelle1!D12/10^6</f>
        <v>1905.096</v>
      </c>
      <c r="E14" s="311">
        <f>[4]Tabelle1!E12/10^6</f>
        <v>-400</v>
      </c>
      <c r="F14" s="311">
        <f>[4]Tabelle1!F12/10^6</f>
        <v>1775.783934</v>
      </c>
      <c r="G14" s="148">
        <f t="shared" si="0"/>
        <v>0.93212307096335301</v>
      </c>
    </row>
    <row r="15" spans="1:9" x14ac:dyDescent="0.25">
      <c r="B15" s="310">
        <v>2022</v>
      </c>
      <c r="C15" s="311">
        <f>[4]Tabelle1!C13/10^6</f>
        <v>243.80791300000001</v>
      </c>
      <c r="D15" s="311">
        <f>[4]Tabelle1!D13/10^6</f>
        <v>1846.5719999999999</v>
      </c>
      <c r="E15" s="311">
        <f>[4]Tabelle1!E13/10^6</f>
        <v>-400</v>
      </c>
      <c r="F15" s="311">
        <f>[4]Tabelle1!F13/10^6</f>
        <v>1690.379913</v>
      </c>
      <c r="G15" s="148">
        <f t="shared" si="0"/>
        <v>0.91541511135227871</v>
      </c>
    </row>
    <row r="16" spans="1:9" x14ac:dyDescent="0.25">
      <c r="B16" s="310">
        <v>2023</v>
      </c>
      <c r="C16" s="311">
        <f>[4]Tabelle1!C14/10^6</f>
        <v>227.071811</v>
      </c>
      <c r="D16" s="311">
        <f>[4]Tabelle1!D14/10^6</f>
        <v>1788.048</v>
      </c>
      <c r="E16" s="311">
        <f>[4]Tabelle1!E14/10^6</f>
        <v>-400</v>
      </c>
      <c r="F16" s="311">
        <f>[4]Tabelle1!F14/10^6</f>
        <v>1615.119811</v>
      </c>
      <c r="G16" s="148">
        <f t="shared" si="0"/>
        <v>0.90328660695909735</v>
      </c>
    </row>
    <row r="17" spans="1:9" x14ac:dyDescent="0.25">
      <c r="B17" s="310">
        <v>2024</v>
      </c>
      <c r="C17" s="311">
        <f>[4]Tabelle1!C15/10^6</f>
        <v>220.47962799999999</v>
      </c>
      <c r="D17" s="311">
        <f>[4]Tabelle1!D15/10^6</f>
        <v>1729.5239999999999</v>
      </c>
      <c r="E17" s="311">
        <f>[4]Tabelle1!E15/10^6</f>
        <v>-400</v>
      </c>
      <c r="F17" s="311">
        <f>[4]Tabelle1!F15/10^6</f>
        <v>1550.0036279999999</v>
      </c>
      <c r="G17" s="148">
        <f t="shared" si="0"/>
        <v>0.89620243951514988</v>
      </c>
    </row>
    <row r="18" spans="1:9" x14ac:dyDescent="0.25">
      <c r="B18" s="310">
        <v>2025</v>
      </c>
      <c r="C18" s="311">
        <f>[4]Tabelle1!C16/10^6</f>
        <v>224.031364</v>
      </c>
      <c r="D18" s="311">
        <f>[4]Tabelle1!D16/10^6</f>
        <v>1671</v>
      </c>
      <c r="E18" s="311">
        <f>[4]Tabelle1!E16/10^6</f>
        <v>-400</v>
      </c>
      <c r="F18" s="311">
        <f>[4]Tabelle1!F16/10^6</f>
        <v>1495.0313639999999</v>
      </c>
      <c r="G18" s="312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0">
        <v>2026</v>
      </c>
      <c r="C19" s="311">
        <f>[4]Tabelle1!C17/10^6</f>
        <v>233.20301900000001</v>
      </c>
      <c r="D19" s="311">
        <f>[4]Tabelle1!D17/10^6</f>
        <v>1617</v>
      </c>
      <c r="E19" s="311">
        <f>[4]Tabelle1!E17/10^6</f>
        <v>-400</v>
      </c>
      <c r="F19" s="311">
        <f>[4]Tabelle1!F17/10^6</f>
        <v>1450.203019</v>
      </c>
      <c r="G19" s="148">
        <f t="shared" si="0"/>
        <v>0.89684787816944966</v>
      </c>
    </row>
    <row r="20" spans="1:9" x14ac:dyDescent="0.25">
      <c r="B20" s="310">
        <v>2027</v>
      </c>
      <c r="C20" s="311">
        <f>[4]Tabelle1!C18/10^6</f>
        <v>247.99459300000001</v>
      </c>
      <c r="D20" s="311">
        <f>[4]Tabelle1!D18/10^6</f>
        <v>1563</v>
      </c>
      <c r="E20" s="311">
        <f>[4]Tabelle1!E18/10^6</f>
        <v>-400</v>
      </c>
      <c r="F20" s="311">
        <f>[4]Tabelle1!F18/10^6</f>
        <v>1410.9945929999999</v>
      </c>
      <c r="G20" s="148">
        <f t="shared" si="0"/>
        <v>0.90274766026871389</v>
      </c>
    </row>
    <row r="21" spans="1:9" x14ac:dyDescent="0.25">
      <c r="B21" s="310">
        <v>2028</v>
      </c>
      <c r="C21" s="311">
        <f>[4]Tabelle1!C19/10^6</f>
        <v>268.40608600000002</v>
      </c>
      <c r="D21" s="311">
        <f>[4]Tabelle1!D19/10^6</f>
        <v>1509</v>
      </c>
      <c r="E21" s="311">
        <f>[4]Tabelle1!E19/10^6</f>
        <v>-400</v>
      </c>
      <c r="F21" s="311">
        <f>[4]Tabelle1!F19/10^6</f>
        <v>1377.406086</v>
      </c>
      <c r="G21" s="148">
        <f t="shared" si="0"/>
        <v>0.91279396023856851</v>
      </c>
    </row>
    <row r="22" spans="1:9" x14ac:dyDescent="0.25">
      <c r="B22" s="310">
        <v>2029</v>
      </c>
      <c r="C22" s="311">
        <f>[4]Tabelle1!C20/10^6</f>
        <v>294.43749800000001</v>
      </c>
      <c r="D22" s="311">
        <f>[4]Tabelle1!D20/10^6</f>
        <v>1455</v>
      </c>
      <c r="E22" s="311">
        <f>[4]Tabelle1!E20/10^6</f>
        <v>-400</v>
      </c>
      <c r="F22" s="311">
        <f>[4]Tabelle1!F20/10^6</f>
        <v>1349.437498</v>
      </c>
      <c r="G22" s="148">
        <f t="shared" si="0"/>
        <v>0.927448452233677</v>
      </c>
    </row>
    <row r="23" spans="1:9" x14ac:dyDescent="0.25">
      <c r="B23" s="310">
        <v>2030</v>
      </c>
      <c r="C23" s="311">
        <f>[4]Tabelle1!C21/10^6</f>
        <v>326.08882899999998</v>
      </c>
      <c r="D23" s="311">
        <f>[4]Tabelle1!D21/10^6</f>
        <v>1401</v>
      </c>
      <c r="E23" s="311">
        <f>[4]Tabelle1!E21/10^6</f>
        <v>-400</v>
      </c>
      <c r="F23" s="311">
        <f>[4]Tabelle1!F21/10^6</f>
        <v>1327.088829</v>
      </c>
      <c r="G23" s="312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3"/>
    </row>
    <row r="25" spans="1:9" x14ac:dyDescent="0.25">
      <c r="C25" s="35" t="s">
        <v>196</v>
      </c>
    </row>
    <row r="26" spans="1:9" x14ac:dyDescent="0.25">
      <c r="B26" s="310">
        <v>2015</v>
      </c>
      <c r="C26" s="311">
        <f>AVERAGE(F6:F10)</f>
        <v>3304.0550377999998</v>
      </c>
      <c r="D26">
        <f>C26/C$26</f>
        <v>1</v>
      </c>
    </row>
    <row r="27" spans="1:9" x14ac:dyDescent="0.25">
      <c r="B27" s="310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0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0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8" customFormat="1" ht="9" customHeight="1" x14ac:dyDescent="0.25"/>
    <row r="32" spans="1:9" x14ac:dyDescent="0.25">
      <c r="A32" s="217" t="s">
        <v>212</v>
      </c>
    </row>
    <row r="33" spans="2:9" ht="28.5" customHeight="1" x14ac:dyDescent="0.25">
      <c r="B33" s="309" t="str">
        <f>B5</f>
        <v>Jahr</v>
      </c>
      <c r="C33" s="309" t="str">
        <f t="shared" ref="C33:F33" si="2">C5</f>
        <v>Umlaufmenge</v>
      </c>
      <c r="D33" s="309" t="str">
        <f t="shared" si="2"/>
        <v>Emissionspfad TIMES-PanEU</v>
      </c>
      <c r="E33" s="309" t="str">
        <f t="shared" si="2"/>
        <v>Korrektur Knappheit</v>
      </c>
      <c r="F33" s="309" t="str">
        <f t="shared" si="2"/>
        <v>Effektives CO2-Cap (=Emissionen + Umlaufmenge - Knappheitskorrektur)</v>
      </c>
      <c r="H33" t="str">
        <f>C53</f>
        <v>Effektiver Emissonspfad</v>
      </c>
      <c r="I33" s="309" t="s">
        <v>215</v>
      </c>
    </row>
    <row r="34" spans="2:9" x14ac:dyDescent="0.25">
      <c r="B34" s="310">
        <v>2013</v>
      </c>
      <c r="C34" s="311">
        <f>[4]Tabelle1!C4/10^6</f>
        <v>2199.4292489999998</v>
      </c>
      <c r="D34" s="311">
        <f>[4]Tabelle1!D4/10^6</f>
        <v>1959.7103279999999</v>
      </c>
      <c r="E34" s="311">
        <f>[4]Tabelle1!E4/10^6</f>
        <v>-400</v>
      </c>
      <c r="F34" s="311">
        <f>[4]Tabelle1!F4/10^6</f>
        <v>3759.1395769999999</v>
      </c>
      <c r="G34" s="312">
        <f>F34/D34</f>
        <v>1.9182118516650488</v>
      </c>
      <c r="I34" s="32">
        <f>F34</f>
        <v>3759.1395769999999</v>
      </c>
    </row>
    <row r="35" spans="2:9" x14ac:dyDescent="0.25">
      <c r="B35" s="310">
        <v>2014</v>
      </c>
      <c r="C35" s="311">
        <f>[4]Tabelle1!C5/10^6</f>
        <v>2025.942022</v>
      </c>
      <c r="D35" s="311">
        <f>[4]Tabelle1!D5/10^6</f>
        <v>1812</v>
      </c>
      <c r="E35" s="311">
        <f>[4]Tabelle1!E5/10^6</f>
        <v>-400</v>
      </c>
      <c r="F35" s="311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0">
        <v>2015</v>
      </c>
      <c r="C36" s="311">
        <f>[4]Tabelle1!C6/10^6</f>
        <v>1874.728824</v>
      </c>
      <c r="D36" s="311">
        <f>[4]Tabelle1!D6/10^6</f>
        <v>1988.21</v>
      </c>
      <c r="E36" s="311">
        <f>[4]Tabelle1!E6/10^6</f>
        <v>-400</v>
      </c>
      <c r="F36" s="311">
        <f>[4]Tabelle1!F6/10^6</f>
        <v>3462.9388239999998</v>
      </c>
      <c r="G36" s="312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0">
        <v>2016</v>
      </c>
      <c r="C37" s="311">
        <f>[4]Tabelle1!C7/10^6</f>
        <v>1464.3386599999999</v>
      </c>
      <c r="D37" s="311">
        <f>[4]Tabelle1!D7/10^6</f>
        <v>1983.2919999999999</v>
      </c>
      <c r="E37" s="311">
        <f>[4]Tabelle1!E7/10^6</f>
        <v>-400</v>
      </c>
      <c r="F37" s="311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0">
        <v>2017</v>
      </c>
      <c r="C38" s="311">
        <f>[4]Tabelle1!C8/10^6</f>
        <v>1234.250106</v>
      </c>
      <c r="D38" s="311">
        <f>[4]Tabelle1!D8/10^6</f>
        <v>1978.374</v>
      </c>
      <c r="E38" s="311">
        <f>[4]Tabelle1!E8/10^6</f>
        <v>-400</v>
      </c>
      <c r="F38" s="311">
        <f>[4]Tabelle1!F8/10^6</f>
        <v>2812.6241060000002</v>
      </c>
      <c r="G38" s="148">
        <f t="shared" si="4"/>
        <v>1.4216847299853315</v>
      </c>
    </row>
    <row r="39" spans="2:9" x14ac:dyDescent="0.25">
      <c r="B39" s="310">
        <v>2018</v>
      </c>
      <c r="C39" s="311">
        <f>[4]Tabelle1!C9/10^6</f>
        <v>984.53421100000003</v>
      </c>
      <c r="D39" s="311">
        <f>[4]Tabelle1!D9/10^6</f>
        <v>1973.4559999999999</v>
      </c>
      <c r="E39" s="311">
        <f>[4]Tabelle1!E9/10^6</f>
        <v>-400</v>
      </c>
      <c r="F39" s="311">
        <f>[4]Tabelle1!F9/10^6</f>
        <v>2557.9902109999998</v>
      </c>
      <c r="G39" s="148">
        <f t="shared" si="4"/>
        <v>1.2961982486561645</v>
      </c>
    </row>
    <row r="40" spans="2:9" x14ac:dyDescent="0.25">
      <c r="B40" s="310">
        <v>2019</v>
      </c>
      <c r="C40" s="311">
        <f>[4]Tabelle1!C10/10^6</f>
        <v>596.89391499999999</v>
      </c>
      <c r="D40" s="311">
        <f>[4]Tabelle1!D10/10^6</f>
        <v>1968.538</v>
      </c>
      <c r="E40" s="311">
        <f>[4]Tabelle1!E10/10^6</f>
        <v>-400</v>
      </c>
      <c r="F40" s="311">
        <f>[4]Tabelle1!F10/10^6</f>
        <v>2165.4319150000001</v>
      </c>
      <c r="G40" s="148">
        <f t="shared" si="4"/>
        <v>1.1000203780673781</v>
      </c>
    </row>
    <row r="41" spans="2:9" x14ac:dyDescent="0.25">
      <c r="B41" s="310">
        <v>2020</v>
      </c>
      <c r="C41" s="311">
        <f>[4]Tabelle1!C11/10^6</f>
        <v>307.71187400000002</v>
      </c>
      <c r="D41" s="311">
        <f>[4]Tabelle1!D11/10^6</f>
        <v>1963.62</v>
      </c>
      <c r="E41" s="311">
        <f>[4]Tabelle1!E11/10^6</f>
        <v>-400</v>
      </c>
      <c r="F41" s="311">
        <f>[4]Tabelle1!F11/10^6</f>
        <v>1871.331874</v>
      </c>
      <c r="G41" s="312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0">
        <v>2021</v>
      </c>
      <c r="C42" s="311">
        <f>[4]Tabelle1!C12/10^6</f>
        <v>270.68793399999998</v>
      </c>
      <c r="D42" s="311">
        <f>[4]Tabelle1!D12/10^6</f>
        <v>1905.096</v>
      </c>
      <c r="E42" s="311">
        <f>[4]Tabelle1!E12/10^6</f>
        <v>-400</v>
      </c>
      <c r="F42" s="311">
        <f>[4]Tabelle1!F12/10^6</f>
        <v>1775.783934</v>
      </c>
      <c r="G42" s="148">
        <f t="shared" si="4"/>
        <v>0.93212307096335301</v>
      </c>
    </row>
    <row r="43" spans="2:9" x14ac:dyDescent="0.25">
      <c r="B43" s="310">
        <v>2022</v>
      </c>
      <c r="C43" s="311">
        <f>[4]Tabelle1!C13/10^6</f>
        <v>243.80791300000001</v>
      </c>
      <c r="D43" s="311">
        <f>[4]Tabelle1!D13/10^6</f>
        <v>1846.5719999999999</v>
      </c>
      <c r="E43" s="311">
        <f>[4]Tabelle1!E13/10^6</f>
        <v>-400</v>
      </c>
      <c r="F43" s="311">
        <f>[4]Tabelle1!F13/10^6</f>
        <v>1690.379913</v>
      </c>
      <c r="G43" s="148">
        <f t="shared" si="4"/>
        <v>0.91541511135227871</v>
      </c>
    </row>
    <row r="44" spans="2:9" x14ac:dyDescent="0.25">
      <c r="B44" s="310">
        <v>2023</v>
      </c>
      <c r="C44" s="311">
        <f>[4]Tabelle1!C14/10^6</f>
        <v>227.071811</v>
      </c>
      <c r="D44" s="311">
        <f>[4]Tabelle1!D14/10^6</f>
        <v>1788.048</v>
      </c>
      <c r="E44" s="311">
        <f>[4]Tabelle1!E14/10^6</f>
        <v>-400</v>
      </c>
      <c r="F44" s="311">
        <f>[4]Tabelle1!F14/10^6</f>
        <v>1615.119811</v>
      </c>
      <c r="G44" s="148">
        <f t="shared" si="4"/>
        <v>0.90328660695909735</v>
      </c>
    </row>
    <row r="45" spans="2:9" x14ac:dyDescent="0.25">
      <c r="B45" s="310">
        <v>2024</v>
      </c>
      <c r="C45" s="311">
        <f>[4]Tabelle1!C15/10^6</f>
        <v>220.47962799999999</v>
      </c>
      <c r="D45" s="311">
        <f>[4]Tabelle1!D15/10^6</f>
        <v>1729.5239999999999</v>
      </c>
      <c r="E45" s="311">
        <f>[4]Tabelle1!E15/10^6</f>
        <v>-400</v>
      </c>
      <c r="F45" s="311">
        <f>[4]Tabelle1!F15/10^6</f>
        <v>1550.0036279999999</v>
      </c>
      <c r="G45" s="148">
        <f t="shared" si="4"/>
        <v>0.89620243951514988</v>
      </c>
    </row>
    <row r="46" spans="2:9" x14ac:dyDescent="0.25">
      <c r="B46" s="310">
        <v>2025</v>
      </c>
      <c r="C46" s="311">
        <f>[4]Tabelle1!C16/10^6</f>
        <v>224.031364</v>
      </c>
      <c r="D46" s="311">
        <f>[4]Tabelle1!D16/10^6</f>
        <v>1671</v>
      </c>
      <c r="E46" s="311">
        <f>[4]Tabelle1!E16/10^6</f>
        <v>-400</v>
      </c>
      <c r="F46" s="311">
        <f>[4]Tabelle1!F16/10^6</f>
        <v>1495.0313639999999</v>
      </c>
      <c r="G46" s="312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0">
        <v>2026</v>
      </c>
      <c r="C47" s="311">
        <f>[4]Tabelle1!C17/10^6</f>
        <v>233.20301900000001</v>
      </c>
      <c r="D47" s="311">
        <f>[4]Tabelle1!D17/10^6</f>
        <v>1617</v>
      </c>
      <c r="E47" s="311">
        <f>[4]Tabelle1!E17/10^6</f>
        <v>-400</v>
      </c>
      <c r="F47" s="311">
        <f>[4]Tabelle1!F17/10^6</f>
        <v>1450.203019</v>
      </c>
      <c r="G47" s="148">
        <f t="shared" si="4"/>
        <v>0.89684787816944966</v>
      </c>
    </row>
    <row r="48" spans="2:9" x14ac:dyDescent="0.25">
      <c r="B48" s="310">
        <v>2027</v>
      </c>
      <c r="C48" s="311">
        <f>[4]Tabelle1!C18/10^6</f>
        <v>247.99459300000001</v>
      </c>
      <c r="D48" s="311">
        <f>[4]Tabelle1!D18/10^6</f>
        <v>1563</v>
      </c>
      <c r="E48" s="311">
        <f>[4]Tabelle1!E18/10^6</f>
        <v>-400</v>
      </c>
      <c r="F48" s="311">
        <f>[4]Tabelle1!F18/10^6</f>
        <v>1410.9945929999999</v>
      </c>
      <c r="G48" s="148">
        <f t="shared" si="4"/>
        <v>0.90274766026871389</v>
      </c>
    </row>
    <row r="49" spans="2:9" x14ac:dyDescent="0.25">
      <c r="B49" s="310">
        <v>2028</v>
      </c>
      <c r="C49" s="311">
        <f>[4]Tabelle1!C19/10^6</f>
        <v>268.40608600000002</v>
      </c>
      <c r="D49" s="311">
        <f>[4]Tabelle1!D19/10^6</f>
        <v>1509</v>
      </c>
      <c r="E49" s="311">
        <f>[4]Tabelle1!E19/10^6</f>
        <v>-400</v>
      </c>
      <c r="F49" s="311">
        <f>[4]Tabelle1!F19/10^6</f>
        <v>1377.406086</v>
      </c>
      <c r="G49" s="148">
        <f t="shared" si="4"/>
        <v>0.91279396023856851</v>
      </c>
    </row>
    <row r="50" spans="2:9" x14ac:dyDescent="0.25">
      <c r="B50" s="310">
        <v>2029</v>
      </c>
      <c r="C50" s="311">
        <f>[4]Tabelle1!C20/10^6</f>
        <v>294.43749800000001</v>
      </c>
      <c r="D50" s="311">
        <f>[4]Tabelle1!D20/10^6</f>
        <v>1455</v>
      </c>
      <c r="E50" s="311">
        <f>[4]Tabelle1!E20/10^6</f>
        <v>-400</v>
      </c>
      <c r="F50" s="311">
        <f>[4]Tabelle1!F20/10^6</f>
        <v>1349.437498</v>
      </c>
      <c r="G50" s="148">
        <f t="shared" si="4"/>
        <v>0.927448452233677</v>
      </c>
    </row>
    <row r="51" spans="2:9" x14ac:dyDescent="0.25">
      <c r="B51" s="310">
        <v>2030</v>
      </c>
      <c r="C51" s="311">
        <f>[4]Tabelle1!C21/10^6</f>
        <v>326.08882899999998</v>
      </c>
      <c r="D51" s="311">
        <f>[4]Tabelle1!D21/10^6</f>
        <v>1401</v>
      </c>
      <c r="E51" s="311">
        <f>[4]Tabelle1!E21/10^6</f>
        <v>-400</v>
      </c>
      <c r="F51" s="311">
        <f>[4]Tabelle1!F21/10^6</f>
        <v>1327.088829</v>
      </c>
      <c r="G51" s="312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3"/>
    </row>
    <row r="53" spans="2:9" x14ac:dyDescent="0.25">
      <c r="C53" s="35" t="s">
        <v>196</v>
      </c>
    </row>
    <row r="54" spans="2:9" x14ac:dyDescent="0.25">
      <c r="B54" s="310">
        <v>2015</v>
      </c>
      <c r="C54" s="311">
        <f>AVERAGE(F34:F38)</f>
        <v>3304.0550377999998</v>
      </c>
      <c r="D54">
        <f>C54/C$26</f>
        <v>1</v>
      </c>
    </row>
    <row r="55" spans="2:9" x14ac:dyDescent="0.25">
      <c r="B55" s="310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0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0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W160"/>
  <sheetViews>
    <sheetView topLeftCell="A121" zoomScale="85" zoomScaleNormal="85" workbookViewId="0">
      <selection activeCell="F149" sqref="F149"/>
    </sheetView>
  </sheetViews>
  <sheetFormatPr baseColWidth="10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4" t="s">
        <v>136</v>
      </c>
      <c r="B1" s="190" t="s">
        <v>198</v>
      </c>
    </row>
    <row r="2" spans="1:13" x14ac:dyDescent="0.25">
      <c r="B2" s="130" t="s">
        <v>204</v>
      </c>
    </row>
    <row r="3" spans="1:13" x14ac:dyDescent="0.25">
      <c r="A3" s="266"/>
      <c r="B3" s="324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2" t="s">
        <v>202</v>
      </c>
      <c r="E5" t="s">
        <v>203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6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3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7">
        <f>E7-2*B14</f>
        <v>2064.2670810918594</v>
      </c>
      <c r="G7" s="347">
        <f>B7*(1-G10)</f>
        <v>1941.6110163215083</v>
      </c>
      <c r="H7" s="347">
        <f>G7-5*C14</f>
        <v>1671.2601153147161</v>
      </c>
      <c r="I7" s="347">
        <f>B7*(1-I10)</f>
        <v>1400.9092143079238</v>
      </c>
      <c r="J7" s="347">
        <f>I7-5*$C$16</f>
        <v>1159.2780421864504</v>
      </c>
      <c r="K7" s="347">
        <f t="shared" ref="K7:M7" si="0">J7-5*$C$16</f>
        <v>917.64687006497707</v>
      </c>
      <c r="L7" s="347">
        <f t="shared" si="0"/>
        <v>676.01569794350371</v>
      </c>
      <c r="M7" s="347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3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0">
        <f>1-D7/$D$7</f>
        <v>0</v>
      </c>
      <c r="E9" s="320">
        <f t="shared" ref="E9:M9" si="2">1-E7/$D$7</f>
        <v>3.7929404021042501E-2</v>
      </c>
      <c r="F9" s="320">
        <f t="shared" si="2"/>
        <v>6.0264547299585747E-2</v>
      </c>
      <c r="G9" s="320">
        <f t="shared" si="2"/>
        <v>0.11610240549594386</v>
      </c>
      <c r="H9" s="320">
        <f t="shared" si="2"/>
        <v>0.23917675409777439</v>
      </c>
      <c r="I9" s="320">
        <f t="shared" si="2"/>
        <v>0.36225110269960503</v>
      </c>
      <c r="J9" s="320">
        <f t="shared" si="2"/>
        <v>0.47225110269960502</v>
      </c>
      <c r="K9" s="320">
        <f t="shared" si="2"/>
        <v>0.58225110269960489</v>
      </c>
      <c r="L9" s="320">
        <f t="shared" si="2"/>
        <v>0.69225110269960499</v>
      </c>
      <c r="M9" s="320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0">
        <f>1-D7/$B$7</f>
        <v>0.10623130449488427</v>
      </c>
      <c r="E10" s="315">
        <f t="shared" ref="E10:M10" si="3">1-E7/$B$7</f>
        <v>0.14013141844805799</v>
      </c>
      <c r="F10" s="315">
        <f t="shared" si="3"/>
        <v>0.16009387032004141</v>
      </c>
      <c r="G10" s="321">
        <v>0.21</v>
      </c>
      <c r="H10" s="315">
        <f t="shared" si="3"/>
        <v>0.31999999999999995</v>
      </c>
      <c r="I10" s="321">
        <v>0.43</v>
      </c>
      <c r="J10" s="315">
        <f t="shared" si="3"/>
        <v>0.52831455650556269</v>
      </c>
      <c r="K10" s="315">
        <f t="shared" si="3"/>
        <v>0.62662911301112545</v>
      </c>
      <c r="L10" s="315">
        <f t="shared" si="3"/>
        <v>0.72494366951668809</v>
      </c>
      <c r="M10" s="315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0">
        <f>1-D7/$C$7</f>
        <v>9.5785932627852621E-2</v>
      </c>
      <c r="E11" s="320">
        <f t="shared" ref="E11:M11" si="4">1-E7/$C$7</f>
        <v>0.130082233310721</v>
      </c>
      <c r="F11" s="320">
        <f t="shared" si="4"/>
        <v>0.1502779840599523</v>
      </c>
      <c r="G11" s="320">
        <f t="shared" si="4"/>
        <v>0.20076736093303038</v>
      </c>
      <c r="H11" s="320">
        <f t="shared" si="4"/>
        <v>0.31205291827146908</v>
      </c>
      <c r="I11" s="320">
        <f t="shared" si="4"/>
        <v>0.423338475609908</v>
      </c>
      <c r="J11" s="320">
        <f t="shared" si="4"/>
        <v>0.52280202302084411</v>
      </c>
      <c r="K11" s="320">
        <f t="shared" si="4"/>
        <v>0.62226557043178032</v>
      </c>
      <c r="L11" s="320">
        <f t="shared" si="4"/>
        <v>0.72172911784271654</v>
      </c>
      <c r="M11" s="320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49">
        <f>[5]Tabelle1!B23</f>
        <v>1.1167571639271621E-2</v>
      </c>
      <c r="C13" s="349">
        <f>[5]Tabelle1!C23</f>
        <v>2.4614869720366115E-2</v>
      </c>
      <c r="D13" t="s">
        <v>210</v>
      </c>
    </row>
    <row r="14" spans="1:13" x14ac:dyDescent="0.25">
      <c r="B14" s="350">
        <f>[5]Tabelle1!B24</f>
        <v>24.531212954070238</v>
      </c>
      <c r="C14" s="350">
        <f>[5]Tabelle1!C24</f>
        <v>54.070180201358447</v>
      </c>
    </row>
    <row r="15" spans="1:13" x14ac:dyDescent="0.25">
      <c r="B15" s="348">
        <v>1.7399999999999999E-2</v>
      </c>
      <c r="C15" s="348">
        <v>2.1999999999999999E-2</v>
      </c>
      <c r="D15" t="s">
        <v>211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-0.20999999999999996</v>
      </c>
      <c r="I17" s="131">
        <f>I20/B20-1</f>
        <v>-0.42999999999999994</v>
      </c>
      <c r="M17" s="131">
        <f>M20/B20-1</f>
        <v>-0.82325822602225074</v>
      </c>
    </row>
    <row r="18" spans="1:18" x14ac:dyDescent="0.25">
      <c r="A18" s="112"/>
      <c r="B18" s="317">
        <f>B6</f>
        <v>2005</v>
      </c>
      <c r="C18" s="317">
        <f t="shared" ref="C18:M18" si="5">C6</f>
        <v>2007</v>
      </c>
      <c r="D18" s="317">
        <v>2011</v>
      </c>
      <c r="E18" s="65">
        <f t="shared" si="5"/>
        <v>2013</v>
      </c>
      <c r="F18" s="317">
        <f t="shared" si="5"/>
        <v>2015</v>
      </c>
      <c r="G18" s="317">
        <f t="shared" si="5"/>
        <v>2020</v>
      </c>
      <c r="H18" s="317">
        <f t="shared" si="5"/>
        <v>2025</v>
      </c>
      <c r="I18" s="317">
        <f t="shared" si="5"/>
        <v>2030</v>
      </c>
      <c r="J18" s="317">
        <f t="shared" si="5"/>
        <v>2035</v>
      </c>
      <c r="K18" s="317">
        <f t="shared" si="5"/>
        <v>2040</v>
      </c>
      <c r="L18" s="317">
        <f t="shared" si="5"/>
        <v>2045</v>
      </c>
      <c r="M18" s="317">
        <f t="shared" si="5"/>
        <v>2050</v>
      </c>
      <c r="P18" t="s">
        <v>247</v>
      </c>
    </row>
    <row r="19" spans="1:18" x14ac:dyDescent="0.25">
      <c r="A19" s="319" t="s">
        <v>205</v>
      </c>
      <c r="B19" s="326">
        <f>B7</f>
        <v>2457.7354636981117</v>
      </c>
      <c r="C19" s="326">
        <f>C7</f>
        <v>2429.3440000000001</v>
      </c>
      <c r="D19" s="326">
        <f>D7</f>
        <v>2196.647019286122</v>
      </c>
      <c r="E19" s="329">
        <f t="shared" ref="E19:M19" si="6">E7</f>
        <v>2113.3295069999999</v>
      </c>
      <c r="F19" s="326">
        <f t="shared" si="6"/>
        <v>2064.2670810918594</v>
      </c>
      <c r="G19" s="326">
        <f t="shared" si="6"/>
        <v>1941.6110163215083</v>
      </c>
      <c r="H19" s="326">
        <f t="shared" si="6"/>
        <v>1671.2601153147161</v>
      </c>
      <c r="I19" s="326">
        <f t="shared" si="6"/>
        <v>1400.9092143079238</v>
      </c>
      <c r="J19" s="326">
        <f t="shared" si="6"/>
        <v>1159.2780421864504</v>
      </c>
      <c r="K19" s="326">
        <f t="shared" si="6"/>
        <v>917.64687006497707</v>
      </c>
      <c r="L19" s="326">
        <f t="shared" si="6"/>
        <v>676.01569794350371</v>
      </c>
      <c r="M19" s="326">
        <f t="shared" si="6"/>
        <v>434.3845258220303</v>
      </c>
      <c r="P19" t="s">
        <v>247</v>
      </c>
    </row>
    <row r="20" spans="1:18" x14ac:dyDescent="0.25">
      <c r="A20" s="319" t="s">
        <v>250</v>
      </c>
      <c r="B20" s="318">
        <f t="shared" ref="B20:C20" si="7">B19/$D19</f>
        <v>1.1188577145620964</v>
      </c>
      <c r="C20" s="112">
        <f t="shared" si="7"/>
        <v>1.1059328051666222</v>
      </c>
      <c r="D20" s="318">
        <f>D19/$D19</f>
        <v>1</v>
      </c>
      <c r="E20" s="330">
        <f t="shared" ref="E20:M20" si="8">E19/$D19</f>
        <v>0.9620705959789575</v>
      </c>
      <c r="F20" s="318">
        <f t="shared" si="8"/>
        <v>0.93973545270041425</v>
      </c>
      <c r="G20" s="318">
        <f t="shared" si="8"/>
        <v>0.88389759450405614</v>
      </c>
      <c r="H20" s="318">
        <f t="shared" si="8"/>
        <v>0.76082324590222561</v>
      </c>
      <c r="I20" s="318">
        <f t="shared" si="8"/>
        <v>0.63774889730039497</v>
      </c>
      <c r="J20" s="318">
        <f t="shared" si="8"/>
        <v>0.52774889730039498</v>
      </c>
      <c r="K20" s="318">
        <f t="shared" si="8"/>
        <v>0.41774889730039505</v>
      </c>
      <c r="L20" s="318">
        <f t="shared" si="8"/>
        <v>0.30774889730039506</v>
      </c>
      <c r="M20" s="318">
        <f t="shared" si="8"/>
        <v>0.19774889730039508</v>
      </c>
    </row>
    <row r="21" spans="1:18" s="40" customFormat="1" x14ac:dyDescent="0.25">
      <c r="A21" s="325" t="s">
        <v>251</v>
      </c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5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243</v>
      </c>
    </row>
    <row r="23" spans="1:18" s="40" customFormat="1" x14ac:dyDescent="0.25">
      <c r="A23" s="353" t="s">
        <v>226</v>
      </c>
      <c r="B23" s="361" t="s">
        <v>231</v>
      </c>
      <c r="C23" s="361"/>
      <c r="D23" s="362"/>
      <c r="E23" s="362"/>
      <c r="F23" s="365" t="s">
        <v>248</v>
      </c>
      <c r="G23" s="366"/>
      <c r="H23" s="366"/>
      <c r="I23" s="366"/>
      <c r="N23" s="372" t="s">
        <v>226</v>
      </c>
      <c r="O23" s="371">
        <f>F26-F25</f>
        <v>14.385309886994037</v>
      </c>
      <c r="P23" s="371">
        <f t="shared" ref="P23:R23" si="9">G26-G25</f>
        <v>-22.742500538478907</v>
      </c>
      <c r="Q23" s="371">
        <f t="shared" si="9"/>
        <v>-0.27399528071305213</v>
      </c>
      <c r="R23" s="371">
        <f t="shared" si="9"/>
        <v>8.631185932197468</v>
      </c>
    </row>
    <row r="24" spans="1:18" s="40" customFormat="1" x14ac:dyDescent="0.25">
      <c r="A24" s="356" t="s">
        <v>232</v>
      </c>
      <c r="B24" s="359">
        <v>2005</v>
      </c>
      <c r="C24" s="359">
        <v>2007</v>
      </c>
      <c r="D24" s="359">
        <v>2010</v>
      </c>
      <c r="E24" s="359">
        <v>2013</v>
      </c>
      <c r="F24" s="355">
        <v>2015</v>
      </c>
      <c r="G24" s="355">
        <v>2020</v>
      </c>
      <c r="H24" s="355">
        <v>2025</v>
      </c>
      <c r="I24" s="355">
        <v>2030</v>
      </c>
      <c r="N24" s="372" t="s">
        <v>193</v>
      </c>
      <c r="O24" s="371">
        <f>F50-F49</f>
        <v>0</v>
      </c>
      <c r="P24" s="371">
        <f t="shared" ref="P24:Q24" si="10">G50-G49</f>
        <v>-14.385309886994492</v>
      </c>
      <c r="Q24" s="371">
        <f t="shared" si="10"/>
        <v>-9.416740918004507E-2</v>
      </c>
      <c r="R24" s="371">
        <f>I50-I49</f>
        <v>8.6311859321972406</v>
      </c>
    </row>
    <row r="25" spans="1:18" s="40" customFormat="1" x14ac:dyDescent="0.25">
      <c r="A25" s="357">
        <v>1</v>
      </c>
      <c r="B25" s="360">
        <f>B$7</f>
        <v>2457.7354636981117</v>
      </c>
      <c r="C25" s="360">
        <f>C$7</f>
        <v>2429.3440000000001</v>
      </c>
      <c r="D25" s="360">
        <f>D$7</f>
        <v>2196.647019286122</v>
      </c>
      <c r="E25" s="360">
        <f>E$7</f>
        <v>2113.3295069999999</v>
      </c>
      <c r="F25" s="354">
        <f>SUMPRODUCT((F$24=[6]Szenarien!$A$5:$A$20)*($A25=[6]Szenarien!$D$1:$H$1)*([6]Szenarien!$D$5:$H$20))/1000000</f>
        <v>2483.7078077777001</v>
      </c>
      <c r="G25" s="354">
        <f>SUMPRODUCT((G$24=[6]Szenarien!$A$5:$A$20)*($A25=[6]Szenarien!$D$1:$H$1)*([6]Szenarien!$D$5:$H$20))/1000000</f>
        <v>2394.0982428977995</v>
      </c>
      <c r="H25" s="354">
        <f>SUMPRODUCT((H$24=[6]Szenarien!$A$5:$A$20)*($A25=[6]Szenarien!$D$1:$H$1)*([6]Szenarien!$D$5:$H$20))/1000000</f>
        <v>1846.7489593460225</v>
      </c>
      <c r="I25" s="354">
        <f>SUMPRODUCT((I$24=[6]Szenarien!$A$5:$A$20)*($A25=[6]Szenarien!$D$1:$H$1)*([6]Szenarien!$D$5:$H$20))/1000000</f>
        <v>1284.8093345206096</v>
      </c>
      <c r="J25" s="40" t="s">
        <v>244</v>
      </c>
      <c r="O25" s="40" t="s">
        <v>245</v>
      </c>
      <c r="R25" s="371"/>
    </row>
    <row r="26" spans="1:18" s="40" customFormat="1" x14ac:dyDescent="0.25">
      <c r="A26" s="358" t="s">
        <v>227</v>
      </c>
      <c r="B26" s="360">
        <f>B$7</f>
        <v>2457.7354636981117</v>
      </c>
      <c r="C26" s="360">
        <f t="shared" ref="B26:E29" si="11">C$7</f>
        <v>2429.3440000000001</v>
      </c>
      <c r="D26" s="360">
        <f t="shared" si="11"/>
        <v>2196.647019286122</v>
      </c>
      <c r="E26" s="360">
        <f t="shared" si="11"/>
        <v>2113.3295069999999</v>
      </c>
      <c r="F26" s="354">
        <f>SUMPRODUCT((F$24=[6]Szenarien!$A$5:$A$20)*($A26=[6]Szenarien!$D$1:$H$1)*([6]Szenarien!$D$5:$H$20))/1000000</f>
        <v>2498.0931176646941</v>
      </c>
      <c r="G26" s="354">
        <f>SUMPRODUCT((G$24=[6]Szenarien!$A$5:$A$20)*($A26=[6]Szenarien!$D$1:$H$1)*([6]Szenarien!$D$5:$H$20))/1000000</f>
        <v>2371.3557423593206</v>
      </c>
      <c r="H26" s="354">
        <f>SUMPRODUCT((H$24=[6]Szenarien!$A$5:$A$20)*($A26=[6]Szenarien!$D$1:$H$1)*([6]Szenarien!$D$5:$H$20))/1000000</f>
        <v>1846.4749640653095</v>
      </c>
      <c r="I26" s="354">
        <f>SUMPRODUCT((I$24=[6]Szenarien!$A$5:$A$20)*($A26=[6]Szenarien!$D$1:$H$1)*([6]Szenarien!$D$5:$H$20))/1000000</f>
        <v>1293.440520452807</v>
      </c>
      <c r="J26" s="40" t="s">
        <v>246</v>
      </c>
      <c r="N26" s="372" t="s">
        <v>226</v>
      </c>
      <c r="O26" s="371">
        <f>F28-F25</f>
        <v>0</v>
      </c>
      <c r="P26" s="371">
        <f t="shared" ref="P26:R26" si="12">G28-G25</f>
        <v>0</v>
      </c>
      <c r="Q26" s="371">
        <f t="shared" si="12"/>
        <v>0</v>
      </c>
      <c r="R26" s="371">
        <f t="shared" si="12"/>
        <v>0</v>
      </c>
    </row>
    <row r="27" spans="1:18" s="40" customFormat="1" x14ac:dyDescent="0.25">
      <c r="A27" s="358" t="s">
        <v>228</v>
      </c>
      <c r="B27" s="360">
        <f t="shared" si="11"/>
        <v>2457.7354636981117</v>
      </c>
      <c r="C27" s="360">
        <f t="shared" si="11"/>
        <v>2429.3440000000001</v>
      </c>
      <c r="D27" s="360">
        <f t="shared" si="11"/>
        <v>2196.647019286122</v>
      </c>
      <c r="E27" s="360">
        <f t="shared" si="11"/>
        <v>2113.3295069999999</v>
      </c>
      <c r="F27" s="354">
        <f>SUMPRODUCT((F$24=[6]Szenarien!$A$5:$A$20)*($A27=[6]Szenarien!$D$1:$H$1)*([6]Szenarien!$D$5:$H$20))/1000000</f>
        <v>2622.3605447267291</v>
      </c>
      <c r="G27" s="354">
        <f>SUMPRODUCT((G$24=[6]Szenarien!$A$5:$A$20)*($A27=[6]Szenarien!$D$1:$H$1)*([6]Szenarien!$D$5:$H$20))/1000000</f>
        <v>2270.8579574607602</v>
      </c>
      <c r="H27" s="354">
        <f>SUMPRODUCT((H$24=[6]Szenarien!$A$5:$A$20)*($A27=[6]Szenarien!$D$1:$H$1)*([6]Szenarien!$D$5:$H$20))/1000000</f>
        <v>1592.1508577288625</v>
      </c>
      <c r="I27" s="354">
        <f>SUMPRODUCT((I$24=[6]Szenarien!$A$5:$A$20)*($A27=[6]Szenarien!$D$1:$H$1)*([6]Szenarien!$D$5:$H$20))/1000000</f>
        <v>1413.8282114188089</v>
      </c>
      <c r="N27" s="372" t="s">
        <v>193</v>
      </c>
      <c r="O27" s="371">
        <f>F52-F49</f>
        <v>0</v>
      </c>
      <c r="P27" s="371">
        <f t="shared" ref="P27:Q27" si="13">G52-G49</f>
        <v>0</v>
      </c>
      <c r="Q27" s="371">
        <f t="shared" si="13"/>
        <v>0</v>
      </c>
      <c r="R27" s="371">
        <f>I52-I49</f>
        <v>0</v>
      </c>
    </row>
    <row r="28" spans="1:18" s="40" customFormat="1" x14ac:dyDescent="0.25">
      <c r="A28" s="358" t="s">
        <v>229</v>
      </c>
      <c r="B28" s="360">
        <f t="shared" si="11"/>
        <v>2457.7354636981117</v>
      </c>
      <c r="C28" s="360">
        <f t="shared" si="11"/>
        <v>2429.3440000000001</v>
      </c>
      <c r="D28" s="360">
        <f t="shared" si="11"/>
        <v>2196.647019286122</v>
      </c>
      <c r="E28" s="360">
        <f t="shared" si="11"/>
        <v>2113.3295069999999</v>
      </c>
      <c r="F28" s="354">
        <f>SUMPRODUCT((F$24=[6]Szenarien!$A$5:$A$20)*($A28=[6]Szenarien!$D$1:$H$1)*([6]Szenarien!$D$5:$H$20))/1000000</f>
        <v>2483.7078077777001</v>
      </c>
      <c r="G28" s="354">
        <f>SUMPRODUCT((G$24=[6]Szenarien!$A$5:$A$20)*($A28=[6]Szenarien!$D$1:$H$1)*([6]Szenarien!$D$5:$H$20))/1000000</f>
        <v>2394.0982428977995</v>
      </c>
      <c r="H28" s="354">
        <f>SUMPRODUCT((H$24=[6]Szenarien!$A$5:$A$20)*($A28=[6]Szenarien!$D$1:$H$1)*([6]Szenarien!$D$5:$H$20))/1000000</f>
        <v>1846.7489593460225</v>
      </c>
      <c r="I28" s="354">
        <f>SUMPRODUCT((I$24=[6]Szenarien!$A$5:$A$20)*($A28=[6]Szenarien!$D$1:$H$1)*([6]Szenarien!$D$5:$H$20))/1000000</f>
        <v>1284.8093345206096</v>
      </c>
    </row>
    <row r="29" spans="1:18" x14ac:dyDescent="0.25">
      <c r="A29" s="358" t="s">
        <v>230</v>
      </c>
      <c r="B29" s="360">
        <f t="shared" si="11"/>
        <v>2457.7354636981117</v>
      </c>
      <c r="C29" s="360">
        <f t="shared" si="11"/>
        <v>2429.3440000000001</v>
      </c>
      <c r="D29" s="360">
        <f t="shared" si="11"/>
        <v>2196.647019286122</v>
      </c>
      <c r="E29" s="360">
        <f t="shared" si="11"/>
        <v>2113.3295069999999</v>
      </c>
      <c r="F29" s="354">
        <f>SUMPRODUCT((F$24=[6]Szenarien!$A$5:$A$20)*($A29=[6]Szenarien!$D$1:$H$1)*([6]Szenarien!$D$5:$H$20))/1000000</f>
        <v>2592.9867738127659</v>
      </c>
      <c r="G29" s="354">
        <f>SUMPRODUCT((G$24=[6]Szenarien!$A$5:$A$20)*($A29=[6]Szenarien!$D$1:$H$1)*([6]Szenarien!$D$5:$H$20))/1000000</f>
        <v>2222.9122305063224</v>
      </c>
      <c r="H29" s="354">
        <f>SUMPRODUCT((H$24=[6]Szenarien!$A$5:$A$20)*($A29=[6]Szenarien!$D$1:$H$1)*([6]Szenarien!$D$5:$H$20))/1000000</f>
        <v>1776.575523424448</v>
      </c>
      <c r="I29" s="354">
        <f>SUMPRODUCT((I$24=[6]Szenarien!$A$5:$A$20)*($A29=[6]Szenarien!$D$1:$H$1)*([6]Szenarien!$D$5:$H$20))/1000000</f>
        <v>1341.5633643467631</v>
      </c>
      <c r="J29" s="40"/>
      <c r="K29" s="40"/>
      <c r="L29" s="40"/>
      <c r="M29" s="40"/>
      <c r="N29" s="40"/>
    </row>
    <row r="31" spans="1:18" x14ac:dyDescent="0.25">
      <c r="A31" s="353" t="s">
        <v>233</v>
      </c>
      <c r="B31" s="361" t="str">
        <f>B23</f>
        <v>Historisches CAP</v>
      </c>
      <c r="C31" s="361"/>
      <c r="D31" s="362"/>
      <c r="E31" s="362"/>
      <c r="F31" s="365" t="str">
        <f>F23</f>
        <v>Quelle: Datenübergabe-IER_2015-07-24_V2_ob.xlsx</v>
      </c>
      <c r="G31" s="366"/>
      <c r="H31" s="366"/>
      <c r="I31" s="366"/>
    </row>
    <row r="32" spans="1:18" x14ac:dyDescent="0.25">
      <c r="A32" s="356"/>
      <c r="B32" s="359">
        <f>B24</f>
        <v>2005</v>
      </c>
      <c r="C32" s="359">
        <f t="shared" ref="C32:I32" si="14">C24</f>
        <v>2007</v>
      </c>
      <c r="D32" s="359">
        <f t="shared" si="14"/>
        <v>2010</v>
      </c>
      <c r="E32" s="359">
        <f t="shared" si="14"/>
        <v>2013</v>
      </c>
      <c r="F32" s="355">
        <f t="shared" si="14"/>
        <v>2015</v>
      </c>
      <c r="G32" s="355">
        <f t="shared" si="14"/>
        <v>2020</v>
      </c>
      <c r="H32" s="355">
        <f t="shared" si="14"/>
        <v>2025</v>
      </c>
      <c r="I32" s="355">
        <f t="shared" si="14"/>
        <v>2030</v>
      </c>
    </row>
    <row r="33" spans="1:13" x14ac:dyDescent="0.25">
      <c r="A33" s="357">
        <f>A25</f>
        <v>1</v>
      </c>
      <c r="B33" s="363">
        <f>B25/$D25</f>
        <v>1.1188577145620964</v>
      </c>
      <c r="C33" s="360">
        <f t="shared" ref="C33:I33" si="15">C25/$D25</f>
        <v>1.1059328051666222</v>
      </c>
      <c r="D33" s="363">
        <f t="shared" si="15"/>
        <v>1</v>
      </c>
      <c r="E33" s="363">
        <f t="shared" si="15"/>
        <v>0.9620705959789575</v>
      </c>
      <c r="F33" s="364">
        <f t="shared" si="15"/>
        <v>1.1306813456924312</v>
      </c>
      <c r="G33" s="364">
        <f t="shared" si="15"/>
        <v>1.0898875522002831</v>
      </c>
      <c r="H33" s="364">
        <f t="shared" si="15"/>
        <v>0.84071266030997949</v>
      </c>
      <c r="I33" s="364">
        <f t="shared" si="15"/>
        <v>0.58489567201295445</v>
      </c>
    </row>
    <row r="34" spans="1:13" x14ac:dyDescent="0.25">
      <c r="A34" s="358" t="str">
        <f t="shared" ref="A34:A37" si="16">A26</f>
        <v>2.1</v>
      </c>
      <c r="B34" s="363">
        <f t="shared" ref="B34:B37" si="17">B26/$D26</f>
        <v>1.1188577145620964</v>
      </c>
      <c r="C34" s="360">
        <f t="shared" ref="C34:I34" si="18">C26/$D26</f>
        <v>1.1059328051666222</v>
      </c>
      <c r="D34" s="363">
        <f t="shared" si="18"/>
        <v>1</v>
      </c>
      <c r="E34" s="363">
        <f t="shared" si="18"/>
        <v>0.9620705959789575</v>
      </c>
      <c r="F34" s="364">
        <f t="shared" si="18"/>
        <v>1.137230103759018</v>
      </c>
      <c r="G34" s="364">
        <f t="shared" si="18"/>
        <v>1.0795342727071264</v>
      </c>
      <c r="H34" s="364">
        <f t="shared" si="18"/>
        <v>0.84058792689659656</v>
      </c>
      <c r="I34" s="364">
        <f t="shared" si="18"/>
        <v>0.58882492685290699</v>
      </c>
    </row>
    <row r="35" spans="1:13" x14ac:dyDescent="0.25">
      <c r="A35" s="358" t="str">
        <f t="shared" si="16"/>
        <v>3.1</v>
      </c>
      <c r="B35" s="363">
        <f t="shared" si="17"/>
        <v>1.1188577145620964</v>
      </c>
      <c r="C35" s="360">
        <f t="shared" ref="C35:I35" si="19">C27/$D27</f>
        <v>1.1059328051666222</v>
      </c>
      <c r="D35" s="363">
        <f t="shared" si="19"/>
        <v>1</v>
      </c>
      <c r="E35" s="363">
        <f t="shared" si="19"/>
        <v>0.9620705959789575</v>
      </c>
      <c r="F35" s="364">
        <f t="shared" si="19"/>
        <v>1.1938015173593788</v>
      </c>
      <c r="G35" s="364">
        <f t="shared" si="19"/>
        <v>1.0337837338102485</v>
      </c>
      <c r="H35" s="364">
        <f t="shared" si="19"/>
        <v>0.72480960470667155</v>
      </c>
      <c r="I35" s="364">
        <f t="shared" si="19"/>
        <v>0.64363013219952026</v>
      </c>
    </row>
    <row r="36" spans="1:13" x14ac:dyDescent="0.25">
      <c r="A36" s="358" t="str">
        <f t="shared" si="16"/>
        <v>4.1</v>
      </c>
      <c r="B36" s="363">
        <f t="shared" si="17"/>
        <v>1.1188577145620964</v>
      </c>
      <c r="C36" s="360">
        <f t="shared" ref="C36:I36" si="20">C28/$D28</f>
        <v>1.1059328051666222</v>
      </c>
      <c r="D36" s="363">
        <f t="shared" si="20"/>
        <v>1</v>
      </c>
      <c r="E36" s="363">
        <f t="shared" si="20"/>
        <v>0.9620705959789575</v>
      </c>
      <c r="F36" s="364">
        <f t="shared" si="20"/>
        <v>1.1306813456924312</v>
      </c>
      <c r="G36" s="364">
        <f t="shared" si="20"/>
        <v>1.0898875522002831</v>
      </c>
      <c r="H36" s="364">
        <f t="shared" si="20"/>
        <v>0.84071266030997949</v>
      </c>
      <c r="I36" s="364">
        <f t="shared" si="20"/>
        <v>0.58489567201295445</v>
      </c>
    </row>
    <row r="37" spans="1:13" x14ac:dyDescent="0.25">
      <c r="A37" s="358" t="str">
        <f t="shared" si="16"/>
        <v>5.1</v>
      </c>
      <c r="B37" s="363">
        <f t="shared" si="17"/>
        <v>1.1188577145620964</v>
      </c>
      <c r="C37" s="360">
        <f t="shared" ref="C37:I37" si="21">C29/$D29</f>
        <v>1.1059328051666222</v>
      </c>
      <c r="D37" s="363">
        <f t="shared" si="21"/>
        <v>1</v>
      </c>
      <c r="E37" s="363">
        <f t="shared" si="21"/>
        <v>0.9620705959789575</v>
      </c>
      <c r="F37" s="364">
        <f t="shared" si="21"/>
        <v>1.1804294231375638</v>
      </c>
      <c r="G37" s="364">
        <f t="shared" si="21"/>
        <v>1.0119569557555661</v>
      </c>
      <c r="H37" s="364">
        <f t="shared" si="21"/>
        <v>0.80876695610467675</v>
      </c>
      <c r="I37" s="364">
        <f t="shared" si="21"/>
        <v>0.61073233549500894</v>
      </c>
    </row>
    <row r="39" spans="1:13" x14ac:dyDescent="0.25">
      <c r="A39" s="353" t="s">
        <v>234</v>
      </c>
      <c r="B39" s="361" t="str">
        <f>B31</f>
        <v>Historisches CAP</v>
      </c>
      <c r="C39" s="361"/>
      <c r="D39" s="362"/>
      <c r="E39" s="362"/>
      <c r="F39" s="365" t="str">
        <f>F31</f>
        <v>Quelle: Datenübergabe-IER_2015-07-24_V2_ob.xlsx</v>
      </c>
      <c r="G39" s="366"/>
      <c r="H39" s="366"/>
      <c r="I39" s="366"/>
    </row>
    <row r="40" spans="1:13" x14ac:dyDescent="0.25">
      <c r="A40" s="356"/>
      <c r="B40" s="359">
        <f>B32</f>
        <v>2005</v>
      </c>
      <c r="C40" s="359">
        <f t="shared" ref="C40:I40" si="22">C32</f>
        <v>2007</v>
      </c>
      <c r="D40" s="359">
        <f t="shared" si="22"/>
        <v>2010</v>
      </c>
      <c r="E40" s="359">
        <f t="shared" si="22"/>
        <v>2013</v>
      </c>
      <c r="F40" s="355">
        <f t="shared" si="22"/>
        <v>2015</v>
      </c>
      <c r="G40" s="355">
        <f t="shared" si="22"/>
        <v>2020</v>
      </c>
      <c r="H40" s="355">
        <f t="shared" si="22"/>
        <v>2025</v>
      </c>
      <c r="I40" s="355">
        <f t="shared" si="22"/>
        <v>2030</v>
      </c>
    </row>
    <row r="41" spans="1:13" x14ac:dyDescent="0.25">
      <c r="A41" s="357">
        <f>A33</f>
        <v>1</v>
      </c>
      <c r="B41" s="360">
        <f>B$7</f>
        <v>2457.7354636981117</v>
      </c>
      <c r="C41" s="360">
        <f>C$7</f>
        <v>2429.3440000000001</v>
      </c>
      <c r="D41" s="360">
        <f>D$7</f>
        <v>2196.647019286122</v>
      </c>
      <c r="E41" s="360">
        <f>E$7</f>
        <v>2113.3295069999999</v>
      </c>
      <c r="F41" s="364">
        <f>SUMPRODUCT((F$24=[6]Szenarien!$A$5:$A$20)*($A25=[6]Szenarien!$D$1:$H$1)*([6]Szenarien!$J$5:$N$20))/1000000</f>
        <v>1812.347896</v>
      </c>
      <c r="G41" s="364">
        <f>SUMPRODUCT((G$24=[6]Szenarien!$A$5:$A$20)*($A25=[6]Szenarien!$D$1:$H$1)*([6]Szenarien!$J$5:$N$20))/1000000</f>
        <v>1812.347896</v>
      </c>
      <c r="H41" s="364">
        <f>SUMPRODUCT((H$24=[6]Szenarien!$A$5:$A$20)*($A25=[6]Szenarien!$D$1:$H$1)*([6]Szenarien!$J$5:$N$20))/1000000</f>
        <v>1606.1739480000006</v>
      </c>
      <c r="I41" s="364">
        <f>SUMPRODUCT((I$24=[6]Szenarien!$A$5:$A$20)*($A25=[6]Szenarien!$D$1:$H$1)*([6]Szenarien!$J$5:$N$20))/1000000</f>
        <v>1400</v>
      </c>
    </row>
    <row r="42" spans="1:13" x14ac:dyDescent="0.25">
      <c r="A42" s="358" t="str">
        <f t="shared" ref="A42:A45" si="23">A34</f>
        <v>2.1</v>
      </c>
      <c r="B42" s="360">
        <f t="shared" ref="B42:E45" si="24">B$7</f>
        <v>2457.7354636981117</v>
      </c>
      <c r="C42" s="360">
        <f t="shared" si="24"/>
        <v>2429.3440000000001</v>
      </c>
      <c r="D42" s="360">
        <f t="shared" si="24"/>
        <v>2196.647019286122</v>
      </c>
      <c r="E42" s="360">
        <f t="shared" si="24"/>
        <v>2113.3295069999999</v>
      </c>
      <c r="F42" s="364">
        <f>SUMPRODUCT((F$24=[6]Szenarien!$A$5:$A$20)*($A26=[6]Szenarien!$D$1:$H$1)*([6]Szenarien!$J$5:$N$20))/1000000</f>
        <v>1812.347896</v>
      </c>
      <c r="G42" s="364">
        <f>SUMPRODUCT((G$24=[6]Szenarien!$A$5:$A$20)*($A26=[6]Szenarien!$D$1:$H$1)*([6]Szenarien!$J$5:$N$20))/1000000</f>
        <v>1812.347896</v>
      </c>
      <c r="H42" s="364">
        <f>SUMPRODUCT((H$24=[6]Szenarien!$A$5:$A$20)*($A26=[6]Szenarien!$D$1:$H$1)*([6]Szenarien!$J$5:$N$20))/1000000</f>
        <v>1606.1739480000006</v>
      </c>
      <c r="I42" s="364">
        <f>SUMPRODUCT((I$24=[6]Szenarien!$A$5:$A$20)*($A26=[6]Szenarien!$D$1:$H$1)*([6]Szenarien!$J$5:$N$20))/1000000</f>
        <v>1400</v>
      </c>
    </row>
    <row r="43" spans="1:13" x14ac:dyDescent="0.25">
      <c r="A43" s="358" t="str">
        <f t="shared" si="23"/>
        <v>3.1</v>
      </c>
      <c r="B43" s="360">
        <f t="shared" si="24"/>
        <v>2457.7354636981117</v>
      </c>
      <c r="C43" s="360">
        <f t="shared" si="24"/>
        <v>2429.3440000000001</v>
      </c>
      <c r="D43" s="360">
        <f t="shared" si="24"/>
        <v>2196.647019286122</v>
      </c>
      <c r="E43" s="360">
        <f t="shared" si="24"/>
        <v>2113.3295069999999</v>
      </c>
      <c r="F43" s="364">
        <f>SUMPRODUCT((F$24=[6]Szenarien!$A$5:$A$20)*($A27=[6]Szenarien!$D$1:$H$1)*([6]Szenarien!$J$5:$N$20))/1000000</f>
        <v>1812.347896</v>
      </c>
      <c r="G43" s="364">
        <f>SUMPRODUCT((G$24=[6]Szenarien!$A$5:$A$20)*($A27=[6]Szenarien!$D$1:$H$1)*([6]Szenarien!$J$5:$N$20))/1000000</f>
        <v>1812.347896</v>
      </c>
      <c r="H43" s="364">
        <f>SUMPRODUCT((H$24=[6]Szenarien!$A$5:$A$20)*($A27=[6]Szenarien!$D$1:$H$1)*([6]Szenarien!$J$5:$N$20))/1000000</f>
        <v>1606.1739480000006</v>
      </c>
      <c r="I43" s="364">
        <f>SUMPRODUCT((I$24=[6]Szenarien!$A$5:$A$20)*($A27=[6]Szenarien!$D$1:$H$1)*([6]Szenarien!$J$5:$N$20))/1000000</f>
        <v>1400</v>
      </c>
      <c r="K43" s="131"/>
      <c r="L43">
        <f>I25/G25-1</f>
        <v>-0.46334310284381419</v>
      </c>
    </row>
    <row r="44" spans="1:13" x14ac:dyDescent="0.25">
      <c r="A44" s="358" t="str">
        <f t="shared" si="23"/>
        <v>4.1</v>
      </c>
      <c r="B44" s="360">
        <f t="shared" si="24"/>
        <v>2457.7354636981117</v>
      </c>
      <c r="C44" s="360">
        <f t="shared" si="24"/>
        <v>2429.3440000000001</v>
      </c>
      <c r="D44" s="360">
        <f t="shared" si="24"/>
        <v>2196.647019286122</v>
      </c>
      <c r="E44" s="360">
        <f t="shared" si="24"/>
        <v>2113.3295069999999</v>
      </c>
      <c r="F44" s="364">
        <f>SUMPRODUCT((F$24=[6]Szenarien!$A$5:$A$20)*($A28=[6]Szenarien!$D$1:$H$1)*([6]Szenarien!$J$5:$N$20))/1000000</f>
        <v>1812.347896</v>
      </c>
      <c r="G44" s="364">
        <f>SUMPRODUCT((G$24=[6]Szenarien!$A$5:$A$20)*($A28=[6]Szenarien!$D$1:$H$1)*([6]Szenarien!$J$5:$N$20))/1000000</f>
        <v>1812.347896</v>
      </c>
      <c r="H44" s="364">
        <f>SUMPRODUCT((H$24=[6]Szenarien!$A$5:$A$20)*($A28=[6]Szenarien!$D$1:$H$1)*([6]Szenarien!$J$5:$N$20))/1000000</f>
        <v>1606.1739480000006</v>
      </c>
      <c r="I44" s="364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8" t="str">
        <f t="shared" si="23"/>
        <v>5.1</v>
      </c>
      <c r="B45" s="360">
        <f t="shared" si="24"/>
        <v>2457.7354636981117</v>
      </c>
      <c r="C45" s="360">
        <f t="shared" si="24"/>
        <v>2429.3440000000001</v>
      </c>
      <c r="D45" s="360">
        <f t="shared" si="24"/>
        <v>2196.647019286122</v>
      </c>
      <c r="E45" s="360">
        <f t="shared" si="24"/>
        <v>2113.3295069999999</v>
      </c>
      <c r="F45" s="364">
        <f>SUMPRODUCT((F$24=[6]Szenarien!$A$5:$A$20)*($A29=[6]Szenarien!$D$1:$H$1)*([6]Szenarien!$J$5:$N$20))/1000000</f>
        <v>1812.347896</v>
      </c>
      <c r="G45" s="364">
        <f>SUMPRODUCT((G$24=[6]Szenarien!$A$5:$A$20)*($A29=[6]Szenarien!$D$1:$H$1)*([6]Szenarien!$J$5:$N$20))/1000000</f>
        <v>1812.347896</v>
      </c>
      <c r="H45" s="364">
        <f>SUMPRODUCT((H$24=[6]Szenarien!$A$5:$A$20)*($A29=[6]Szenarien!$D$1:$H$1)*([6]Szenarien!$J$5:$N$20))/1000000</f>
        <v>1606.1739480000006</v>
      </c>
      <c r="I45" s="364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3" t="s">
        <v>193</v>
      </c>
      <c r="B47" s="361"/>
      <c r="C47" s="361"/>
      <c r="D47" s="362"/>
      <c r="E47" s="362"/>
      <c r="F47" s="365" t="str">
        <f>F39</f>
        <v>Quelle: Datenübergabe-IER_2015-07-24_V2_ob.xlsx</v>
      </c>
      <c r="G47" s="366"/>
      <c r="H47" s="366"/>
      <c r="I47" s="366"/>
    </row>
    <row r="48" spans="1:13" x14ac:dyDescent="0.25">
      <c r="A48" s="356"/>
      <c r="B48" s="359"/>
      <c r="C48" s="359"/>
      <c r="D48" s="359"/>
      <c r="E48" s="359"/>
      <c r="F48" s="355">
        <f t="shared" ref="F48:I48" si="25">F40</f>
        <v>2015</v>
      </c>
      <c r="G48" s="355">
        <f t="shared" si="25"/>
        <v>2020</v>
      </c>
      <c r="H48" s="355">
        <f t="shared" si="25"/>
        <v>2025</v>
      </c>
      <c r="I48" s="355">
        <f t="shared" si="25"/>
        <v>2030</v>
      </c>
    </row>
    <row r="49" spans="1:12" x14ac:dyDescent="0.25">
      <c r="A49" s="357">
        <f>A41</f>
        <v>1</v>
      </c>
      <c r="B49" s="360"/>
      <c r="C49" s="360"/>
      <c r="D49" s="360"/>
      <c r="E49" s="360"/>
      <c r="F49" s="364">
        <f>SUMPRODUCT((F$24=[6]Szenarien!$A$5:$A$20)*($A33=[6]Szenarien!$D$1:$H$1)*([6]Szenarien!$P$5:$T$20))/1000000</f>
        <v>1907.1958658933333</v>
      </c>
      <c r="G49" s="364">
        <f>SUMPRODUCT((G$24=[6]Szenarien!$A$5:$A$20)*($A33=[6]Szenarien!$D$1:$H$1)*([6]Szenarien!$P$5:$T$20))/1000000</f>
        <v>1252.0972292356332</v>
      </c>
      <c r="H49" s="364">
        <f>SUMPRODUCT((H$24=[6]Szenarien!$A$5:$A$20)*($A33=[6]Szenarien!$D$1:$H$1)*([6]Szenarien!$P$5:$T$20))/1000000</f>
        <v>624.35522689663378</v>
      </c>
      <c r="I49" s="364">
        <f>SUMPRODUCT((I$24=[6]Szenarien!$A$5:$A$20)*($A33=[6]Szenarien!$D$1:$H$1)*([6]Szenarien!$P$5:$T$20))/1000000</f>
        <v>352.15800354061054</v>
      </c>
    </row>
    <row r="50" spans="1:12" x14ac:dyDescent="0.25">
      <c r="A50" s="358" t="str">
        <f t="shared" ref="A50:A53" si="26">A42</f>
        <v>2.1</v>
      </c>
      <c r="B50" s="360"/>
      <c r="C50" s="360"/>
      <c r="D50" s="360"/>
      <c r="E50" s="360"/>
      <c r="F50" s="364">
        <f>SUMPRODUCT((F$24=[6]Szenarien!$A$5:$A$20)*($A34=[6]Szenarien!$D$1:$H$1)*([6]Szenarien!$P$5:$T$20))/1000000</f>
        <v>1907.1958658933333</v>
      </c>
      <c r="G50" s="364">
        <f>SUMPRODUCT((G$24=[6]Szenarien!$A$5:$A$20)*($A34=[6]Szenarien!$D$1:$H$1)*([6]Szenarien!$P$5:$T$20))/1000000</f>
        <v>1237.7119193486387</v>
      </c>
      <c r="H50" s="364">
        <f>SUMPRODUCT((H$24=[6]Szenarien!$A$5:$A$20)*($A34=[6]Szenarien!$D$1:$H$1)*([6]Szenarien!$P$5:$T$20))/1000000</f>
        <v>624.26105948745374</v>
      </c>
      <c r="I50" s="364">
        <f>SUMPRODUCT((I$24=[6]Szenarien!$A$5:$A$20)*($A34=[6]Szenarien!$D$1:$H$1)*([6]Szenarien!$P$5:$T$20))/1000000</f>
        <v>360.78918947280778</v>
      </c>
    </row>
    <row r="51" spans="1:12" x14ac:dyDescent="0.25">
      <c r="A51" s="358" t="str">
        <f t="shared" si="26"/>
        <v>3.1</v>
      </c>
      <c r="B51" s="360"/>
      <c r="C51" s="360"/>
      <c r="D51" s="360"/>
      <c r="E51" s="360"/>
      <c r="F51" s="364">
        <f>SUMPRODUCT((F$24=[6]Szenarien!$A$5:$A$20)*($A35=[6]Szenarien!$D$1:$H$1)*([6]Szenarien!$P$5:$T$20))/1000000</f>
        <v>1857.1958658933333</v>
      </c>
      <c r="G51" s="364">
        <f>SUMPRODUCT((G$24=[6]Szenarien!$A$5:$A$20)*($A35=[6]Szenarien!$D$1:$H$1)*([6]Szenarien!$P$5:$T$20))/1000000</f>
        <v>1038.4444922866041</v>
      </c>
      <c r="H51" s="364">
        <f>SUMPRODUCT((H$24=[6]Szenarien!$A$5:$A$20)*($A35=[6]Szenarien!$D$1:$H$1)*([6]Szenarien!$P$5:$T$20))/1000000</f>
        <v>486.12487908719407</v>
      </c>
      <c r="I51" s="364">
        <f>SUMPRODUCT((I$24=[6]Szenarien!$A$5:$A$20)*($A35=[6]Szenarien!$D$1:$H$1)*([6]Szenarien!$P$5:$T$20))/1000000</f>
        <v>448.7538796417831</v>
      </c>
    </row>
    <row r="52" spans="1:12" x14ac:dyDescent="0.25">
      <c r="A52" s="358" t="str">
        <f t="shared" si="26"/>
        <v>4.1</v>
      </c>
      <c r="B52" s="360"/>
      <c r="C52" s="360"/>
      <c r="D52" s="360"/>
      <c r="E52" s="360"/>
      <c r="F52" s="364">
        <f>SUMPRODUCT((F$24=[6]Szenarien!$A$5:$A$20)*($A36=[6]Szenarien!$D$1:$H$1)*([6]Szenarien!$P$5:$T$20))/1000000</f>
        <v>1907.1958658933333</v>
      </c>
      <c r="G52" s="364">
        <f>SUMPRODUCT((G$24=[6]Szenarien!$A$5:$A$20)*($A36=[6]Szenarien!$D$1:$H$1)*([6]Szenarien!$P$5:$T$20))/1000000</f>
        <v>1252.0972292356332</v>
      </c>
      <c r="H52" s="364">
        <f>SUMPRODUCT((H$24=[6]Szenarien!$A$5:$A$20)*($A36=[6]Szenarien!$D$1:$H$1)*([6]Szenarien!$P$5:$T$20))/1000000</f>
        <v>624.35522689663378</v>
      </c>
      <c r="I52" s="364">
        <f>SUMPRODUCT((I$24=[6]Szenarien!$A$5:$A$20)*($A36=[6]Szenarien!$D$1:$H$1)*([6]Szenarien!$P$5:$T$20))/1000000</f>
        <v>352.15800354061054</v>
      </c>
    </row>
    <row r="53" spans="1:12" x14ac:dyDescent="0.25">
      <c r="A53" s="358" t="str">
        <f t="shared" si="26"/>
        <v>5.1</v>
      </c>
      <c r="B53" s="360"/>
      <c r="C53" s="360"/>
      <c r="D53" s="360"/>
      <c r="E53" s="360"/>
      <c r="F53" s="364">
        <f>SUMPRODUCT((F$24=[6]Szenarien!$A$5:$A$20)*($A37=[6]Szenarien!$D$1:$H$1)*([6]Szenarien!$P$5:$T$20))/1000000</f>
        <v>1857.1958658933333</v>
      </c>
      <c r="G53" s="364">
        <f>SUMPRODUCT((G$24=[6]Szenarien!$A$5:$A$20)*($A37=[6]Szenarien!$D$1:$H$1)*([6]Szenarien!$P$5:$T$20))/1000000</f>
        <v>1067.8182632005671</v>
      </c>
      <c r="H53" s="364">
        <f>SUMPRODUCT((H$24=[6]Szenarien!$A$5:$A$20)*($A37=[6]Szenarien!$D$1:$H$1)*([6]Szenarien!$P$5:$T$20))/1000000</f>
        <v>586.6139205513125</v>
      </c>
      <c r="I53" s="364">
        <f>SUMPRODUCT((I$24=[6]Szenarien!$A$5:$A$20)*($A37=[6]Szenarien!$D$1:$H$1)*([6]Szenarien!$P$5:$T$20))/1000000</f>
        <v>391.86231399123346</v>
      </c>
    </row>
    <row r="55" spans="1:12" s="308" customFormat="1" ht="9" customHeight="1" x14ac:dyDescent="0.25"/>
    <row r="56" spans="1:12" x14ac:dyDescent="0.25">
      <c r="A56" t="s">
        <v>208</v>
      </c>
    </row>
    <row r="57" spans="1:12" x14ac:dyDescent="0.25">
      <c r="A57" s="331" t="s">
        <v>200</v>
      </c>
      <c r="B57" s="332" t="str">
        <f>DEHst_1vs4!A73</f>
        <v>Szenario 1 - Status Quo (aktualisiert)</v>
      </c>
      <c r="C57" s="332"/>
      <c r="D57" s="332"/>
      <c r="E57" s="332"/>
      <c r="F57" s="332"/>
      <c r="G57" s="332"/>
      <c r="H57" s="332"/>
      <c r="I57" s="332"/>
      <c r="J57" s="332"/>
      <c r="K57" s="332"/>
      <c r="L57" s="332"/>
    </row>
    <row r="58" spans="1:12" x14ac:dyDescent="0.25">
      <c r="A58" s="332"/>
      <c r="B58" s="333"/>
      <c r="C58" s="334">
        <f>DEHst_1vs4!C72</f>
        <v>2007</v>
      </c>
      <c r="D58" s="334">
        <v>2011</v>
      </c>
      <c r="E58" s="334">
        <f>DEHst_1vs4!E72</f>
        <v>2015</v>
      </c>
      <c r="F58" s="334">
        <f>DEHst_1vs4!F72</f>
        <v>2020</v>
      </c>
      <c r="G58" s="334">
        <f>DEHst_1vs4!G72</f>
        <v>2025</v>
      </c>
      <c r="H58" s="334">
        <f>DEHst_1vs4!H72</f>
        <v>2030</v>
      </c>
      <c r="I58" s="334">
        <f>DEHst_1vs4!I72</f>
        <v>2035</v>
      </c>
      <c r="J58" s="334">
        <f>DEHst_1vs4!J72</f>
        <v>2040</v>
      </c>
      <c r="K58" s="334">
        <f>DEHst_1vs4!K72</f>
        <v>2045</v>
      </c>
      <c r="L58" s="335">
        <f>DEHst_1vs4!L72</f>
        <v>2050</v>
      </c>
    </row>
    <row r="59" spans="1:12" x14ac:dyDescent="0.25">
      <c r="A59" s="332"/>
      <c r="B59" s="336" t="s">
        <v>190</v>
      </c>
      <c r="C59" s="337">
        <f>DEHst_1vs4!C79</f>
        <v>1</v>
      </c>
      <c r="D59" s="338">
        <f>DEHst_1vs4!D79</f>
        <v>0.88673642000452668</v>
      </c>
      <c r="E59" s="338">
        <f>DEHst_1vs4!E79</f>
        <v>0.83350422185242257</v>
      </c>
      <c r="F59" s="338">
        <f>DEHst_1vs4!F79</f>
        <v>0.75837485249771808</v>
      </c>
      <c r="G59" s="338">
        <f>DEHst_1vs4!G79</f>
        <v>0.66338369584234458</v>
      </c>
      <c r="H59" s="338">
        <f>DEHst_1vs4!H79</f>
        <v>0.56839253918697108</v>
      </c>
      <c r="I59" s="338">
        <f>DEHst_1vs4!I79</f>
        <v>0.47340138253159769</v>
      </c>
      <c r="J59" s="338">
        <f>DEHst_1vs4!J79</f>
        <v>0.37841022587622419</v>
      </c>
      <c r="K59" s="338">
        <f>DEHst_1vs4!K79</f>
        <v>0.28341906922085075</v>
      </c>
      <c r="L59" s="339">
        <f>DEHst_1vs4!L79</f>
        <v>0.18842791256547728</v>
      </c>
    </row>
    <row r="60" spans="1:12" x14ac:dyDescent="0.25">
      <c r="A60" s="332"/>
      <c r="B60" s="332"/>
      <c r="C60" s="332"/>
      <c r="D60" s="332"/>
      <c r="E60" s="332"/>
      <c r="F60" s="332"/>
      <c r="G60" s="332"/>
      <c r="H60" s="332"/>
      <c r="I60" s="332"/>
      <c r="J60" s="332"/>
      <c r="K60" s="332"/>
      <c r="L60" s="332"/>
    </row>
    <row r="61" spans="1:12" x14ac:dyDescent="0.25">
      <c r="A61" s="331" t="s">
        <v>201</v>
      </c>
      <c r="B61" s="332" t="str">
        <f>CONCATENATE(B57," + Umlaufmenge - Knappheitskorrektur")</f>
        <v>Szenario 1 - Status Quo (aktualisiert) + Umlaufmenge - Knappheitskorrektur</v>
      </c>
      <c r="C61" s="332"/>
      <c r="D61" s="332"/>
      <c r="E61" s="332"/>
      <c r="F61" s="332"/>
      <c r="G61" s="332"/>
      <c r="H61" s="340" t="s">
        <v>183</v>
      </c>
      <c r="I61" s="341" t="s">
        <v>191</v>
      </c>
      <c r="J61" s="332"/>
      <c r="K61" s="332"/>
      <c r="L61" s="332"/>
    </row>
    <row r="62" spans="1:12" x14ac:dyDescent="0.25">
      <c r="A62" s="332"/>
      <c r="B62" s="333"/>
      <c r="C62" s="334">
        <f t="shared" ref="C62:L63" si="27">C58</f>
        <v>2007</v>
      </c>
      <c r="D62" s="334">
        <f t="shared" si="27"/>
        <v>2011</v>
      </c>
      <c r="E62" s="334">
        <f t="shared" si="27"/>
        <v>2015</v>
      </c>
      <c r="F62" s="334">
        <f t="shared" si="27"/>
        <v>2020</v>
      </c>
      <c r="G62" s="334">
        <f t="shared" si="27"/>
        <v>2025</v>
      </c>
      <c r="H62" s="334">
        <f t="shared" si="27"/>
        <v>2030</v>
      </c>
      <c r="I62" s="334">
        <f t="shared" si="27"/>
        <v>2035</v>
      </c>
      <c r="J62" s="334">
        <f t="shared" si="27"/>
        <v>2040</v>
      </c>
      <c r="K62" s="334">
        <f t="shared" si="27"/>
        <v>2045</v>
      </c>
      <c r="L62" s="335">
        <f t="shared" si="27"/>
        <v>2050</v>
      </c>
    </row>
    <row r="63" spans="1:12" x14ac:dyDescent="0.25">
      <c r="A63" s="332"/>
      <c r="B63" s="336" t="str">
        <f>B59</f>
        <v>EU28</v>
      </c>
      <c r="C63" s="337">
        <f t="shared" si="27"/>
        <v>1</v>
      </c>
      <c r="D63" s="338">
        <f>(E63+C63)/2</f>
        <v>1.2778998888566195</v>
      </c>
      <c r="E63" s="338">
        <f>E59*[7]Tabelle1!$F$7</f>
        <v>1.5557997777132389</v>
      </c>
      <c r="F63" s="338">
        <f>F59*[7]Tabelle1!$F$12</f>
        <v>1.0070134521338598</v>
      </c>
      <c r="G63" s="338">
        <f>G59*[7]Tabelle1!$F$17</f>
        <v>0.69579069652462189</v>
      </c>
      <c r="H63" s="338">
        <f>H59*[7]Tabelle1!$F$22</f>
        <v>0.56818904621811039</v>
      </c>
      <c r="I63" s="338">
        <f t="shared" si="27"/>
        <v>0.47340138253159769</v>
      </c>
      <c r="J63" s="338">
        <f t="shared" si="27"/>
        <v>0.37841022587622419</v>
      </c>
      <c r="K63" s="338">
        <f t="shared" si="27"/>
        <v>0.28341906922085075</v>
      </c>
      <c r="L63" s="339">
        <f t="shared" si="27"/>
        <v>0.18842791256547728</v>
      </c>
    </row>
    <row r="64" spans="1:12" x14ac:dyDescent="0.25">
      <c r="B64" s="304"/>
      <c r="C64" s="305"/>
      <c r="D64" s="306"/>
      <c r="E64" s="307"/>
      <c r="F64" s="307"/>
      <c r="G64" s="307"/>
      <c r="H64" s="307"/>
      <c r="I64" s="306"/>
      <c r="J64" s="306"/>
      <c r="K64" s="306"/>
      <c r="L64" s="306"/>
    </row>
    <row r="65" spans="1:11" s="308" customFormat="1" ht="9" customHeight="1" x14ac:dyDescent="0.25"/>
    <row r="66" spans="1:11" x14ac:dyDescent="0.25">
      <c r="A66" t="s">
        <v>207</v>
      </c>
    </row>
    <row r="67" spans="1:11" x14ac:dyDescent="0.25">
      <c r="D67" s="344" t="s">
        <v>249</v>
      </c>
    </row>
    <row r="68" spans="1:11" x14ac:dyDescent="0.25">
      <c r="A68" s="35" t="s">
        <v>209</v>
      </c>
    </row>
    <row r="69" spans="1:11" x14ac:dyDescent="0.25">
      <c r="B69" s="296"/>
      <c r="C69" s="345">
        <f>D58</f>
        <v>2011</v>
      </c>
      <c r="D69" s="327">
        <v>2015</v>
      </c>
      <c r="E69" s="327">
        <v>2020</v>
      </c>
      <c r="F69" s="327">
        <v>2025</v>
      </c>
      <c r="G69" s="327">
        <v>2030</v>
      </c>
      <c r="H69" s="327">
        <v>2035</v>
      </c>
      <c r="I69" s="297">
        <v>2040</v>
      </c>
      <c r="J69" s="297">
        <v>2045</v>
      </c>
      <c r="K69" s="298">
        <v>2050</v>
      </c>
    </row>
    <row r="70" spans="1:11" x14ac:dyDescent="0.25">
      <c r="A70" s="62" t="s">
        <v>206</v>
      </c>
      <c r="B70" s="299" t="s">
        <v>190</v>
      </c>
      <c r="C70" s="346">
        <f>D20</f>
        <v>1</v>
      </c>
      <c r="D70" s="328">
        <f t="shared" ref="D70:K70" si="28">F20</f>
        <v>0.93973545270041425</v>
      </c>
      <c r="E70" s="328">
        <f t="shared" si="28"/>
        <v>0.88389759450405614</v>
      </c>
      <c r="F70" s="328">
        <f t="shared" si="28"/>
        <v>0.76082324590222561</v>
      </c>
      <c r="G70" s="374">
        <f t="shared" si="28"/>
        <v>0.63774889730039497</v>
      </c>
      <c r="H70" s="328">
        <f t="shared" si="28"/>
        <v>0.52774889730039498</v>
      </c>
      <c r="I70" s="300">
        <f t="shared" si="28"/>
        <v>0.41774889730039505</v>
      </c>
      <c r="J70" s="300">
        <f t="shared" si="28"/>
        <v>0.30774889730039506</v>
      </c>
      <c r="K70" s="301">
        <f t="shared" si="28"/>
        <v>0.19774889730039508</v>
      </c>
    </row>
    <row r="71" spans="1:11" x14ac:dyDescent="0.25">
      <c r="E71" s="368" t="s">
        <v>240</v>
      </c>
      <c r="F71" s="368"/>
      <c r="G71" s="368"/>
      <c r="H71" s="368"/>
      <c r="I71" s="368"/>
      <c r="J71" s="368"/>
    </row>
    <row r="72" spans="1:11" x14ac:dyDescent="0.25">
      <c r="A72" s="35" t="s">
        <v>236</v>
      </c>
      <c r="E72" s="369">
        <v>0.97</v>
      </c>
    </row>
    <row r="73" spans="1:11" x14ac:dyDescent="0.25">
      <c r="B73" s="296"/>
      <c r="C73" s="342">
        <f t="shared" ref="C73:K73" si="29">D58</f>
        <v>2011</v>
      </c>
      <c r="D73" s="302">
        <f t="shared" si="29"/>
        <v>2015</v>
      </c>
      <c r="E73" s="302">
        <f t="shared" si="29"/>
        <v>2020</v>
      </c>
      <c r="F73" s="302">
        <f t="shared" si="29"/>
        <v>2025</v>
      </c>
      <c r="G73" s="302">
        <f t="shared" si="29"/>
        <v>2030</v>
      </c>
      <c r="H73" s="297">
        <f t="shared" si="29"/>
        <v>2035</v>
      </c>
      <c r="I73" s="297">
        <f t="shared" si="29"/>
        <v>2040</v>
      </c>
      <c r="J73" s="297">
        <f t="shared" si="29"/>
        <v>2045</v>
      </c>
      <c r="K73" s="298">
        <f t="shared" si="29"/>
        <v>2050</v>
      </c>
    </row>
    <row r="74" spans="1:11" x14ac:dyDescent="0.25">
      <c r="A74" s="62" t="s">
        <v>189</v>
      </c>
      <c r="B74" s="299" t="str">
        <f>B59</f>
        <v>EU28</v>
      </c>
      <c r="C74" s="343">
        <v>1</v>
      </c>
      <c r="D74" s="367">
        <f>F33</f>
        <v>1.1306813456924312</v>
      </c>
      <c r="E74" s="370">
        <f>G33*E72</f>
        <v>1.0571909256342746</v>
      </c>
      <c r="F74" s="367">
        <f>H33</f>
        <v>0.84071266030997949</v>
      </c>
      <c r="G74" s="367">
        <f>I33</f>
        <v>0.58489567201295445</v>
      </c>
      <c r="H74" s="300">
        <f>H70</f>
        <v>0.52774889730039498</v>
      </c>
      <c r="I74" s="300">
        <f>I70</f>
        <v>0.41774889730039505</v>
      </c>
      <c r="J74" s="300">
        <f>J70</f>
        <v>0.30774889730039506</v>
      </c>
      <c r="K74" s="301">
        <f>K70</f>
        <v>0.19774889730039508</v>
      </c>
    </row>
    <row r="75" spans="1:11" x14ac:dyDescent="0.25">
      <c r="C75" s="373">
        <f t="shared" ref="C75:K75" si="30">C74*$C$7</f>
        <v>2429.3440000000001</v>
      </c>
      <c r="D75" s="373">
        <f t="shared" si="30"/>
        <v>2746.8139430698334</v>
      </c>
      <c r="E75" s="373">
        <f t="shared" si="30"/>
        <v>2568.2804320440714</v>
      </c>
      <c r="F75" s="373">
        <f t="shared" si="30"/>
        <v>2042.3802570480868</v>
      </c>
      <c r="G75" s="373">
        <f t="shared" si="30"/>
        <v>1420.9127914306389</v>
      </c>
      <c r="H75" s="373">
        <f t="shared" si="30"/>
        <v>1282.0836171633307</v>
      </c>
      <c r="I75" s="373">
        <f t="shared" si="30"/>
        <v>1014.8557771633309</v>
      </c>
      <c r="J75" s="373">
        <f t="shared" si="30"/>
        <v>747.62793716333101</v>
      </c>
      <c r="K75" s="373">
        <f t="shared" si="30"/>
        <v>480.400097163331</v>
      </c>
    </row>
    <row r="76" spans="1:11" x14ac:dyDescent="0.25">
      <c r="A76" s="35" t="s">
        <v>237</v>
      </c>
      <c r="G76" s="218">
        <f>G75/B7-1</f>
        <v>-0.42186097225752028</v>
      </c>
      <c r="H76" s="303"/>
    </row>
    <row r="77" spans="1:11" x14ac:dyDescent="0.25">
      <c r="B77" s="296"/>
      <c r="C77" s="342">
        <f t="shared" ref="C77:K77" si="31">D62</f>
        <v>2011</v>
      </c>
      <c r="D77" s="302">
        <f t="shared" si="31"/>
        <v>2015</v>
      </c>
      <c r="E77" s="302">
        <f t="shared" si="31"/>
        <v>2020</v>
      </c>
      <c r="F77" s="302">
        <f t="shared" si="31"/>
        <v>2025</v>
      </c>
      <c r="G77" s="302">
        <f t="shared" si="31"/>
        <v>2030</v>
      </c>
      <c r="H77" s="297">
        <f t="shared" si="31"/>
        <v>2035</v>
      </c>
      <c r="I77" s="297">
        <f t="shared" si="31"/>
        <v>2040</v>
      </c>
      <c r="J77" s="297">
        <f t="shared" si="31"/>
        <v>2045</v>
      </c>
      <c r="K77" s="298">
        <f t="shared" si="31"/>
        <v>2050</v>
      </c>
    </row>
    <row r="78" spans="1:11" x14ac:dyDescent="0.25">
      <c r="A78" s="62" t="s">
        <v>235</v>
      </c>
      <c r="B78" s="299" t="str">
        <f>B63</f>
        <v>EU28</v>
      </c>
      <c r="C78" s="343">
        <v>1</v>
      </c>
      <c r="D78" s="367">
        <f>F34</f>
        <v>1.137230103759018</v>
      </c>
      <c r="E78" s="370">
        <f>G34*E72</f>
        <v>1.0471482445259126</v>
      </c>
      <c r="F78" s="367">
        <f>H34</f>
        <v>0.84058792689659656</v>
      </c>
      <c r="G78" s="367">
        <f>I34</f>
        <v>0.58882492685290699</v>
      </c>
      <c r="H78" s="300">
        <f>H70</f>
        <v>0.52774889730039498</v>
      </c>
      <c r="I78" s="300">
        <f>I70</f>
        <v>0.41774889730039505</v>
      </c>
      <c r="J78" s="300">
        <f>J70</f>
        <v>0.30774889730039506</v>
      </c>
      <c r="K78" s="301">
        <f>K70</f>
        <v>0.19774889730039508</v>
      </c>
    </row>
    <row r="79" spans="1:11" x14ac:dyDescent="0.25">
      <c r="C79" s="373">
        <f t="shared" ref="C79" si="32">C78*$C$7</f>
        <v>2429.3440000000001</v>
      </c>
      <c r="D79" s="373">
        <f t="shared" ref="D79" si="33">D78*$C$7</f>
        <v>2762.7231291863477</v>
      </c>
      <c r="E79" s="373">
        <f t="shared" ref="E79" si="34">E78*$C$7</f>
        <v>2543.8833049495588</v>
      </c>
      <c r="F79" s="373">
        <f t="shared" ref="F79" si="35">F78*$C$7</f>
        <v>2042.0772366786855</v>
      </c>
      <c r="G79" s="373">
        <f t="shared" ref="G79" si="36">G78*$C$7</f>
        <v>1430.4583031005486</v>
      </c>
      <c r="H79" s="373">
        <f t="shared" ref="H79" si="37">H78*$C$7</f>
        <v>1282.0836171633307</v>
      </c>
      <c r="I79" s="373">
        <f t="shared" ref="I79" si="38">I78*$C$7</f>
        <v>1014.8557771633309</v>
      </c>
      <c r="J79" s="373">
        <f t="shared" ref="J79" si="39">J78*$C$7</f>
        <v>747.62793716333101</v>
      </c>
      <c r="K79" s="373">
        <f t="shared" ref="K79" si="40">K78*$C$7</f>
        <v>480.400097163331</v>
      </c>
    </row>
    <row r="80" spans="1:11" x14ac:dyDescent="0.25">
      <c r="A80" s="35" t="s">
        <v>239</v>
      </c>
      <c r="G80" s="218" t="e">
        <f>G79/B11-1</f>
        <v>#VALUE!</v>
      </c>
      <c r="H80" s="303"/>
    </row>
    <row r="81" spans="1:11" x14ac:dyDescent="0.25">
      <c r="B81" s="296"/>
      <c r="C81" s="342">
        <f t="shared" ref="B81:K82" si="41">C77</f>
        <v>2011</v>
      </c>
      <c r="D81" s="302">
        <f t="shared" si="41"/>
        <v>2015</v>
      </c>
      <c r="E81" s="302">
        <f t="shared" si="41"/>
        <v>2020</v>
      </c>
      <c r="F81" s="302">
        <f t="shared" si="41"/>
        <v>2025</v>
      </c>
      <c r="G81" s="302">
        <f>G77</f>
        <v>2030</v>
      </c>
      <c r="H81" s="297">
        <f t="shared" si="41"/>
        <v>2035</v>
      </c>
      <c r="I81" s="297">
        <f t="shared" si="41"/>
        <v>2040</v>
      </c>
      <c r="J81" s="297">
        <f t="shared" si="41"/>
        <v>2045</v>
      </c>
      <c r="K81" s="298">
        <f t="shared" si="41"/>
        <v>2050</v>
      </c>
    </row>
    <row r="82" spans="1:11" x14ac:dyDescent="0.25">
      <c r="A82" s="62" t="s">
        <v>238</v>
      </c>
      <c r="B82" s="299" t="str">
        <f t="shared" si="41"/>
        <v>EU28</v>
      </c>
      <c r="C82" s="343">
        <v>1</v>
      </c>
      <c r="D82" s="367">
        <f>F36</f>
        <v>1.1306813456924312</v>
      </c>
      <c r="E82" s="370">
        <f>G36*E72</f>
        <v>1.0571909256342746</v>
      </c>
      <c r="F82" s="367">
        <f>H36</f>
        <v>0.84071266030997949</v>
      </c>
      <c r="G82" s="367">
        <f>I36</f>
        <v>0.58489567201295445</v>
      </c>
      <c r="H82" s="300">
        <f t="shared" si="41"/>
        <v>0.52774889730039498</v>
      </c>
      <c r="I82" s="300">
        <f t="shared" si="41"/>
        <v>0.41774889730039505</v>
      </c>
      <c r="J82" s="300">
        <f t="shared" si="41"/>
        <v>0.30774889730039506</v>
      </c>
      <c r="K82" s="301">
        <f t="shared" si="41"/>
        <v>0.19774889730039508</v>
      </c>
    </row>
    <row r="84" spans="1:11" x14ac:dyDescent="0.25">
      <c r="A84" t="s">
        <v>241</v>
      </c>
      <c r="C84" s="131">
        <f t="shared" ref="C84:K84" si="42">C78/C74-1</f>
        <v>0</v>
      </c>
      <c r="D84" s="315">
        <f t="shared" si="42"/>
        <v>5.7918688510567584E-3</v>
      </c>
      <c r="E84" s="315">
        <f t="shared" si="42"/>
        <v>-9.4994015412465105E-3</v>
      </c>
      <c r="F84" s="315">
        <f t="shared" si="42"/>
        <v>-1.4836628407255414E-4</v>
      </c>
      <c r="G84" s="315">
        <f t="shared" si="42"/>
        <v>6.7178729950758687E-3</v>
      </c>
      <c r="H84" s="131">
        <f t="shared" si="42"/>
        <v>0</v>
      </c>
      <c r="I84" s="131">
        <f t="shared" si="42"/>
        <v>0</v>
      </c>
      <c r="J84" s="131">
        <f t="shared" si="42"/>
        <v>0</v>
      </c>
      <c r="K84" s="131">
        <f t="shared" si="42"/>
        <v>0</v>
      </c>
    </row>
    <row r="85" spans="1:11" x14ac:dyDescent="0.25">
      <c r="A85" t="s">
        <v>242</v>
      </c>
      <c r="C85" s="131">
        <f t="shared" ref="C85:K85" si="43">C82/C74-1</f>
        <v>0</v>
      </c>
      <c r="D85" s="131">
        <f t="shared" si="43"/>
        <v>0</v>
      </c>
      <c r="E85" s="131">
        <f t="shared" si="43"/>
        <v>0</v>
      </c>
      <c r="F85" s="131">
        <f t="shared" si="43"/>
        <v>0</v>
      </c>
      <c r="G85" s="131">
        <f t="shared" si="43"/>
        <v>0</v>
      </c>
      <c r="H85" s="131">
        <f t="shared" si="43"/>
        <v>0</v>
      </c>
      <c r="I85" s="131">
        <f t="shared" si="43"/>
        <v>0</v>
      </c>
      <c r="J85" s="131">
        <f t="shared" si="43"/>
        <v>0</v>
      </c>
      <c r="K85" s="131">
        <f t="shared" si="43"/>
        <v>0</v>
      </c>
    </row>
    <row r="88" spans="1:11" x14ac:dyDescent="0.25">
      <c r="B88" s="62" t="s">
        <v>221</v>
      </c>
    </row>
    <row r="89" spans="1:11" x14ac:dyDescent="0.25">
      <c r="B89">
        <f>B18</f>
        <v>2005</v>
      </c>
      <c r="C89">
        <f t="shared" ref="C89:H89" si="44">D18</f>
        <v>2011</v>
      </c>
      <c r="D89">
        <f t="shared" si="44"/>
        <v>2013</v>
      </c>
      <c r="E89">
        <f t="shared" si="44"/>
        <v>2015</v>
      </c>
      <c r="F89">
        <f t="shared" si="44"/>
        <v>2020</v>
      </c>
      <c r="G89">
        <f t="shared" si="44"/>
        <v>2025</v>
      </c>
      <c r="H89">
        <f t="shared" si="44"/>
        <v>2030</v>
      </c>
      <c r="K89">
        <f>E19*Umlaufmenge!G6</f>
        <v>4053.8137068008546</v>
      </c>
    </row>
    <row r="90" spans="1:11" x14ac:dyDescent="0.25">
      <c r="A90" t="s">
        <v>219</v>
      </c>
      <c r="C90" s="131">
        <f t="shared" ref="C90:H90" si="45">D19/$B$19-1</f>
        <v>-0.10623130449488427</v>
      </c>
      <c r="D90" s="131">
        <f t="shared" si="45"/>
        <v>-0.14013141844805799</v>
      </c>
      <c r="E90" s="131">
        <f t="shared" si="45"/>
        <v>-0.16009387032004141</v>
      </c>
      <c r="F90" s="131">
        <f t="shared" si="45"/>
        <v>-0.20999999999999996</v>
      </c>
      <c r="G90" s="131">
        <f t="shared" si="45"/>
        <v>-0.31999999999999995</v>
      </c>
      <c r="H90" s="131">
        <f t="shared" si="45"/>
        <v>-0.42999999999999994</v>
      </c>
    </row>
    <row r="91" spans="1:11" x14ac:dyDescent="0.25">
      <c r="A91" t="s">
        <v>220</v>
      </c>
      <c r="C91" s="131">
        <f>D19*C74/$B$19-1</f>
        <v>-0.10623130449488427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1" x14ac:dyDescent="0.25">
      <c r="B92" t="s">
        <v>217</v>
      </c>
    </row>
    <row r="94" spans="1:11" x14ac:dyDescent="0.25">
      <c r="B94" s="35">
        <f t="shared" ref="B94:H94" si="46">B89</f>
        <v>2005</v>
      </c>
      <c r="C94" s="35">
        <f t="shared" si="46"/>
        <v>2011</v>
      </c>
      <c r="D94" s="35">
        <f t="shared" si="46"/>
        <v>2013</v>
      </c>
      <c r="E94" s="35">
        <f t="shared" si="46"/>
        <v>2015</v>
      </c>
      <c r="F94" s="35">
        <f t="shared" si="46"/>
        <v>2020</v>
      </c>
      <c r="G94" s="35">
        <f t="shared" si="46"/>
        <v>2025</v>
      </c>
      <c r="H94" s="35">
        <f t="shared" si="46"/>
        <v>2030</v>
      </c>
    </row>
    <row r="95" spans="1:11" x14ac:dyDescent="0.25">
      <c r="A95" s="62" t="s">
        <v>219</v>
      </c>
      <c r="B95" s="32">
        <f>B19</f>
        <v>2457.7354636981117</v>
      </c>
      <c r="C95" s="32">
        <f t="shared" ref="C95:H95" si="47">D19</f>
        <v>2196.647019286122</v>
      </c>
      <c r="D95" s="32">
        <f t="shared" si="47"/>
        <v>2113.3295069999999</v>
      </c>
      <c r="E95" s="32">
        <f t="shared" si="47"/>
        <v>2064.2670810918594</v>
      </c>
      <c r="F95" s="32">
        <f t="shared" si="47"/>
        <v>1941.6110163215083</v>
      </c>
      <c r="G95" s="32">
        <f t="shared" si="47"/>
        <v>1671.2601153147161</v>
      </c>
      <c r="H95" s="32">
        <f t="shared" si="47"/>
        <v>1400.9092143079238</v>
      </c>
    </row>
    <row r="96" spans="1:11" x14ac:dyDescent="0.25">
      <c r="B96" s="351" t="s">
        <v>218</v>
      </c>
      <c r="C96" s="352">
        <f t="shared" ref="C96:H96" si="48">C95/$B95-1</f>
        <v>-0.10623130449488427</v>
      </c>
      <c r="D96" s="352">
        <f t="shared" si="48"/>
        <v>-0.14013141844805799</v>
      </c>
      <c r="E96" s="352">
        <f t="shared" si="48"/>
        <v>-0.16009387032004141</v>
      </c>
      <c r="F96" s="352">
        <f t="shared" si="48"/>
        <v>-0.20999999999999996</v>
      </c>
      <c r="G96" s="352">
        <f t="shared" si="48"/>
        <v>-0.31999999999999995</v>
      </c>
      <c r="H96" s="352">
        <f t="shared" si="48"/>
        <v>-0.42999999999999994</v>
      </c>
    </row>
    <row r="97" spans="1:8" x14ac:dyDescent="0.25">
      <c r="A97" s="62" t="s">
        <v>220</v>
      </c>
      <c r="B97" s="32">
        <f>B95</f>
        <v>2457.7354636981117</v>
      </c>
      <c r="C97" s="32">
        <f>C95*C74</f>
        <v>2196.647019286122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1" t="s">
        <v>218</v>
      </c>
      <c r="C98" s="352">
        <f t="shared" ref="C98" si="49">C97/$B97-1</f>
        <v>-0.10623130449488427</v>
      </c>
      <c r="D98" s="352">
        <f t="shared" ref="D98" si="50">D97/$B97-1</f>
        <v>0.64941010400734989</v>
      </c>
      <c r="E98" s="352">
        <f t="shared" ref="E98" si="51">E97/$B97-1</f>
        <v>0.46289554171053715</v>
      </c>
      <c r="F98" s="352">
        <f t="shared" ref="F98" si="52">F97/$B97-1</f>
        <v>-0.24712918973121067</v>
      </c>
      <c r="G98" s="352">
        <f t="shared" ref="G98" si="53">G97/$B97-1</f>
        <v>-0.39160902003590659</v>
      </c>
      <c r="H98" s="352">
        <f t="shared" ref="H98" si="54">H97/$B97-1</f>
        <v>-0.46007092610278366</v>
      </c>
    </row>
    <row r="103" spans="1:8" ht="38.25" x14ac:dyDescent="0.25">
      <c r="C103" s="309" t="s">
        <v>194</v>
      </c>
      <c r="D103" s="309" t="s">
        <v>223</v>
      </c>
      <c r="E103" s="309" t="s">
        <v>224</v>
      </c>
      <c r="F103" s="309" t="s">
        <v>222</v>
      </c>
      <c r="G103" s="309" t="s">
        <v>225</v>
      </c>
    </row>
    <row r="104" spans="1:8" x14ac:dyDescent="0.25">
      <c r="C104" s="310">
        <v>2013</v>
      </c>
      <c r="D104" s="311">
        <f>Umlaufmenge!C6</f>
        <v>2199.4292489999998</v>
      </c>
      <c r="E104" s="311">
        <f>Umlaufmenge!D6</f>
        <v>1959.7103279999999</v>
      </c>
      <c r="F104" s="311">
        <f>Umlaufmenge!E6</f>
        <v>-400</v>
      </c>
      <c r="G104" s="311">
        <f>Umlaufmenge!F6</f>
        <v>3759.1395769999999</v>
      </c>
    </row>
    <row r="105" spans="1:8" x14ac:dyDescent="0.25">
      <c r="C105" s="310">
        <v>2015</v>
      </c>
      <c r="D105" s="311">
        <f>Umlaufmenge!C8</f>
        <v>1874.728824</v>
      </c>
      <c r="E105" s="311">
        <f>Umlaufmenge!D8</f>
        <v>1988.21</v>
      </c>
      <c r="F105" s="311">
        <f>Umlaufmenge!E8</f>
        <v>-400</v>
      </c>
      <c r="G105" s="311">
        <f>Umlaufmenge!F8</f>
        <v>3462.9388239999998</v>
      </c>
    </row>
    <row r="106" spans="1:8" x14ac:dyDescent="0.25">
      <c r="C106" s="310">
        <v>2020</v>
      </c>
      <c r="D106" s="311">
        <f>Umlaufmenge!C13</f>
        <v>307.71187400000002</v>
      </c>
      <c r="E106" s="311">
        <f>Umlaufmenge!D13</f>
        <v>1963.62</v>
      </c>
      <c r="F106" s="311">
        <f>Umlaufmenge!E13</f>
        <v>-400</v>
      </c>
      <c r="G106" s="311">
        <f>Umlaufmenge!F13</f>
        <v>1871.331874</v>
      </c>
    </row>
    <row r="107" spans="1:8" x14ac:dyDescent="0.25">
      <c r="C107" s="310">
        <v>2025</v>
      </c>
      <c r="D107" s="311">
        <f>Umlaufmenge!C18</f>
        <v>224.031364</v>
      </c>
      <c r="E107" s="311">
        <f>Umlaufmenge!D18</f>
        <v>1671</v>
      </c>
      <c r="F107" s="311">
        <f>Umlaufmenge!E18</f>
        <v>-400</v>
      </c>
      <c r="G107" s="311">
        <f>Umlaufmenge!F18</f>
        <v>1495.0313639999999</v>
      </c>
    </row>
    <row r="108" spans="1:8" x14ac:dyDescent="0.25">
      <c r="C108" s="310">
        <v>2030</v>
      </c>
      <c r="D108" s="311">
        <f>Umlaufmenge!C23</f>
        <v>326.08882899999998</v>
      </c>
      <c r="E108" s="311">
        <f>Umlaufmenge!D23</f>
        <v>1401</v>
      </c>
      <c r="F108" s="311">
        <f>Umlaufmenge!E23</f>
        <v>-400</v>
      </c>
      <c r="G108" s="311">
        <f>Umlaufmenge!F23</f>
        <v>1327.088829</v>
      </c>
    </row>
    <row r="110" spans="1:8" x14ac:dyDescent="0.25">
      <c r="C110" s="309" t="s">
        <v>194</v>
      </c>
      <c r="D110" s="310">
        <v>2013</v>
      </c>
      <c r="E110" s="310">
        <v>2015</v>
      </c>
      <c r="F110" s="310">
        <v>2020</v>
      </c>
      <c r="G110" s="310">
        <v>2025</v>
      </c>
      <c r="H110" s="310">
        <v>2030</v>
      </c>
    </row>
    <row r="111" spans="1:8" ht="25.5" x14ac:dyDescent="0.25">
      <c r="C111" s="309" t="s">
        <v>223</v>
      </c>
      <c r="D111" s="311">
        <f t="array" ref="D111:H114">TRANSPOSE(D104:G108)</f>
        <v>2199.4292489999998</v>
      </c>
      <c r="E111" s="311">
        <v>1874.728824</v>
      </c>
      <c r="F111" s="311">
        <v>307.71187400000002</v>
      </c>
      <c r="G111" s="311">
        <v>224.031364</v>
      </c>
      <c r="H111" s="311">
        <v>326.08882899999998</v>
      </c>
    </row>
    <row r="112" spans="1:8" ht="38.25" x14ac:dyDescent="0.25">
      <c r="C112" s="309" t="s">
        <v>224</v>
      </c>
      <c r="D112" s="311">
        <v>1959.7103279999999</v>
      </c>
      <c r="E112" s="311">
        <v>1988.21</v>
      </c>
      <c r="F112" s="311">
        <v>1963.62</v>
      </c>
      <c r="G112" s="311">
        <v>1671</v>
      </c>
      <c r="H112" s="311">
        <v>1401</v>
      </c>
    </row>
    <row r="113" spans="1:11" ht="25.5" x14ac:dyDescent="0.25">
      <c r="C113" s="309" t="s">
        <v>222</v>
      </c>
      <c r="D113" s="311">
        <v>-400</v>
      </c>
      <c r="E113" s="311">
        <v>-400</v>
      </c>
      <c r="F113" s="311">
        <v>-400</v>
      </c>
      <c r="G113" s="311">
        <v>-400</v>
      </c>
      <c r="H113" s="311">
        <v>-400</v>
      </c>
    </row>
    <row r="114" spans="1:11" ht="28.5" x14ac:dyDescent="0.25">
      <c r="C114" s="309" t="s">
        <v>225</v>
      </c>
      <c r="D114" s="311">
        <v>3759.1395769999999</v>
      </c>
      <c r="E114" s="311">
        <v>3462.9388239999998</v>
      </c>
      <c r="F114" s="311">
        <v>1871.331874</v>
      </c>
      <c r="G114" s="311">
        <v>1495.0313639999999</v>
      </c>
      <c r="H114" s="311">
        <v>1327.088829</v>
      </c>
    </row>
    <row r="118" spans="1:11" x14ac:dyDescent="0.25">
      <c r="B118" s="296"/>
      <c r="C118" s="345">
        <v>2011</v>
      </c>
      <c r="D118" s="327">
        <v>2015</v>
      </c>
      <c r="E118" s="327">
        <v>2020</v>
      </c>
      <c r="F118" s="327">
        <v>2025</v>
      </c>
      <c r="G118" s="327">
        <v>2030</v>
      </c>
      <c r="H118" s="327">
        <v>2035</v>
      </c>
      <c r="I118" s="297">
        <v>2040</v>
      </c>
      <c r="J118" s="297">
        <v>2045</v>
      </c>
      <c r="K118" s="298">
        <v>2050</v>
      </c>
    </row>
    <row r="119" spans="1:11" x14ac:dyDescent="0.25">
      <c r="A119" s="62" t="s">
        <v>206</v>
      </c>
      <c r="B119" s="299" t="s">
        <v>190</v>
      </c>
      <c r="C119" s="346">
        <f>E131</f>
        <v>1</v>
      </c>
      <c r="D119" s="328">
        <v>0.94</v>
      </c>
      <c r="E119" s="328">
        <f>F131</f>
        <v>0.76257478023766889</v>
      </c>
      <c r="F119" s="328">
        <f>(E119+G119)/2</f>
        <v>0.64386217035650328</v>
      </c>
      <c r="G119" s="374">
        <f>G131</f>
        <v>0.52514956047533778</v>
      </c>
      <c r="H119" s="328">
        <f>(G119+I119)/2</f>
        <v>0.40844965814748491</v>
      </c>
      <c r="I119" s="300">
        <f>H131</f>
        <v>0.29174975581963203</v>
      </c>
      <c r="J119" s="300">
        <f>(I119+K119)/2</f>
        <v>0.17504985349177923</v>
      </c>
      <c r="K119" s="301">
        <f>I131</f>
        <v>5.8349951163926446E-2</v>
      </c>
    </row>
    <row r="121" spans="1:11" x14ac:dyDescent="0.25">
      <c r="C121">
        <v>2011</v>
      </c>
      <c r="D121">
        <v>2015</v>
      </c>
      <c r="E121">
        <v>2020</v>
      </c>
      <c r="F121">
        <v>2025</v>
      </c>
      <c r="G121">
        <v>2030</v>
      </c>
      <c r="H121">
        <v>2035</v>
      </c>
      <c r="I121">
        <v>2040</v>
      </c>
      <c r="J121">
        <v>2045</v>
      </c>
      <c r="K121">
        <v>2050</v>
      </c>
    </row>
    <row r="122" spans="1:11" x14ac:dyDescent="0.25">
      <c r="A122" t="s">
        <v>269</v>
      </c>
      <c r="B122" t="s">
        <v>190</v>
      </c>
      <c r="C122">
        <v>1</v>
      </c>
      <c r="D122">
        <v>0.93552725591560537</v>
      </c>
      <c r="E122">
        <v>0.83620272469093548</v>
      </c>
      <c r="F122">
        <v>0.7368781934662656</v>
      </c>
      <c r="G122">
        <v>0.6375536622415956</v>
      </c>
      <c r="H122">
        <v>0.53822913101692571</v>
      </c>
      <c r="I122">
        <v>0.43890459979225577</v>
      </c>
      <c r="J122">
        <v>0.33958006856758582</v>
      </c>
      <c r="K122">
        <v>0.24025553734291591</v>
      </c>
    </row>
    <row r="127" spans="1:11" x14ac:dyDescent="0.25">
      <c r="B127" t="s">
        <v>252</v>
      </c>
      <c r="C127">
        <v>1990</v>
      </c>
      <c r="D127">
        <v>2005</v>
      </c>
      <c r="E127">
        <v>2011</v>
      </c>
      <c r="F127">
        <v>2020</v>
      </c>
      <c r="G127">
        <v>2030</v>
      </c>
      <c r="H127">
        <v>2040</v>
      </c>
      <c r="I127">
        <v>2050</v>
      </c>
    </row>
    <row r="128" spans="1:11" x14ac:dyDescent="0.25">
      <c r="B128" s="531">
        <v>0.8</v>
      </c>
      <c r="C128" s="375">
        <v>5735.1</v>
      </c>
      <c r="D128" s="375">
        <v>5399.3</v>
      </c>
      <c r="E128" s="375">
        <v>4914.3999999999996</v>
      </c>
      <c r="F128">
        <f>(E128+G128)/2</f>
        <v>4177.7299999999996</v>
      </c>
      <c r="G128">
        <f>C128-C128*0.4</f>
        <v>3441.06</v>
      </c>
      <c r="H128">
        <f>C128-C128*0.6</f>
        <v>2294.0400000000004</v>
      </c>
      <c r="I128">
        <f>C128-C128*0.8</f>
        <v>1147.0199999999995</v>
      </c>
    </row>
    <row r="129" spans="1:23" x14ac:dyDescent="0.25">
      <c r="B129" s="531"/>
      <c r="C129">
        <f t="shared" ref="C129:H129" si="55">C128/$E$128</f>
        <v>1.1669990232785286</v>
      </c>
      <c r="D129">
        <f t="shared" si="55"/>
        <v>1.0986692169949537</v>
      </c>
      <c r="E129">
        <f t="shared" si="55"/>
        <v>1</v>
      </c>
      <c r="F129">
        <f t="shared" si="55"/>
        <v>0.85009970698355852</v>
      </c>
      <c r="G129">
        <f t="shared" si="55"/>
        <v>0.70019941396711705</v>
      </c>
      <c r="H129">
        <f t="shared" si="55"/>
        <v>0.46679960931141146</v>
      </c>
      <c r="I129">
        <f>I128/$E$128</f>
        <v>0.23339980465570559</v>
      </c>
    </row>
    <row r="130" spans="1:23" x14ac:dyDescent="0.25">
      <c r="B130" s="531">
        <v>0.95</v>
      </c>
      <c r="C130" s="375">
        <v>5735.1</v>
      </c>
      <c r="D130" s="375">
        <v>5399.3</v>
      </c>
      <c r="E130" s="375">
        <v>4914.3999999999996</v>
      </c>
      <c r="F130">
        <f>(E130+G130)/2</f>
        <v>3747.5974999999999</v>
      </c>
      <c r="G130">
        <f>C130-C130*0.55</f>
        <v>2580.7950000000001</v>
      </c>
      <c r="H130">
        <f>C130-C130*0.75</f>
        <v>1433.7749999999996</v>
      </c>
      <c r="I130">
        <f>C130-C130*0.95</f>
        <v>286.75500000000011</v>
      </c>
    </row>
    <row r="131" spans="1:23" x14ac:dyDescent="0.25">
      <c r="B131" s="531"/>
      <c r="C131">
        <f t="shared" ref="C131" si="56">C130/$E$128</f>
        <v>1.1669990232785286</v>
      </c>
      <c r="D131">
        <f t="shared" ref="D131" si="57">D130/$E$128</f>
        <v>1.0986692169949537</v>
      </c>
      <c r="E131">
        <f t="shared" ref="E131" si="58">E130/$E$128</f>
        <v>1</v>
      </c>
      <c r="F131">
        <f t="shared" ref="F131" si="59">F130/$E$128</f>
        <v>0.76257478023766889</v>
      </c>
      <c r="G131">
        <f t="shared" ref="G131" si="60">G130/$E$128</f>
        <v>0.52514956047533778</v>
      </c>
      <c r="H131">
        <f t="shared" ref="H131" si="61">H130/$E$128</f>
        <v>0.29174975581963203</v>
      </c>
      <c r="I131">
        <f>I130/$E$128</f>
        <v>5.8349951163926446E-2</v>
      </c>
    </row>
    <row r="136" spans="1:23" x14ac:dyDescent="0.25">
      <c r="A136" s="532" t="s">
        <v>266</v>
      </c>
      <c r="B136" s="296"/>
      <c r="C136" s="297">
        <v>2011</v>
      </c>
      <c r="D136" s="297">
        <v>2015</v>
      </c>
      <c r="E136" s="297">
        <v>2020</v>
      </c>
      <c r="F136" s="297">
        <v>2025</v>
      </c>
      <c r="G136" s="297">
        <v>2030</v>
      </c>
      <c r="H136" s="297">
        <v>2035</v>
      </c>
      <c r="I136" s="297">
        <v>2040</v>
      </c>
      <c r="J136" s="297">
        <v>2045</v>
      </c>
      <c r="K136" s="298">
        <v>2050</v>
      </c>
      <c r="L136" t="s">
        <v>267</v>
      </c>
      <c r="N136" s="296"/>
      <c r="O136" s="297">
        <v>2011</v>
      </c>
      <c r="P136" s="297">
        <v>2015</v>
      </c>
      <c r="Q136" s="297">
        <v>2020</v>
      </c>
      <c r="R136" s="297">
        <v>2025</v>
      </c>
      <c r="S136" s="297">
        <v>2030</v>
      </c>
      <c r="T136" s="297">
        <v>2035</v>
      </c>
      <c r="U136" s="297">
        <v>2040</v>
      </c>
      <c r="V136" s="297">
        <v>2045</v>
      </c>
      <c r="W136" s="298">
        <v>2050</v>
      </c>
    </row>
    <row r="137" spans="1:23" x14ac:dyDescent="0.25">
      <c r="A137" s="532"/>
      <c r="B137" s="389" t="s">
        <v>89</v>
      </c>
      <c r="C137" s="293">
        <f>O137*(((1-$L137)*($K$136-C$136)/($K$136-$C$136))+$L137)</f>
        <v>1</v>
      </c>
      <c r="D137" s="293">
        <f t="shared" ref="D137:K145" si="62">P137*(((1-$L137)*($K$136-D$136)/($K$136-$C$136))+$L137)</f>
        <v>1.1663481248776226</v>
      </c>
      <c r="E137" s="293">
        <f t="shared" si="62"/>
        <v>1.2216101291090593</v>
      </c>
      <c r="F137" s="293">
        <f t="shared" si="62"/>
        <v>1.2013176020474468</v>
      </c>
      <c r="G137" s="293">
        <f t="shared" si="62"/>
        <v>1.1323230100379651</v>
      </c>
      <c r="H137" s="293">
        <f t="shared" si="62"/>
        <v>1.0146263530806139</v>
      </c>
      <c r="I137" s="293">
        <f t="shared" si="62"/>
        <v>0.84822763117539335</v>
      </c>
      <c r="J137" s="293">
        <f t="shared" si="62"/>
        <v>0.63312684432230304</v>
      </c>
      <c r="K137" s="113">
        <f t="shared" si="62"/>
        <v>0.36932399252134351</v>
      </c>
      <c r="L137" s="52">
        <v>2.5</v>
      </c>
      <c r="N137" s="389" t="s">
        <v>89</v>
      </c>
      <c r="O137" s="293">
        <v>1</v>
      </c>
      <c r="P137" s="293">
        <v>1.0108350415606064</v>
      </c>
      <c r="Q137" s="293">
        <v>0.90748181019530105</v>
      </c>
      <c r="R137" s="293">
        <v>0.78085644133084042</v>
      </c>
      <c r="S137" s="293">
        <v>0.65423107246637979</v>
      </c>
      <c r="T137" s="293">
        <v>0.52760570360191916</v>
      </c>
      <c r="U137" s="293">
        <v>0.40098033473745864</v>
      </c>
      <c r="V137" s="293">
        <v>0.27435496587299801</v>
      </c>
      <c r="W137" s="113">
        <v>0.14772959700853741</v>
      </c>
    </row>
    <row r="138" spans="1:23" x14ac:dyDescent="0.25">
      <c r="B138" s="389" t="s">
        <v>71</v>
      </c>
      <c r="C138" s="293">
        <f t="shared" ref="C138:C145" si="63">O138*(((1-$L138)*($K$136-C$136)/($K$136-$C$136))+$L138)</f>
        <v>1</v>
      </c>
      <c r="D138" s="293">
        <f t="shared" si="62"/>
        <v>1.1540358064026701</v>
      </c>
      <c r="E138" s="293">
        <f t="shared" si="62"/>
        <v>1.254578950252027</v>
      </c>
      <c r="F138" s="293">
        <f t="shared" si="62"/>
        <v>1.2420748411133022</v>
      </c>
      <c r="G138" s="293">
        <f t="shared" si="62"/>
        <v>1.1816383136094675</v>
      </c>
      <c r="H138" s="293">
        <f t="shared" si="62"/>
        <v>1.0732693677405216</v>
      </c>
      <c r="I138" s="293">
        <f t="shared" si="62"/>
        <v>0.9169680035064649</v>
      </c>
      <c r="J138" s="293">
        <f t="shared" si="62"/>
        <v>0.71273422090729777</v>
      </c>
      <c r="K138" s="113">
        <f t="shared" si="62"/>
        <v>0.46056801994301999</v>
      </c>
      <c r="L138" s="52">
        <v>2.5</v>
      </c>
      <c r="N138" s="389" t="s">
        <v>71</v>
      </c>
      <c r="O138" s="293">
        <v>1</v>
      </c>
      <c r="P138" s="293">
        <v>1.0001643655489809</v>
      </c>
      <c r="Q138" s="293">
        <v>0.93197293447293428</v>
      </c>
      <c r="R138" s="293">
        <v>0.80734864672364659</v>
      </c>
      <c r="S138" s="293">
        <v>0.6827243589743589</v>
      </c>
      <c r="T138" s="293">
        <v>0.55810007122507121</v>
      </c>
      <c r="U138" s="293">
        <v>0.43347578347578342</v>
      </c>
      <c r="V138" s="293">
        <v>0.30885149572649573</v>
      </c>
      <c r="W138" s="113">
        <v>0.18422720797720799</v>
      </c>
    </row>
    <row r="139" spans="1:23" x14ac:dyDescent="0.25">
      <c r="B139" s="389" t="s">
        <v>261</v>
      </c>
      <c r="C139" s="293">
        <f t="shared" si="63"/>
        <v>1</v>
      </c>
      <c r="D139" s="293">
        <f t="shared" si="62"/>
        <v>1.0649504310569493</v>
      </c>
      <c r="E139" s="293">
        <f t="shared" si="62"/>
        <v>1.2909704775506372</v>
      </c>
      <c r="F139" s="293">
        <f t="shared" si="62"/>
        <v>1.3124151698687538</v>
      </c>
      <c r="G139" s="293">
        <f t="shared" si="62"/>
        <v>1.293114946782449</v>
      </c>
      <c r="H139" s="293">
        <f t="shared" si="62"/>
        <v>1.2330698082917217</v>
      </c>
      <c r="I139" s="293">
        <f t="shared" si="62"/>
        <v>1.1322797543965724</v>
      </c>
      <c r="J139" s="293">
        <f t="shared" si="62"/>
        <v>0.99074478509700081</v>
      </c>
      <c r="K139" s="113">
        <f t="shared" si="62"/>
        <v>0.80846490039300722</v>
      </c>
      <c r="L139" s="52">
        <v>2.5</v>
      </c>
      <c r="N139" s="389" t="s">
        <v>261</v>
      </c>
      <c r="O139" s="293">
        <v>1</v>
      </c>
      <c r="P139" s="293">
        <v>0.92295704024935621</v>
      </c>
      <c r="Q139" s="293">
        <v>0.95900664046618755</v>
      </c>
      <c r="R139" s="293">
        <v>0.85306986041469013</v>
      </c>
      <c r="S139" s="293">
        <v>0.7471330803631927</v>
      </c>
      <c r="T139" s="293">
        <v>0.64119630031169528</v>
      </c>
      <c r="U139" s="293">
        <v>0.53525952026019785</v>
      </c>
      <c r="V139" s="293">
        <v>0.42932274020870037</v>
      </c>
      <c r="W139" s="113">
        <v>0.32338596015720289</v>
      </c>
    </row>
    <row r="140" spans="1:23" x14ac:dyDescent="0.25">
      <c r="B140" s="389" t="s">
        <v>262</v>
      </c>
      <c r="C140" s="293">
        <f t="shared" si="63"/>
        <v>1</v>
      </c>
      <c r="D140" s="293">
        <f t="shared" si="62"/>
        <v>1.0949899896278072</v>
      </c>
      <c r="E140" s="293">
        <f t="shared" si="62"/>
        <v>1.4116632896736381</v>
      </c>
      <c r="F140" s="293">
        <f t="shared" si="62"/>
        <v>1.4647333381576086</v>
      </c>
      <c r="G140" s="293">
        <f t="shared" si="62"/>
        <v>1.4806543527028002</v>
      </c>
      <c r="H140" s="293">
        <f t="shared" si="62"/>
        <v>1.4594263333092117</v>
      </c>
      <c r="I140" s="293">
        <f t="shared" si="62"/>
        <v>1.4010492799768433</v>
      </c>
      <c r="J140" s="293">
        <f t="shared" si="62"/>
        <v>1.3055231927056949</v>
      </c>
      <c r="K140" s="113">
        <f t="shared" si="62"/>
        <v>1.1728480714957668</v>
      </c>
      <c r="L140" s="52">
        <v>2.5</v>
      </c>
      <c r="N140" s="389" t="s">
        <v>262</v>
      </c>
      <c r="O140" s="293">
        <v>1</v>
      </c>
      <c r="P140" s="293">
        <v>0.94899132434409961</v>
      </c>
      <c r="Q140" s="293">
        <v>1.0486641580432738</v>
      </c>
      <c r="R140" s="293">
        <v>0.95207666980244576</v>
      </c>
      <c r="S140" s="293">
        <v>0.85548918156161791</v>
      </c>
      <c r="T140" s="293">
        <v>0.75890169332079005</v>
      </c>
      <c r="U140" s="293">
        <v>0.6623142050799623</v>
      </c>
      <c r="V140" s="293">
        <v>0.56572671683913456</v>
      </c>
      <c r="W140" s="113">
        <v>0.4691392285983067</v>
      </c>
    </row>
    <row r="141" spans="1:23" x14ac:dyDescent="0.25">
      <c r="B141" s="389" t="s">
        <v>263</v>
      </c>
      <c r="C141" s="293">
        <f t="shared" si="63"/>
        <v>1</v>
      </c>
      <c r="D141" s="293">
        <f t="shared" si="62"/>
        <v>1.1183541891634377</v>
      </c>
      <c r="E141" s="293">
        <f t="shared" si="62"/>
        <v>1.3829813250333483</v>
      </c>
      <c r="F141" s="293">
        <f t="shared" si="62"/>
        <v>1.3829813250333478</v>
      </c>
      <c r="G141" s="293">
        <f t="shared" si="62"/>
        <v>1.3335891348535858</v>
      </c>
      <c r="H141" s="293">
        <f t="shared" si="62"/>
        <v>1.2348047544940608</v>
      </c>
      <c r="I141" s="293">
        <f t="shared" si="62"/>
        <v>1.0866281839547736</v>
      </c>
      <c r="J141" s="293">
        <f t="shared" si="62"/>
        <v>0.88905942323572373</v>
      </c>
      <c r="K141" s="113">
        <f t="shared" si="62"/>
        <v>0.64209847233691164</v>
      </c>
      <c r="L141" s="52">
        <v>2.5</v>
      </c>
      <c r="N141" s="389" t="s">
        <v>263</v>
      </c>
      <c r="O141" s="293">
        <v>1</v>
      </c>
      <c r="P141" s="293">
        <v>0.96924029727497929</v>
      </c>
      <c r="Q141" s="293">
        <v>1.0273575557390586</v>
      </c>
      <c r="R141" s="293">
        <v>0.89893786127167619</v>
      </c>
      <c r="S141" s="293">
        <v>0.77051816680429397</v>
      </c>
      <c r="T141" s="293">
        <v>0.64209847233691164</v>
      </c>
      <c r="U141" s="293">
        <v>0.51367877786952931</v>
      </c>
      <c r="V141" s="293">
        <v>0.38525908340214698</v>
      </c>
      <c r="W141" s="113">
        <v>0.25683938893476466</v>
      </c>
    </row>
    <row r="142" spans="1:23" x14ac:dyDescent="0.25">
      <c r="B142" s="389" t="s">
        <v>264</v>
      </c>
      <c r="C142" s="293">
        <f t="shared" si="63"/>
        <v>1</v>
      </c>
      <c r="D142" s="293">
        <f t="shared" si="62"/>
        <v>1.0623489924897938</v>
      </c>
      <c r="E142" s="293">
        <f t="shared" si="62"/>
        <v>1.3563666402837458</v>
      </c>
      <c r="F142" s="293">
        <f t="shared" si="62"/>
        <v>1.4122781751746629</v>
      </c>
      <c r="G142" s="293">
        <f t="shared" si="62"/>
        <v>1.4337259280638905</v>
      </c>
      <c r="H142" s="293">
        <f t="shared" si="62"/>
        <v>1.4207098989514277</v>
      </c>
      <c r="I142" s="293">
        <f t="shared" si="62"/>
        <v>1.3732300878372752</v>
      </c>
      <c r="J142" s="293">
        <f t="shared" si="62"/>
        <v>1.2912864947214322</v>
      </c>
      <c r="K142" s="113">
        <f t="shared" si="62"/>
        <v>1.1748791196038995</v>
      </c>
      <c r="L142" s="52">
        <v>2.5</v>
      </c>
      <c r="N142" s="389" t="s">
        <v>264</v>
      </c>
      <c r="O142" s="293">
        <v>1</v>
      </c>
      <c r="P142" s="293">
        <v>0.92070246015782142</v>
      </c>
      <c r="Q142" s="293">
        <v>1.0075866470679253</v>
      </c>
      <c r="R142" s="293">
        <v>0.91798081386353103</v>
      </c>
      <c r="S142" s="293">
        <v>0.82837498065913673</v>
      </c>
      <c r="T142" s="293">
        <v>0.73876914745474243</v>
      </c>
      <c r="U142" s="293">
        <v>0.64916331425034823</v>
      </c>
      <c r="V142" s="293">
        <v>0.55955748104595404</v>
      </c>
      <c r="W142" s="113">
        <v>0.46995164784155974</v>
      </c>
    </row>
    <row r="143" spans="1:23" x14ac:dyDescent="0.25">
      <c r="B143" s="389" t="s">
        <v>265</v>
      </c>
      <c r="C143" s="293">
        <f t="shared" si="63"/>
        <v>1</v>
      </c>
      <c r="D143" s="293">
        <f t="shared" si="62"/>
        <v>1.0532127056414331</v>
      </c>
      <c r="E143" s="293">
        <f t="shared" si="62"/>
        <v>1.1887205721664844</v>
      </c>
      <c r="F143" s="293">
        <f t="shared" si="62"/>
        <v>1.1971498651343686</v>
      </c>
      <c r="G143" s="293">
        <f t="shared" si="62"/>
        <v>1.1652321751954215</v>
      </c>
      <c r="H143" s="293">
        <f t="shared" si="62"/>
        <v>1.0929675023496419</v>
      </c>
      <c r="I143" s="293">
        <f t="shared" si="62"/>
        <v>0.98035584659703057</v>
      </c>
      <c r="J143" s="293">
        <f t="shared" si="62"/>
        <v>0.82739720793758731</v>
      </c>
      <c r="K143" s="113">
        <f t="shared" si="62"/>
        <v>0.63409158637131213</v>
      </c>
      <c r="L143" s="52">
        <v>2.5</v>
      </c>
      <c r="N143" s="389" t="s">
        <v>265</v>
      </c>
      <c r="O143" s="293">
        <v>1</v>
      </c>
      <c r="P143" s="293">
        <v>0.91278434488924209</v>
      </c>
      <c r="Q143" s="293">
        <v>0.88304956789510269</v>
      </c>
      <c r="R143" s="293">
        <v>0.77814741233733964</v>
      </c>
      <c r="S143" s="293">
        <v>0.67324525677957681</v>
      </c>
      <c r="T143" s="293">
        <v>0.56834310122181375</v>
      </c>
      <c r="U143" s="293">
        <v>0.46344094566405081</v>
      </c>
      <c r="V143" s="293">
        <v>0.35853879010628786</v>
      </c>
      <c r="W143" s="113">
        <v>0.25363663454852486</v>
      </c>
    </row>
    <row r="144" spans="1:23" x14ac:dyDescent="0.25">
      <c r="B144" s="389" t="s">
        <v>66</v>
      </c>
      <c r="C144" s="293">
        <f t="shared" si="63"/>
        <v>1</v>
      </c>
      <c r="D144" s="293">
        <f t="shared" si="62"/>
        <v>1.095212693859883</v>
      </c>
      <c r="E144" s="293">
        <f t="shared" si="62"/>
        <v>1.2418902404365375</v>
      </c>
      <c r="F144" s="293">
        <f t="shared" si="62"/>
        <v>1.2627190010012723</v>
      </c>
      <c r="G144" s="293">
        <f t="shared" si="62"/>
        <v>1.2444017288344575</v>
      </c>
      <c r="H144" s="293">
        <f t="shared" si="62"/>
        <v>1.1869384239360934</v>
      </c>
      <c r="I144" s="293">
        <f t="shared" si="62"/>
        <v>1.0903290863061796</v>
      </c>
      <c r="J144" s="293">
        <f t="shared" si="62"/>
        <v>0.95457371594471563</v>
      </c>
      <c r="K144" s="113">
        <f t="shared" si="62"/>
        <v>0.77967231285170235</v>
      </c>
      <c r="L144" s="52">
        <v>2.5</v>
      </c>
      <c r="N144" s="389" t="s">
        <v>66</v>
      </c>
      <c r="O144" s="293">
        <v>1</v>
      </c>
      <c r="P144" s="293">
        <v>0.94918433467856533</v>
      </c>
      <c r="Q144" s="293">
        <v>0.92254703575285635</v>
      </c>
      <c r="R144" s="293">
        <v>0.82076735065082707</v>
      </c>
      <c r="S144" s="293">
        <v>0.71898766554879767</v>
      </c>
      <c r="T144" s="293">
        <v>0.6172079804467685</v>
      </c>
      <c r="U144" s="293">
        <v>0.51542829534473944</v>
      </c>
      <c r="V144" s="293">
        <v>0.41364861024271016</v>
      </c>
      <c r="W144" s="113">
        <v>0.31186892514068093</v>
      </c>
    </row>
    <row r="145" spans="1:23" x14ac:dyDescent="0.25">
      <c r="B145" s="390" t="s">
        <v>70</v>
      </c>
      <c r="C145" s="38">
        <f t="shared" si="63"/>
        <v>1</v>
      </c>
      <c r="D145" s="38">
        <f t="shared" si="62"/>
        <v>1.0967768661711577</v>
      </c>
      <c r="E145" s="38">
        <f t="shared" si="62"/>
        <v>1.542420795241719</v>
      </c>
      <c r="F145" s="38">
        <f t="shared" si="62"/>
        <v>1.6021460668522827</v>
      </c>
      <c r="G145" s="38">
        <f t="shared" si="62"/>
        <v>1.6217161993925691</v>
      </c>
      <c r="H145" s="38">
        <f t="shared" si="62"/>
        <v>1.601131192862578</v>
      </c>
      <c r="I145" s="38">
        <f t="shared" si="62"/>
        <v>1.5403910472623095</v>
      </c>
      <c r="J145" s="38">
        <f t="shared" si="62"/>
        <v>1.4394957625917633</v>
      </c>
      <c r="K145" s="195">
        <f t="shared" si="62"/>
        <v>1.29844533885094</v>
      </c>
      <c r="L145" s="52">
        <v>2.5</v>
      </c>
      <c r="N145" s="390" t="s">
        <v>70</v>
      </c>
      <c r="O145" s="38">
        <v>1</v>
      </c>
      <c r="P145" s="38">
        <v>0.95053995068167008</v>
      </c>
      <c r="Q145" s="38">
        <v>1.1457983050367055</v>
      </c>
      <c r="R145" s="38">
        <v>1.0413949434539838</v>
      </c>
      <c r="S145" s="38">
        <v>0.93699158187126208</v>
      </c>
      <c r="T145" s="38">
        <v>0.83258822028854051</v>
      </c>
      <c r="U145" s="38">
        <v>0.72818485870581906</v>
      </c>
      <c r="V145" s="38">
        <v>0.62378149712309749</v>
      </c>
      <c r="W145" s="195">
        <v>0.51937813554037604</v>
      </c>
    </row>
    <row r="151" spans="1:23" x14ac:dyDescent="0.25">
      <c r="A151" s="532" t="s">
        <v>268</v>
      </c>
      <c r="B151" s="296"/>
      <c r="C151" s="297">
        <v>2011</v>
      </c>
      <c r="D151" s="297">
        <v>2015</v>
      </c>
      <c r="E151" s="297">
        <v>2020</v>
      </c>
      <c r="F151" s="297">
        <v>2025</v>
      </c>
      <c r="G151" s="297">
        <v>2030</v>
      </c>
      <c r="H151" s="297">
        <v>2035</v>
      </c>
      <c r="I151" s="297">
        <v>2040</v>
      </c>
      <c r="J151" s="297">
        <v>2045</v>
      </c>
      <c r="K151" s="298">
        <v>2050</v>
      </c>
      <c r="L151" t="s">
        <v>267</v>
      </c>
      <c r="N151" s="296"/>
      <c r="O151" s="297">
        <v>2011</v>
      </c>
      <c r="P151" s="297">
        <v>2015</v>
      </c>
      <c r="Q151" s="297">
        <v>2020</v>
      </c>
      <c r="R151" s="297">
        <v>2025</v>
      </c>
      <c r="S151" s="297">
        <v>2030</v>
      </c>
      <c r="T151" s="297">
        <v>2035</v>
      </c>
      <c r="U151" s="297">
        <v>2040</v>
      </c>
      <c r="V151" s="297">
        <v>2045</v>
      </c>
      <c r="W151" s="298">
        <v>2050</v>
      </c>
    </row>
    <row r="152" spans="1:23" x14ac:dyDescent="0.25">
      <c r="A152" s="532"/>
      <c r="B152" s="389" t="s">
        <v>89</v>
      </c>
      <c r="C152" s="293">
        <f>O152*(((1-$L152)*($K$136-C$136)/($K$136-$C$136))+$L152)</f>
        <v>1</v>
      </c>
      <c r="D152" s="293">
        <f t="shared" ref="D152:D160" si="64">P152*(((1-$L152)*($K$136-D$136)/($K$136-$C$136))+$L152)</f>
        <v>0.9745486554533026</v>
      </c>
      <c r="E152" s="293">
        <f t="shared" ref="E152:E160" si="65">Q152*(((1-$L152)*($K$136-E$136)/($K$136-$C$136))+$L152)</f>
        <v>0.8341852024487576</v>
      </c>
      <c r="F152" s="293">
        <f t="shared" ref="F152:F160" si="66">R152*(((1-$L152)*($K$136-F$136)/($K$136-$C$136))+$L152)</f>
        <v>0.68274883716363222</v>
      </c>
      <c r="G152" s="293">
        <f t="shared" ref="G152:G160" si="67">S152*(((1-$L152)*($K$136-G$136)/($K$136-$C$136))+$L152)</f>
        <v>0.54267628703300996</v>
      </c>
      <c r="H152" s="293">
        <f t="shared" ref="H152:H160" si="68">T152*(((1-$L152)*($K$136-H$136)/($K$136-$C$136))+$L152)</f>
        <v>0.4139675520568904</v>
      </c>
      <c r="I152" s="293">
        <f t="shared" ref="I152:I160" si="69">U152*(((1-$L152)*($K$136-I$136)/($K$136-$C$136))+$L152)</f>
        <v>0.29662263223527391</v>
      </c>
      <c r="J152" s="293">
        <f t="shared" ref="J152:J160" si="70">V152*(((1-$L152)*($K$136-J$136)/($K$136-$C$136))+$L152)</f>
        <v>0.19064152756816016</v>
      </c>
      <c r="K152" s="113">
        <f t="shared" ref="K152:K160" si="71">W152*(((1-$L152)*($K$136-K$136)/($K$136-$C$136))+$L152)</f>
        <v>9.6024238055549327E-2</v>
      </c>
      <c r="L152" s="52">
        <v>0.65</v>
      </c>
      <c r="N152" s="389" t="s">
        <v>89</v>
      </c>
      <c r="O152" s="293">
        <v>1</v>
      </c>
      <c r="P152" s="293">
        <v>1.0108350415606064</v>
      </c>
      <c r="Q152" s="293">
        <v>0.90748181019530105</v>
      </c>
      <c r="R152" s="293">
        <v>0.78085644133084042</v>
      </c>
      <c r="S152" s="293">
        <v>0.65423107246637979</v>
      </c>
      <c r="T152" s="293">
        <v>0.52760570360191916</v>
      </c>
      <c r="U152" s="293">
        <v>0.40098033473745864</v>
      </c>
      <c r="V152" s="293">
        <v>0.27435496587299801</v>
      </c>
      <c r="W152" s="113">
        <v>0.14772959700853741</v>
      </c>
    </row>
    <row r="153" spans="1:23" x14ac:dyDescent="0.25">
      <c r="B153" s="389" t="s">
        <v>71</v>
      </c>
      <c r="C153" s="293">
        <f t="shared" ref="C153:C160" si="72">O153*(((1-$L153)*($K$136-C$136)/($K$136-$C$136))+$L153)</f>
        <v>1</v>
      </c>
      <c r="D153" s="293">
        <f t="shared" si="64"/>
        <v>0.96426102934978675</v>
      </c>
      <c r="E153" s="293">
        <f t="shared" si="65"/>
        <v>0.85669819745781273</v>
      </c>
      <c r="F153" s="293">
        <f t="shared" si="66"/>
        <v>0.70591253469939352</v>
      </c>
      <c r="G153" s="293">
        <f t="shared" si="67"/>
        <v>0.5663111028928336</v>
      </c>
      <c r="H153" s="293">
        <f t="shared" si="68"/>
        <v>0.43789390203813278</v>
      </c>
      <c r="I153" s="293">
        <f t="shared" si="69"/>
        <v>0.32066093213529107</v>
      </c>
      <c r="J153" s="293">
        <f t="shared" si="70"/>
        <v>0.21461219318430858</v>
      </c>
      <c r="K153" s="113">
        <f t="shared" si="71"/>
        <v>0.11974768518518519</v>
      </c>
      <c r="L153" s="52">
        <v>0.65</v>
      </c>
      <c r="N153" s="389" t="s">
        <v>71</v>
      </c>
      <c r="O153" s="293">
        <v>1</v>
      </c>
      <c r="P153" s="293">
        <v>1.0001643655489809</v>
      </c>
      <c r="Q153" s="293">
        <v>0.93197293447293428</v>
      </c>
      <c r="R153" s="293">
        <v>0.80734864672364659</v>
      </c>
      <c r="S153" s="293">
        <v>0.6827243589743589</v>
      </c>
      <c r="T153" s="293">
        <v>0.55810007122507121</v>
      </c>
      <c r="U153" s="293">
        <v>0.43347578347578342</v>
      </c>
      <c r="V153" s="293">
        <v>0.30885149572649573</v>
      </c>
      <c r="W153" s="113">
        <v>0.18422720797720799</v>
      </c>
    </row>
    <row r="154" spans="1:23" x14ac:dyDescent="0.25">
      <c r="B154" s="389" t="s">
        <v>261</v>
      </c>
      <c r="C154" s="293">
        <f t="shared" si="72"/>
        <v>1</v>
      </c>
      <c r="D154" s="293">
        <f t="shared" si="64"/>
        <v>0.88982524906091776</v>
      </c>
      <c r="E154" s="293">
        <f t="shared" si="65"/>
        <v>0.88154841181314936</v>
      </c>
      <c r="F154" s="293">
        <f t="shared" si="66"/>
        <v>0.7458892882087419</v>
      </c>
      <c r="G154" s="293">
        <f t="shared" si="67"/>
        <v>0.61973731153203293</v>
      </c>
      <c r="H154" s="293">
        <f t="shared" si="68"/>
        <v>0.50309248178302246</v>
      </c>
      <c r="I154" s="293">
        <f t="shared" si="69"/>
        <v>0.39595479896171049</v>
      </c>
      <c r="J154" s="293">
        <f t="shared" si="70"/>
        <v>0.2983242630680969</v>
      </c>
      <c r="K154" s="113">
        <f t="shared" si="71"/>
        <v>0.21020087410218188</v>
      </c>
      <c r="L154" s="52">
        <v>0.65</v>
      </c>
      <c r="N154" s="389" t="s">
        <v>261</v>
      </c>
      <c r="O154" s="293">
        <v>1</v>
      </c>
      <c r="P154" s="293">
        <v>0.92295704024935621</v>
      </c>
      <c r="Q154" s="293">
        <v>0.95900664046618755</v>
      </c>
      <c r="R154" s="293">
        <v>0.85306986041469013</v>
      </c>
      <c r="S154" s="293">
        <v>0.7471330803631927</v>
      </c>
      <c r="T154" s="293">
        <v>0.64119630031169528</v>
      </c>
      <c r="U154" s="293">
        <v>0.53525952026019785</v>
      </c>
      <c r="V154" s="293">
        <v>0.42932274020870037</v>
      </c>
      <c r="W154" s="113">
        <v>0.32338596015720289</v>
      </c>
    </row>
    <row r="155" spans="1:23" x14ac:dyDescent="0.25">
      <c r="B155" s="389" t="s">
        <v>262</v>
      </c>
      <c r="C155" s="293">
        <f t="shared" si="72"/>
        <v>1</v>
      </c>
      <c r="D155" s="293">
        <f t="shared" si="64"/>
        <v>0.91492496911123455</v>
      </c>
      <c r="E155" s="293">
        <f t="shared" si="65"/>
        <v>0.96396436066285562</v>
      </c>
      <c r="F155" s="293">
        <f t="shared" si="66"/>
        <v>0.83245678051957439</v>
      </c>
      <c r="G155" s="293">
        <f t="shared" si="67"/>
        <v>0.70961730829534209</v>
      </c>
      <c r="H155" s="293">
        <f t="shared" si="68"/>
        <v>0.59544594399015838</v>
      </c>
      <c r="I155" s="293">
        <f t="shared" si="69"/>
        <v>0.48994268760402343</v>
      </c>
      <c r="J155" s="293">
        <f t="shared" si="70"/>
        <v>0.39310753913693708</v>
      </c>
      <c r="K155" s="113">
        <f t="shared" si="71"/>
        <v>0.30494049858889938</v>
      </c>
      <c r="L155" s="52">
        <v>0.65</v>
      </c>
      <c r="N155" s="389" t="s">
        <v>262</v>
      </c>
      <c r="O155" s="293">
        <v>1</v>
      </c>
      <c r="P155" s="293">
        <v>0.94899132434409961</v>
      </c>
      <c r="Q155" s="293">
        <v>1.0486641580432738</v>
      </c>
      <c r="R155" s="293">
        <v>0.95207666980244576</v>
      </c>
      <c r="S155" s="293">
        <v>0.85548918156161791</v>
      </c>
      <c r="T155" s="293">
        <v>0.75890169332079005</v>
      </c>
      <c r="U155" s="293">
        <v>0.6623142050799623</v>
      </c>
      <c r="V155" s="293">
        <v>0.56572671683913456</v>
      </c>
      <c r="W155" s="113">
        <v>0.4691392285983067</v>
      </c>
    </row>
    <row r="156" spans="1:23" x14ac:dyDescent="0.25">
      <c r="B156" s="389" t="s">
        <v>263</v>
      </c>
      <c r="C156" s="293">
        <f t="shared" si="72"/>
        <v>1</v>
      </c>
      <c r="D156" s="293">
        <f t="shared" si="64"/>
        <v>0.93444705583433907</v>
      </c>
      <c r="E156" s="293">
        <f t="shared" si="65"/>
        <v>0.94437867623705785</v>
      </c>
      <c r="F156" s="293">
        <f t="shared" si="66"/>
        <v>0.7859943863939528</v>
      </c>
      <c r="G156" s="293">
        <f t="shared" si="67"/>
        <v>0.63913494092612588</v>
      </c>
      <c r="H156" s="293">
        <f t="shared" si="68"/>
        <v>0.50380033983357686</v>
      </c>
      <c r="I156" s="293">
        <f t="shared" si="69"/>
        <v>0.37999058311630568</v>
      </c>
      <c r="J156" s="293">
        <f t="shared" si="70"/>
        <v>0.2677056707743124</v>
      </c>
      <c r="K156" s="113">
        <f t="shared" si="71"/>
        <v>0.16694560280759704</v>
      </c>
      <c r="L156" s="52">
        <v>0.65</v>
      </c>
      <c r="N156" s="389" t="s">
        <v>263</v>
      </c>
      <c r="O156" s="293">
        <v>1</v>
      </c>
      <c r="P156" s="293">
        <v>0.96924029727497929</v>
      </c>
      <c r="Q156" s="293">
        <v>1.0273575557390586</v>
      </c>
      <c r="R156" s="293">
        <v>0.89893786127167619</v>
      </c>
      <c r="S156" s="293">
        <v>0.77051816680429397</v>
      </c>
      <c r="T156" s="293">
        <v>0.64209847233691164</v>
      </c>
      <c r="U156" s="293">
        <v>0.51367877786952931</v>
      </c>
      <c r="V156" s="293">
        <v>0.38525908340214698</v>
      </c>
      <c r="W156" s="113">
        <v>0.25683938893476466</v>
      </c>
    </row>
    <row r="157" spans="1:23" x14ac:dyDescent="0.25">
      <c r="B157" s="389" t="s">
        <v>264</v>
      </c>
      <c r="C157" s="293">
        <f t="shared" si="72"/>
        <v>1</v>
      </c>
      <c r="D157" s="293">
        <f t="shared" si="64"/>
        <v>0.88765160261369447</v>
      </c>
      <c r="E157" s="293">
        <f t="shared" si="65"/>
        <v>0.92620464865090069</v>
      </c>
      <c r="F157" s="293">
        <f t="shared" si="66"/>
        <v>0.80264476289093356</v>
      </c>
      <c r="G157" s="293">
        <f t="shared" si="67"/>
        <v>0.68712642626469422</v>
      </c>
      <c r="H157" s="293">
        <f t="shared" si="68"/>
        <v>0.57964963877218256</v>
      </c>
      <c r="I157" s="293">
        <f t="shared" si="69"/>
        <v>0.48021440041339863</v>
      </c>
      <c r="J157" s="293">
        <f t="shared" si="70"/>
        <v>0.38882071118834238</v>
      </c>
      <c r="K157" s="113">
        <f t="shared" si="71"/>
        <v>0.30546857109701386</v>
      </c>
      <c r="L157" s="52">
        <v>0.65</v>
      </c>
      <c r="N157" s="389" t="s">
        <v>264</v>
      </c>
      <c r="O157" s="293">
        <v>1</v>
      </c>
      <c r="P157" s="293">
        <v>0.92070246015782142</v>
      </c>
      <c r="Q157" s="293">
        <v>1.0075866470679253</v>
      </c>
      <c r="R157" s="293">
        <v>0.91798081386353103</v>
      </c>
      <c r="S157" s="293">
        <v>0.82837498065913673</v>
      </c>
      <c r="T157" s="293">
        <v>0.73876914745474243</v>
      </c>
      <c r="U157" s="293">
        <v>0.64916331425034823</v>
      </c>
      <c r="V157" s="293">
        <v>0.55955748104595404</v>
      </c>
      <c r="W157" s="113">
        <v>0.46995164784155974</v>
      </c>
    </row>
    <row r="158" spans="1:23" x14ac:dyDescent="0.25">
      <c r="B158" s="389" t="s">
        <v>265</v>
      </c>
      <c r="C158" s="293">
        <f t="shared" si="72"/>
        <v>1</v>
      </c>
      <c r="D158" s="293">
        <f t="shared" si="64"/>
        <v>0.88001772738039752</v>
      </c>
      <c r="E158" s="293">
        <f t="shared" si="65"/>
        <v>0.8117263335651137</v>
      </c>
      <c r="F158" s="293">
        <f t="shared" si="66"/>
        <v>0.68038017335136625</v>
      </c>
      <c r="G158" s="293">
        <f t="shared" si="67"/>
        <v>0.55844830914921306</v>
      </c>
      <c r="H158" s="293">
        <f t="shared" si="68"/>
        <v>0.44593074095865387</v>
      </c>
      <c r="I158" s="293">
        <f t="shared" si="69"/>
        <v>0.34282746877968889</v>
      </c>
      <c r="J158" s="293">
        <f t="shared" si="70"/>
        <v>0.24913849261231796</v>
      </c>
      <c r="K158" s="113">
        <f t="shared" si="71"/>
        <v>0.16486381245654116</v>
      </c>
      <c r="L158" s="52">
        <v>0.65</v>
      </c>
      <c r="N158" s="389" t="s">
        <v>265</v>
      </c>
      <c r="O158" s="293">
        <v>1</v>
      </c>
      <c r="P158" s="293">
        <v>0.91278434488924209</v>
      </c>
      <c r="Q158" s="293">
        <v>0.88304956789510269</v>
      </c>
      <c r="R158" s="293">
        <v>0.77814741233733964</v>
      </c>
      <c r="S158" s="293">
        <v>0.67324525677957681</v>
      </c>
      <c r="T158" s="293">
        <v>0.56834310122181375</v>
      </c>
      <c r="U158" s="293">
        <v>0.46344094566405081</v>
      </c>
      <c r="V158" s="293">
        <v>0.35853879010628786</v>
      </c>
      <c r="W158" s="113">
        <v>0.25363663454852486</v>
      </c>
    </row>
    <row r="159" spans="1:23" x14ac:dyDescent="0.25">
      <c r="B159" s="389" t="s">
        <v>66</v>
      </c>
      <c r="C159" s="293">
        <f t="shared" si="72"/>
        <v>1</v>
      </c>
      <c r="D159" s="293">
        <f t="shared" si="64"/>
        <v>0.91511105086959121</v>
      </c>
      <c r="E159" s="293">
        <f t="shared" si="65"/>
        <v>0.84803362132666416</v>
      </c>
      <c r="F159" s="293">
        <f t="shared" si="66"/>
        <v>0.71764529890238982</v>
      </c>
      <c r="G159" s="293">
        <f t="shared" si="67"/>
        <v>0.59639105078214372</v>
      </c>
      <c r="H159" s="293">
        <f t="shared" si="68"/>
        <v>0.48427087696592602</v>
      </c>
      <c r="I159" s="293">
        <f t="shared" si="69"/>
        <v>0.38128477745373673</v>
      </c>
      <c r="J159" s="293">
        <f t="shared" si="70"/>
        <v>0.28743275224557552</v>
      </c>
      <c r="K159" s="113">
        <f t="shared" si="71"/>
        <v>0.20271480134144262</v>
      </c>
      <c r="L159" s="52">
        <v>0.65</v>
      </c>
      <c r="N159" s="389" t="s">
        <v>66</v>
      </c>
      <c r="O159" s="293">
        <v>1</v>
      </c>
      <c r="P159" s="293">
        <v>0.94918433467856533</v>
      </c>
      <c r="Q159" s="293">
        <v>0.92254703575285635</v>
      </c>
      <c r="R159" s="293">
        <v>0.82076735065082707</v>
      </c>
      <c r="S159" s="293">
        <v>0.71898766554879767</v>
      </c>
      <c r="T159" s="293">
        <v>0.6172079804467685</v>
      </c>
      <c r="U159" s="293">
        <v>0.51542829534473944</v>
      </c>
      <c r="V159" s="293">
        <v>0.41364861024271016</v>
      </c>
      <c r="W159" s="113">
        <v>0.31186892514068093</v>
      </c>
    </row>
    <row r="160" spans="1:23" x14ac:dyDescent="0.25">
      <c r="B160" s="390" t="s">
        <v>70</v>
      </c>
      <c r="C160" s="38">
        <f t="shared" si="72"/>
        <v>1</v>
      </c>
      <c r="D160" s="38">
        <f t="shared" si="64"/>
        <v>0.91641800373412297</v>
      </c>
      <c r="E160" s="38">
        <f t="shared" si="65"/>
        <v>1.0532530573222025</v>
      </c>
      <c r="F160" s="38">
        <f t="shared" si="66"/>
        <v>0.91055301466104732</v>
      </c>
      <c r="G160" s="38">
        <f t="shared" si="67"/>
        <v>0.77722250444962382</v>
      </c>
      <c r="H160" s="38">
        <f t="shared" si="68"/>
        <v>0.6532615266879318</v>
      </c>
      <c r="I160" s="38">
        <f t="shared" si="69"/>
        <v>0.53867008137597128</v>
      </c>
      <c r="J160" s="38">
        <f t="shared" si="70"/>
        <v>0.43344816851374207</v>
      </c>
      <c r="K160" s="195">
        <f t="shared" si="71"/>
        <v>0.33759578810124447</v>
      </c>
      <c r="L160" s="52">
        <v>0.65</v>
      </c>
      <c r="N160" s="390" t="s">
        <v>70</v>
      </c>
      <c r="O160" s="38">
        <v>1</v>
      </c>
      <c r="P160" s="38">
        <v>0.95053995068167008</v>
      </c>
      <c r="Q160" s="38">
        <v>1.1457983050367055</v>
      </c>
      <c r="R160" s="38">
        <v>1.0413949434539838</v>
      </c>
      <c r="S160" s="38">
        <v>0.93699158187126208</v>
      </c>
      <c r="T160" s="38">
        <v>0.83258822028854051</v>
      </c>
      <c r="U160" s="38">
        <v>0.72818485870581906</v>
      </c>
      <c r="V160" s="38">
        <v>0.62378149712309749</v>
      </c>
      <c r="W160" s="195">
        <v>0.51937813554037604</v>
      </c>
    </row>
  </sheetData>
  <mergeCells count="4">
    <mergeCell ref="B128:B129"/>
    <mergeCell ref="B130:B131"/>
    <mergeCell ref="A136:A137"/>
    <mergeCell ref="A151:A152"/>
  </mergeCells>
  <conditionalFormatting sqref="C84:K8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R27"/>
  <sheetViews>
    <sheetView workbookViewId="0">
      <selection activeCell="F31" sqref="F31"/>
    </sheetView>
  </sheetViews>
  <sheetFormatPr baseColWidth="10" defaultRowHeight="15" x14ac:dyDescent="0.25"/>
  <cols>
    <col min="1" max="1" width="14.140625" bestFit="1" customWidth="1"/>
    <col min="12" max="12" width="16.140625" bestFit="1" customWidth="1"/>
  </cols>
  <sheetData>
    <row r="1" spans="1:12" x14ac:dyDescent="0.25">
      <c r="A1" s="377" t="s">
        <v>253</v>
      </c>
      <c r="B1" s="378" t="s">
        <v>260</v>
      </c>
      <c r="C1" s="533" t="s">
        <v>259</v>
      </c>
      <c r="D1" s="534"/>
      <c r="E1" s="378"/>
      <c r="F1" s="378"/>
      <c r="G1" s="378"/>
      <c r="H1" s="378"/>
      <c r="I1" s="378"/>
      <c r="J1" s="378"/>
      <c r="K1" s="378"/>
      <c r="L1" s="379"/>
    </row>
    <row r="2" spans="1:12" x14ac:dyDescent="0.25">
      <c r="B2" s="376">
        <v>2011</v>
      </c>
      <c r="C2" s="376">
        <v>2015</v>
      </c>
      <c r="D2" s="376">
        <v>2020</v>
      </c>
      <c r="E2" s="376">
        <v>2025</v>
      </c>
      <c r="F2" s="376">
        <v>2030</v>
      </c>
      <c r="G2" s="376">
        <v>2035</v>
      </c>
      <c r="H2" s="376">
        <v>2040</v>
      </c>
      <c r="I2" s="376">
        <v>2045</v>
      </c>
      <c r="J2" s="376">
        <v>2050</v>
      </c>
      <c r="K2" s="293"/>
      <c r="L2" s="381" t="s">
        <v>256</v>
      </c>
    </row>
    <row r="3" spans="1:12" x14ac:dyDescent="0.25">
      <c r="A3" s="293" t="s">
        <v>101</v>
      </c>
      <c r="B3" s="293">
        <v>1</v>
      </c>
      <c r="C3" s="293">
        <v>0.95936514374798831</v>
      </c>
      <c r="D3" s="293">
        <v>0.94472321134964132</v>
      </c>
      <c r="E3" s="293">
        <v>0.74504945374523079</v>
      </c>
      <c r="F3" s="293">
        <v>0.61573624716362829</v>
      </c>
      <c r="G3" s="293">
        <v>0.45455818770023093</v>
      </c>
      <c r="H3" s="293">
        <v>0.34757793048095081</v>
      </c>
      <c r="I3" s="293">
        <v>0.2587453904719898</v>
      </c>
      <c r="J3" s="293">
        <v>0.20371487249190168</v>
      </c>
      <c r="K3" s="293"/>
      <c r="L3" s="383"/>
    </row>
    <row r="4" spans="1:12" x14ac:dyDescent="0.25">
      <c r="A4" s="293" t="s">
        <v>102</v>
      </c>
      <c r="B4" s="293">
        <v>1</v>
      </c>
      <c r="C4" s="293">
        <v>1.0992866089267759</v>
      </c>
      <c r="D4" s="293">
        <v>1.2042442170007039</v>
      </c>
      <c r="E4" s="293">
        <v>1.0176862189773315</v>
      </c>
      <c r="F4" s="293">
        <v>0.93538969413543049</v>
      </c>
      <c r="G4" s="293">
        <v>0.86376457569250309</v>
      </c>
      <c r="H4" s="293">
        <v>0.73580031735622642</v>
      </c>
      <c r="I4" s="293">
        <v>0.56415126153496464</v>
      </c>
      <c r="J4" s="293">
        <v>0.3791373867826387</v>
      </c>
      <c r="K4" s="293"/>
      <c r="L4" s="383"/>
    </row>
    <row r="5" spans="1:12" x14ac:dyDescent="0.25">
      <c r="A5" s="293" t="s">
        <v>104</v>
      </c>
      <c r="B5" s="293">
        <v>1</v>
      </c>
      <c r="C5" s="293">
        <v>0.96747300673156478</v>
      </c>
      <c r="D5" s="293">
        <v>0.8386654330225749</v>
      </c>
      <c r="E5" s="293">
        <v>0.88075952621703613</v>
      </c>
      <c r="F5" s="293">
        <v>0.70253061217453217</v>
      </c>
      <c r="G5" s="293">
        <v>0.58233035429039359</v>
      </c>
      <c r="H5" s="293">
        <v>0.49300508376475877</v>
      </c>
      <c r="I5" s="293">
        <v>0.35551506164087721</v>
      </c>
      <c r="J5" s="293">
        <v>0.24458531219311919</v>
      </c>
      <c r="K5" s="293"/>
      <c r="L5" s="383"/>
    </row>
    <row r="6" spans="1:12" x14ac:dyDescent="0.25">
      <c r="A6" s="293" t="s">
        <v>106</v>
      </c>
      <c r="B6" s="293">
        <v>1</v>
      </c>
      <c r="C6" s="293">
        <v>1.0804295009638261</v>
      </c>
      <c r="D6" s="293">
        <v>0.97321634276585567</v>
      </c>
      <c r="E6" s="293">
        <v>0.87648565134307155</v>
      </c>
      <c r="F6" s="293">
        <v>0.70995479855709609</v>
      </c>
      <c r="G6" s="293">
        <v>0.55565082774860741</v>
      </c>
      <c r="H6" s="293">
        <v>0.40547835326557041</v>
      </c>
      <c r="I6" s="293">
        <v>0.31437558602639354</v>
      </c>
      <c r="J6" s="293">
        <v>0.26597823128137327</v>
      </c>
      <c r="K6" s="293"/>
      <c r="L6" s="383"/>
    </row>
    <row r="7" spans="1:12" x14ac:dyDescent="0.25">
      <c r="A7" s="293" t="s">
        <v>105</v>
      </c>
      <c r="B7" s="293">
        <v>1</v>
      </c>
      <c r="C7" s="293">
        <v>1.2514727068642721</v>
      </c>
      <c r="D7" s="293">
        <v>1.4080461687258812</v>
      </c>
      <c r="E7" s="293">
        <v>1.5648357597620888</v>
      </c>
      <c r="F7" s="293">
        <v>1.5494681035680182</v>
      </c>
      <c r="G7" s="293">
        <v>1.4615017132918289</v>
      </c>
      <c r="H7" s="293">
        <v>1.3927434786466883</v>
      </c>
      <c r="I7" s="293">
        <v>1.2695646511780856</v>
      </c>
      <c r="J7" s="293">
        <v>1.1681372970323636</v>
      </c>
      <c r="K7" s="293"/>
      <c r="L7" s="383"/>
    </row>
    <row r="8" spans="1:12" x14ac:dyDescent="0.25">
      <c r="A8" s="293" t="s">
        <v>107</v>
      </c>
      <c r="B8" s="293">
        <v>1</v>
      </c>
      <c r="C8" s="293">
        <v>1.0062611569654281</v>
      </c>
      <c r="D8" s="293">
        <v>0.68724408866844311</v>
      </c>
      <c r="E8" s="293">
        <v>0.82202912922356153</v>
      </c>
      <c r="F8" s="293">
        <v>0.51585729124742397</v>
      </c>
      <c r="G8" s="293">
        <v>0.33276861013298248</v>
      </c>
      <c r="H8" s="293">
        <v>0.29239454565307704</v>
      </c>
      <c r="I8" s="293">
        <v>0.24598514010242858</v>
      </c>
      <c r="J8" s="293">
        <v>0.21420748667665468</v>
      </c>
      <c r="K8" s="293"/>
      <c r="L8" s="383"/>
    </row>
    <row r="9" spans="1:12" x14ac:dyDescent="0.25">
      <c r="A9" s="293" t="s">
        <v>254</v>
      </c>
      <c r="B9" s="293">
        <f>1*(((1-$L9)*($J$2-B$2)/($J$2-$B$2))+$L9)</f>
        <v>1</v>
      </c>
      <c r="C9" s="293">
        <f>1.03978684654077*(((1-$L9)*($J$2-C$2)/($J$2-$B$2))+$L9)</f>
        <v>1.1144382098821586</v>
      </c>
      <c r="D9" s="293">
        <f>0.97157012940827*(((1-$L9)*($J$2-D$2)/($J$2-$B$2))+$L9)</f>
        <v>1.1285160733896058</v>
      </c>
      <c r="E9" s="293">
        <f>0.910321846970003*(((1-$L9)*($J$2-E$2)/($J$2-$B$2))+$L9)</f>
        <v>1.1390693880034908</v>
      </c>
      <c r="F9" s="293">
        <f>0.782702068674822*(((1-$L9)*($J$2-F$2)/($J$2-$B$2))+$L9)</f>
        <v>1.0496235433767482</v>
      </c>
      <c r="G9" s="293">
        <f>0.658674706617116*(((1-$L9)*($J$2-G$2)/($J$2-$B$2))+$L9)</f>
        <v>0.94241150331371981</v>
      </c>
      <c r="H9" s="293">
        <f>0.558401682795765*(((1-$L9)*($J$2-H$2)/($J$2-$B$2))+$L9)</f>
        <v>0.84905691768689384</v>
      </c>
      <c r="I9" s="293">
        <f>0.464299812940618*(((1-$L9)*($J$2-I$2)/($J$2-$B$2))+$L9)</f>
        <v>0.74764175006848232</v>
      </c>
      <c r="J9" s="293">
        <f>0.395647260688482*(((1-$L9)*($J$2-J$2)/($J$2-$B$2))+$L9)</f>
        <v>0.67260034317041939</v>
      </c>
      <c r="K9" s="293"/>
      <c r="L9" s="383">
        <v>1.7</v>
      </c>
    </row>
    <row r="10" spans="1:12" x14ac:dyDescent="0.25">
      <c r="A10" s="293" t="s">
        <v>103</v>
      </c>
      <c r="B10" s="293">
        <f>1*(((1-$L10)*($J$2-B$2)/($J$2-$B$2))+$L10)</f>
        <v>1</v>
      </c>
      <c r="C10" s="293">
        <f>1.03978684654077*(((1-$L10)*($J$2-C$2)/($J$2-$B$2))+$L10)</f>
        <v>1.1144382098821586</v>
      </c>
      <c r="D10" s="293">
        <f>0.97157012940827*(((1-$L10)*($J$2-D$2)/($J$2-$B$2))+$L10)</f>
        <v>1.1285160733896058</v>
      </c>
      <c r="E10" s="293">
        <f>0.910321846970003*(((1-$L10)*($J$2-E$2)/($J$2-$B$2))+$L10)</f>
        <v>1.1390693880034908</v>
      </c>
      <c r="F10" s="293">
        <f>0.782702068674822*(((1-$L10)*($J$2-F$2)/($J$2-$B$2))+$L10)</f>
        <v>1.0496235433767482</v>
      </c>
      <c r="G10" s="293">
        <f>0.658674706617116*(((1-$L10)*($J$2-G$2)/($J$2-$B$2))+$L10)</f>
        <v>0.94241150331371981</v>
      </c>
      <c r="H10" s="293">
        <f>0.558401682795765*(((1-$L10)*($J$2-H$2)/($J$2-$B$2))+$L10)</f>
        <v>0.84905691768689384</v>
      </c>
      <c r="I10" s="293">
        <f>0.464299812940618*(((1-$L10)*($J$2-I$2)/($J$2-$B$2))+$L10)</f>
        <v>0.74764175006848232</v>
      </c>
      <c r="J10" s="293">
        <f>0.395647260688482*(((1-$L10)*($J$2-J$2)/($J$2-$B$2))+$L10)</f>
        <v>0.67260034317041939</v>
      </c>
      <c r="K10" s="293"/>
      <c r="L10" s="383">
        <v>1.7</v>
      </c>
    </row>
    <row r="11" spans="1:12" x14ac:dyDescent="0.25">
      <c r="A11" s="293" t="s">
        <v>108</v>
      </c>
      <c r="B11" s="293">
        <v>1</v>
      </c>
      <c r="C11" s="293">
        <v>1.00697380874386</v>
      </c>
      <c r="D11" s="293">
        <v>0.89361901429084745</v>
      </c>
      <c r="E11" s="293">
        <v>0.80857431294666837</v>
      </c>
      <c r="F11" s="293">
        <v>0.64369401805398685</v>
      </c>
      <c r="G11" s="293">
        <v>0.52000988592096153</v>
      </c>
      <c r="H11" s="293">
        <v>0.42559235269978912</v>
      </c>
      <c r="I11" s="293">
        <v>0.34100831094807688</v>
      </c>
      <c r="J11" s="293">
        <v>0.28249162263599226</v>
      </c>
      <c r="K11" s="293"/>
      <c r="L11" s="384"/>
    </row>
    <row r="12" spans="1:12" ht="15.75" thickBot="1" x14ac:dyDescent="0.3">
      <c r="K12" s="88"/>
      <c r="L12" s="388"/>
    </row>
    <row r="13" spans="1:12" x14ac:dyDescent="0.25">
      <c r="A13" s="377" t="s">
        <v>253</v>
      </c>
      <c r="B13" s="378" t="s">
        <v>255</v>
      </c>
      <c r="C13" s="535" t="s">
        <v>257</v>
      </c>
      <c r="D13" s="536"/>
      <c r="E13" s="378"/>
      <c r="F13" s="378"/>
      <c r="G13" s="378"/>
      <c r="H13" s="378"/>
      <c r="I13" s="378"/>
      <c r="J13" s="378"/>
      <c r="K13" s="378"/>
      <c r="L13" s="379"/>
    </row>
    <row r="14" spans="1:12" x14ac:dyDescent="0.25">
      <c r="B14" s="376">
        <v>2011</v>
      </c>
      <c r="C14" s="376">
        <v>2015</v>
      </c>
      <c r="D14" s="376">
        <v>2020</v>
      </c>
      <c r="E14" s="376">
        <v>2025</v>
      </c>
      <c r="F14" s="376">
        <v>2030</v>
      </c>
      <c r="G14" s="376">
        <v>2035</v>
      </c>
      <c r="H14" s="376">
        <v>2040</v>
      </c>
      <c r="I14" s="376">
        <v>2045</v>
      </c>
      <c r="J14" s="376">
        <v>2050</v>
      </c>
      <c r="K14" s="293"/>
      <c r="L14" s="381" t="s">
        <v>256</v>
      </c>
    </row>
    <row r="15" spans="1:12" x14ac:dyDescent="0.25">
      <c r="A15" s="382" t="s">
        <v>108</v>
      </c>
      <c r="B15" s="293">
        <v>1</v>
      </c>
      <c r="C15" s="293">
        <v>1.00697380874386</v>
      </c>
      <c r="D15" s="293">
        <v>0.97090435920216234</v>
      </c>
      <c r="E15" s="293">
        <v>0.92062748645039183</v>
      </c>
      <c r="F15" s="293">
        <v>0.88994511603532889</v>
      </c>
      <c r="G15" s="293">
        <v>0.88102024240585497</v>
      </c>
      <c r="H15" s="293">
        <v>0.84625870419614446</v>
      </c>
      <c r="I15" s="293">
        <v>0.84428323140696548</v>
      </c>
      <c r="J15" s="293">
        <v>0.82982723916437995</v>
      </c>
      <c r="K15" s="293"/>
      <c r="L15" s="383"/>
    </row>
    <row r="16" spans="1:12" x14ac:dyDescent="0.25">
      <c r="A16" s="382" t="s">
        <v>101</v>
      </c>
      <c r="B16" s="293">
        <v>1</v>
      </c>
      <c r="C16" s="293">
        <v>0.95936514374798831</v>
      </c>
      <c r="D16" s="293">
        <v>0.93607237647131092</v>
      </c>
      <c r="E16" s="293">
        <v>0.88983941553379431</v>
      </c>
      <c r="F16" s="293">
        <v>0.83056824559704512</v>
      </c>
      <c r="G16" s="293">
        <v>0.80385880321716929</v>
      </c>
      <c r="H16" s="293">
        <v>0.78169398101476728</v>
      </c>
      <c r="I16" s="293">
        <v>0.77374809765019903</v>
      </c>
      <c r="J16" s="293">
        <v>0.76481306979942865</v>
      </c>
      <c r="K16" s="293"/>
      <c r="L16" s="383"/>
    </row>
    <row r="17" spans="1:18" x14ac:dyDescent="0.25">
      <c r="A17" s="382" t="s">
        <v>102</v>
      </c>
      <c r="B17" s="293">
        <v>1</v>
      </c>
      <c r="C17" s="293">
        <v>1.0992866089267759</v>
      </c>
      <c r="D17" s="293">
        <v>1.1776819567403469</v>
      </c>
      <c r="E17" s="293">
        <v>1.1883881563470775</v>
      </c>
      <c r="F17" s="293">
        <v>1.2575783347935361</v>
      </c>
      <c r="G17" s="293">
        <v>1.3233345245058485</v>
      </c>
      <c r="H17" s="293">
        <v>1.4166307974255083</v>
      </c>
      <c r="I17" s="293">
        <v>1.4828679303576926</v>
      </c>
      <c r="J17" s="293">
        <v>1.4844959099315893</v>
      </c>
      <c r="K17" s="293"/>
      <c r="L17" s="383"/>
    </row>
    <row r="18" spans="1:18" x14ac:dyDescent="0.25">
      <c r="A18" s="382" t="s">
        <v>104</v>
      </c>
      <c r="B18" s="293">
        <v>1</v>
      </c>
      <c r="C18" s="293">
        <v>0.96747300673156478</v>
      </c>
      <c r="D18" s="293">
        <v>1.0315912660249595</v>
      </c>
      <c r="E18" s="293">
        <v>1.0241857292982908</v>
      </c>
      <c r="F18" s="293">
        <v>1.0437906899945097</v>
      </c>
      <c r="G18" s="293">
        <v>1.0634409091740917</v>
      </c>
      <c r="H18" s="293">
        <v>1.0565983481891055</v>
      </c>
      <c r="I18" s="293">
        <v>1.0661246306807595</v>
      </c>
      <c r="J18" s="293">
        <v>1.0721693578022564</v>
      </c>
      <c r="K18" s="293"/>
      <c r="L18" s="383"/>
    </row>
    <row r="19" spans="1:18" x14ac:dyDescent="0.25">
      <c r="A19" s="382" t="s">
        <v>106</v>
      </c>
      <c r="B19" s="293">
        <v>1</v>
      </c>
      <c r="C19" s="293">
        <v>1.0804295009638261</v>
      </c>
      <c r="D19" s="293">
        <v>1.0870437350240798</v>
      </c>
      <c r="E19" s="293">
        <v>1.1026846520747862</v>
      </c>
      <c r="F19" s="293">
        <v>1.0967737549744645</v>
      </c>
      <c r="G19" s="293">
        <v>1.0500456908031703</v>
      </c>
      <c r="H19" s="293">
        <v>1.0084933682041881</v>
      </c>
      <c r="I19" s="293">
        <v>0.95192194283051479</v>
      </c>
      <c r="J19" s="293">
        <v>0.87966995731836306</v>
      </c>
      <c r="K19" s="293"/>
      <c r="L19" s="383"/>
    </row>
    <row r="20" spans="1:18" x14ac:dyDescent="0.25">
      <c r="A20" s="382" t="s">
        <v>105</v>
      </c>
      <c r="B20" s="293">
        <v>1</v>
      </c>
      <c r="C20" s="293">
        <v>1.2514727068642721</v>
      </c>
      <c r="D20" s="293">
        <v>1.4936871041650388</v>
      </c>
      <c r="E20" s="293">
        <v>1.7923101100532619</v>
      </c>
      <c r="F20" s="293">
        <v>2.2398371947142102</v>
      </c>
      <c r="G20" s="293">
        <v>2.6260498408041322</v>
      </c>
      <c r="H20" s="293">
        <v>2.9340862450444174</v>
      </c>
      <c r="I20" s="293">
        <v>3.1375251150378429</v>
      </c>
      <c r="J20" s="293">
        <v>3.3386870260146004</v>
      </c>
      <c r="K20" s="293"/>
      <c r="L20" s="383"/>
    </row>
    <row r="21" spans="1:18" x14ac:dyDescent="0.25">
      <c r="A21" s="382" t="s">
        <v>107</v>
      </c>
      <c r="B21" s="293">
        <v>1</v>
      </c>
      <c r="C21" s="293">
        <v>1.0062611569654281</v>
      </c>
      <c r="D21" s="293">
        <v>0.98841001375022175</v>
      </c>
      <c r="E21" s="293">
        <v>0.98370329939903023</v>
      </c>
      <c r="F21" s="293">
        <v>1.0169510975766658</v>
      </c>
      <c r="G21" s="293">
        <v>1.0363855322056323</v>
      </c>
      <c r="H21" s="293">
        <v>1.0182031192180494</v>
      </c>
      <c r="I21" s="293">
        <v>1.0196247083112984</v>
      </c>
      <c r="J21" s="293">
        <v>1.0031929684372825</v>
      </c>
      <c r="K21" s="293"/>
      <c r="L21" s="383"/>
    </row>
    <row r="22" spans="1:18" x14ac:dyDescent="0.25">
      <c r="A22" s="382" t="s">
        <v>254</v>
      </c>
      <c r="B22" s="293">
        <f t="shared" ref="B22:J22" si="0">B26*(((1-$L22)*($J$14-B$14)/($J$14-$B$14))+$L22)</f>
        <v>1</v>
      </c>
      <c r="C22" s="293">
        <f t="shared" si="0"/>
        <v>1.0931092489274745</v>
      </c>
      <c r="D22" s="293">
        <f t="shared" si="0"/>
        <v>1.1720409730477725</v>
      </c>
      <c r="E22" s="293">
        <f t="shared" si="0"/>
        <v>1.2696713105646511</v>
      </c>
      <c r="F22" s="293">
        <f t="shared" si="0"/>
        <v>1.3826015401827554</v>
      </c>
      <c r="G22" s="293">
        <f t="shared" si="0"/>
        <v>1.4912990846329397</v>
      </c>
      <c r="H22" s="293">
        <f t="shared" si="0"/>
        <v>1.6063252670022912</v>
      </c>
      <c r="I22" s="293">
        <f t="shared" si="0"/>
        <v>1.7013388160359637</v>
      </c>
      <c r="J22" s="293">
        <f t="shared" si="0"/>
        <v>1.782265056715477</v>
      </c>
      <c r="K22" s="293"/>
      <c r="L22" s="383">
        <v>1.5</v>
      </c>
    </row>
    <row r="23" spans="1:18" x14ac:dyDescent="0.25">
      <c r="A23" s="382" t="s">
        <v>103</v>
      </c>
      <c r="B23" s="293">
        <f t="shared" ref="B23:J23" si="1">B27*(((1-$L23)*($J$14-B$14)/($J$14-$B$14))+$L23)</f>
        <v>1</v>
      </c>
      <c r="C23" s="293">
        <f t="shared" si="1"/>
        <v>1.0931092489274745</v>
      </c>
      <c r="D23" s="293">
        <f t="shared" si="1"/>
        <v>1.1720409730477725</v>
      </c>
      <c r="E23" s="293">
        <f t="shared" si="1"/>
        <v>1.2696713105646511</v>
      </c>
      <c r="F23" s="293">
        <f t="shared" si="1"/>
        <v>1.3826015401827554</v>
      </c>
      <c r="G23" s="293">
        <f t="shared" si="1"/>
        <v>1.4912990846329397</v>
      </c>
      <c r="H23" s="293">
        <f t="shared" si="1"/>
        <v>1.6063252670022912</v>
      </c>
      <c r="I23" s="293">
        <f t="shared" si="1"/>
        <v>1.7013388160359637</v>
      </c>
      <c r="J23" s="293">
        <f t="shared" si="1"/>
        <v>1.782265056715477</v>
      </c>
      <c r="K23" s="293"/>
      <c r="L23" s="384">
        <v>1.5</v>
      </c>
      <c r="O23">
        <v>1990</v>
      </c>
      <c r="P23">
        <v>2011</v>
      </c>
      <c r="Q23">
        <v>2050</v>
      </c>
      <c r="R23" t="s">
        <v>297</v>
      </c>
    </row>
    <row r="24" spans="1:18" x14ac:dyDescent="0.25">
      <c r="A24" s="412" t="s">
        <v>89</v>
      </c>
      <c r="B24" s="52">
        <f>'DEU-Pfad'!B102</f>
        <v>1</v>
      </c>
      <c r="C24" s="52">
        <f>'DEU-Pfad'!C102</f>
        <v>0.97474147789947752</v>
      </c>
      <c r="D24" s="52">
        <f>'DEU-Pfad'!D102</f>
        <v>0.85527745254092191</v>
      </c>
      <c r="E24" s="52">
        <f>'DEU-Pfad'!E102</f>
        <v>0.71575716255209942</v>
      </c>
      <c r="F24" s="52">
        <f>'DEU-Pfad'!F102</f>
        <v>0.58626500487841038</v>
      </c>
      <c r="G24" s="52">
        <f>'DEU-Pfad'!G102</f>
        <v>0.47870925041499085</v>
      </c>
      <c r="H24" s="52">
        <f>'DEU-Pfad'!H102</f>
        <v>0.37115349595157127</v>
      </c>
      <c r="I24" s="52">
        <f>'DEU-Pfad'!I102</f>
        <v>0.25073781432404724</v>
      </c>
      <c r="J24" s="52">
        <f>'DEU-Pfad'!J102</f>
        <v>0.13032213269652321</v>
      </c>
      <c r="N24" t="s">
        <v>296</v>
      </c>
      <c r="O24" s="413">
        <v>1020</v>
      </c>
      <c r="P24" s="413">
        <v>793</v>
      </c>
      <c r="Q24">
        <f>R24*O24</f>
        <v>102</v>
      </c>
      <c r="R24">
        <v>0.1</v>
      </c>
    </row>
    <row r="25" spans="1:18" x14ac:dyDescent="0.25">
      <c r="A25" s="380" t="s">
        <v>258</v>
      </c>
      <c r="B25" s="297" t="s">
        <v>257</v>
      </c>
      <c r="C25" s="376"/>
      <c r="D25" s="376"/>
      <c r="E25" s="376"/>
      <c r="F25" s="376"/>
      <c r="G25" s="376"/>
      <c r="H25" s="376"/>
      <c r="I25" s="376"/>
      <c r="J25" s="376"/>
      <c r="K25" s="376"/>
      <c r="L25" s="385"/>
      <c r="Q25">
        <f>Q24/P24</f>
        <v>0.12862547288776796</v>
      </c>
    </row>
    <row r="26" spans="1:18" x14ac:dyDescent="0.25">
      <c r="A26" s="382" t="s">
        <v>254</v>
      </c>
      <c r="B26" s="293">
        <v>1</v>
      </c>
      <c r="C26" s="293">
        <v>1.0397868465407685</v>
      </c>
      <c r="D26" s="293">
        <v>1.0507953551462788</v>
      </c>
      <c r="E26" s="293">
        <v>1.0764604589569868</v>
      </c>
      <c r="F26" s="293">
        <v>1.1117826817964425</v>
      </c>
      <c r="G26" s="293">
        <v>1.1404051823663657</v>
      </c>
      <c r="H26" s="293">
        <v>1.1709660824876515</v>
      </c>
      <c r="I26" s="293">
        <v>1.1848609611679033</v>
      </c>
      <c r="J26" s="293">
        <v>1.1881767044769846</v>
      </c>
      <c r="K26" s="293"/>
      <c r="L26" s="386"/>
    </row>
    <row r="27" spans="1:18" ht="15.75" thickBot="1" x14ac:dyDescent="0.3">
      <c r="A27" s="387" t="s">
        <v>103</v>
      </c>
      <c r="B27" s="88">
        <v>1</v>
      </c>
      <c r="C27" s="88">
        <v>1.0397868465407685</v>
      </c>
      <c r="D27" s="88">
        <v>1.0507953551462788</v>
      </c>
      <c r="E27" s="88">
        <v>1.0764604589569868</v>
      </c>
      <c r="F27" s="88">
        <v>1.1117826817964425</v>
      </c>
      <c r="G27" s="88">
        <v>1.1404051823663657</v>
      </c>
      <c r="H27" s="88">
        <v>1.1709660824876515</v>
      </c>
      <c r="I27" s="88">
        <v>1.1848609611679033</v>
      </c>
      <c r="J27" s="88">
        <v>1.1881767044769846</v>
      </c>
      <c r="K27" s="88"/>
      <c r="L27" s="388"/>
    </row>
  </sheetData>
  <mergeCells count="2">
    <mergeCell ref="C1:D1"/>
    <mergeCell ref="C13:D13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V103"/>
  <sheetViews>
    <sheetView tabSelected="1" topLeftCell="A73" workbookViewId="0">
      <selection activeCell="A85" sqref="A85:J86"/>
    </sheetView>
  </sheetViews>
  <sheetFormatPr baseColWidth="10" defaultRowHeight="15" x14ac:dyDescent="0.25"/>
  <cols>
    <col min="1" max="1" width="16.7109375" bestFit="1" customWidth="1"/>
  </cols>
  <sheetData>
    <row r="1" spans="1:20" x14ac:dyDescent="0.25">
      <c r="A1" s="408" t="s">
        <v>272</v>
      </c>
      <c r="B1" s="409" t="s">
        <v>271</v>
      </c>
      <c r="C1" s="409"/>
      <c r="D1" s="409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270</v>
      </c>
      <c r="C2" s="293"/>
      <c r="D2" s="293"/>
      <c r="E2" s="293"/>
      <c r="F2" s="293"/>
      <c r="G2" s="293"/>
      <c r="H2" s="293"/>
      <c r="I2" s="293"/>
      <c r="J2" s="293"/>
      <c r="K2" s="293"/>
      <c r="L2" s="293">
        <f>M5/B5</f>
        <v>0.19999999999999996</v>
      </c>
      <c r="M2" s="293">
        <f>M5/E5</f>
        <v>0.24025553734291591</v>
      </c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274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>
        <f>M6/E6</f>
        <v>0.37503532494593922</v>
      </c>
      <c r="O3" s="293"/>
      <c r="P3" s="293"/>
      <c r="Q3" s="293"/>
      <c r="R3" s="293"/>
      <c r="S3" s="438"/>
      <c r="T3" s="113"/>
    </row>
    <row r="4" spans="1:20" x14ac:dyDescent="0.25">
      <c r="A4" s="393"/>
      <c r="B4" s="293">
        <v>1990</v>
      </c>
      <c r="C4" s="293">
        <v>2005</v>
      </c>
      <c r="D4" s="293">
        <v>2010</v>
      </c>
      <c r="E4" s="293">
        <v>2011</v>
      </c>
      <c r="F4" s="293">
        <v>2015</v>
      </c>
      <c r="G4" s="293">
        <v>2020</v>
      </c>
      <c r="H4" s="293">
        <v>2025</v>
      </c>
      <c r="I4" s="293">
        <v>2030</v>
      </c>
      <c r="J4" s="293">
        <v>2035</v>
      </c>
      <c r="K4" s="293">
        <v>2040</v>
      </c>
      <c r="L4" s="293">
        <v>2045</v>
      </c>
      <c r="M4" s="293">
        <v>2050</v>
      </c>
      <c r="N4" s="293"/>
      <c r="O4" s="293" t="s">
        <v>275</v>
      </c>
      <c r="P4" s="293"/>
      <c r="Q4" s="293"/>
      <c r="R4" s="293"/>
      <c r="S4" s="293"/>
      <c r="T4" s="113"/>
    </row>
    <row r="5" spans="1:20" x14ac:dyDescent="0.25">
      <c r="A5" s="52" t="s">
        <v>190</v>
      </c>
      <c r="B5" s="391">
        <v>5716.4</v>
      </c>
      <c r="C5" s="391">
        <v>5345.2</v>
      </c>
      <c r="D5" s="394">
        <v>4909.5</v>
      </c>
      <c r="E5" s="391">
        <v>4758.6000000000004</v>
      </c>
      <c r="F5" s="394">
        <v>4451.8</v>
      </c>
      <c r="G5" s="395">
        <f t="shared" ref="G5:L5" si="0">$F$5-(($F$5-$M$5)/($M$4-$F$4)*(G$4-$F$4))</f>
        <v>3979.1542857142858</v>
      </c>
      <c r="H5" s="395">
        <f t="shared" si="0"/>
        <v>3506.5085714285715</v>
      </c>
      <c r="I5" s="395">
        <f t="shared" si="0"/>
        <v>3033.8628571428571</v>
      </c>
      <c r="J5" s="395">
        <f t="shared" si="0"/>
        <v>2561.2171428571428</v>
      </c>
      <c r="K5" s="395">
        <f t="shared" si="0"/>
        <v>2088.5714285714284</v>
      </c>
      <c r="L5" s="395">
        <f t="shared" si="0"/>
        <v>1615.9257142857141</v>
      </c>
      <c r="M5" s="396">
        <f>B5*(1-0.8)</f>
        <v>1143.2799999999997</v>
      </c>
      <c r="O5" s="397" t="s">
        <v>276</v>
      </c>
      <c r="P5" s="293"/>
      <c r="Q5" s="293"/>
      <c r="R5" s="293"/>
      <c r="S5" s="293">
        <v>4368.5085552144483</v>
      </c>
      <c r="T5" s="113"/>
    </row>
    <row r="6" spans="1:20" x14ac:dyDescent="0.25">
      <c r="A6" s="52" t="s">
        <v>348</v>
      </c>
      <c r="B6">
        <f>B5/E5*E6</f>
        <v>4368.5085552144483</v>
      </c>
      <c r="E6" s="455">
        <v>3636.5518177250501</v>
      </c>
      <c r="F6" s="455">
        <v>3388.3827113550301</v>
      </c>
      <c r="G6" s="455">
        <v>3130.8858978390003</v>
      </c>
      <c r="H6" s="455">
        <v>2881.2921638770299</v>
      </c>
      <c r="I6" s="455">
        <v>2503.0095046776901</v>
      </c>
      <c r="J6" s="455">
        <v>2181.9137047383397</v>
      </c>
      <c r="K6" s="455">
        <v>1933.1653299627001</v>
      </c>
      <c r="L6" s="455">
        <v>1657.5921803080901</v>
      </c>
      <c r="M6" s="455">
        <v>1363.8353926432601</v>
      </c>
      <c r="P6" s="293"/>
      <c r="Q6" s="398"/>
      <c r="R6" s="293"/>
      <c r="S6" s="293"/>
      <c r="T6" s="113"/>
    </row>
    <row r="7" spans="1:20" x14ac:dyDescent="0.25">
      <c r="A7" s="393" t="s">
        <v>349</v>
      </c>
      <c r="B7" s="293"/>
      <c r="C7" s="293"/>
      <c r="D7" s="293"/>
      <c r="E7" s="52">
        <v>691.36406088915874</v>
      </c>
      <c r="F7" s="52">
        <v>652.57310711846685</v>
      </c>
      <c r="G7" s="52">
        <v>563.002506631492</v>
      </c>
      <c r="H7" s="52">
        <v>481.55163994317684</v>
      </c>
      <c r="I7" s="52">
        <v>396.55766211747567</v>
      </c>
      <c r="J7" s="52">
        <v>325.39855339862805</v>
      </c>
      <c r="K7" s="52">
        <v>253.40613152964613</v>
      </c>
      <c r="L7" s="52">
        <v>173.66725419635918</v>
      </c>
      <c r="M7" s="52">
        <v>89.121166451879503</v>
      </c>
      <c r="N7" s="293"/>
      <c r="O7" s="293" t="s">
        <v>351</v>
      </c>
      <c r="P7" s="52"/>
      <c r="Q7" s="293"/>
      <c r="R7" s="293"/>
      <c r="S7" s="293"/>
      <c r="T7" s="113"/>
    </row>
    <row r="8" spans="1:20" x14ac:dyDescent="0.25">
      <c r="A8" s="52" t="s">
        <v>350</v>
      </c>
      <c r="E8">
        <f>E6-E7</f>
        <v>2945.1877568358914</v>
      </c>
      <c r="F8" s="438">
        <f t="shared" ref="F8:M8" si="1">F6-F7</f>
        <v>2735.8096042365632</v>
      </c>
      <c r="G8" s="438">
        <f t="shared" si="1"/>
        <v>2567.8833912075083</v>
      </c>
      <c r="H8" s="438">
        <f t="shared" si="1"/>
        <v>2399.7405239338532</v>
      </c>
      <c r="I8" s="438">
        <f t="shared" si="1"/>
        <v>2106.4518425602146</v>
      </c>
      <c r="J8" s="438">
        <f t="shared" si="1"/>
        <v>1856.5151513397116</v>
      </c>
      <c r="K8" s="438">
        <f t="shared" si="1"/>
        <v>1679.7591984330538</v>
      </c>
      <c r="L8" s="438">
        <f t="shared" si="1"/>
        <v>1483.9249261117309</v>
      </c>
      <c r="M8" s="438">
        <f t="shared" si="1"/>
        <v>1274.7142261913805</v>
      </c>
      <c r="O8">
        <f>(M7+M8)/B6</f>
        <v>0.31219702912457958</v>
      </c>
      <c r="P8" s="293"/>
      <c r="Q8" s="293">
        <f>B6*0.2</f>
        <v>873.70171104288966</v>
      </c>
      <c r="R8" s="293"/>
      <c r="S8" s="293"/>
      <c r="T8" s="113"/>
    </row>
    <row r="9" spans="1:20" x14ac:dyDescent="0.25">
      <c r="A9" s="393" t="s">
        <v>277</v>
      </c>
      <c r="B9" s="391" t="s">
        <v>278</v>
      </c>
      <c r="C9" s="395" t="s">
        <v>279</v>
      </c>
      <c r="D9" s="396" t="s">
        <v>273</v>
      </c>
      <c r="E9" s="293"/>
      <c r="F9" s="293"/>
      <c r="G9" s="293" t="s">
        <v>280</v>
      </c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113"/>
    </row>
    <row r="10" spans="1:20" ht="15.75" thickBot="1" x14ac:dyDescent="0.3">
      <c r="A10" s="537" t="s">
        <v>281</v>
      </c>
      <c r="B10" s="538"/>
      <c r="C10" s="538"/>
      <c r="D10" s="538"/>
      <c r="E10" s="538"/>
      <c r="F10" s="538"/>
      <c r="G10" s="538"/>
      <c r="H10" s="538"/>
      <c r="I10" s="538"/>
      <c r="J10" s="538"/>
      <c r="K10" s="293"/>
      <c r="L10" s="293"/>
      <c r="M10" s="293"/>
      <c r="N10" s="293"/>
      <c r="O10" s="293"/>
      <c r="P10" s="293"/>
      <c r="Q10" s="293"/>
      <c r="R10" s="293"/>
      <c r="S10" s="293"/>
      <c r="T10" s="113"/>
    </row>
    <row r="11" spans="1:20" x14ac:dyDescent="0.25">
      <c r="A11" s="377"/>
      <c r="B11" s="399">
        <v>2011</v>
      </c>
      <c r="C11" s="399">
        <v>2015</v>
      </c>
      <c r="D11" s="399">
        <v>2020</v>
      </c>
      <c r="E11" s="399">
        <v>2025</v>
      </c>
      <c r="F11" s="399">
        <v>2030</v>
      </c>
      <c r="G11" s="399">
        <v>2035</v>
      </c>
      <c r="H11" s="399">
        <v>2040</v>
      </c>
      <c r="I11" s="399">
        <v>2045</v>
      </c>
      <c r="J11" s="400">
        <v>2050</v>
      </c>
      <c r="K11" s="293"/>
      <c r="L11" s="293"/>
      <c r="M11" s="293"/>
      <c r="N11" s="293"/>
      <c r="O11" s="293"/>
      <c r="P11" s="293"/>
      <c r="Q11" s="293"/>
      <c r="R11" s="293"/>
      <c r="S11" s="293"/>
      <c r="T11" s="113"/>
    </row>
    <row r="12" spans="1:20" ht="15.75" thickBot="1" x14ac:dyDescent="0.3">
      <c r="A12" s="401" t="s">
        <v>190</v>
      </c>
      <c r="B12" s="88">
        <f>E5/$E$5</f>
        <v>1</v>
      </c>
      <c r="C12" s="88">
        <f>F5/$E$5</f>
        <v>0.93552725591560537</v>
      </c>
      <c r="D12" s="88">
        <f t="shared" ref="D12:J12" si="2">G5/$E$5</f>
        <v>0.83620272469093548</v>
      </c>
      <c r="E12" s="88">
        <f t="shared" si="2"/>
        <v>0.7368781934662656</v>
      </c>
      <c r="F12" s="88">
        <f t="shared" si="2"/>
        <v>0.6375536622415956</v>
      </c>
      <c r="G12" s="88">
        <f t="shared" si="2"/>
        <v>0.53822913101692571</v>
      </c>
      <c r="H12" s="88">
        <f t="shared" si="2"/>
        <v>0.43890459979225577</v>
      </c>
      <c r="I12" s="88">
        <f t="shared" si="2"/>
        <v>0.33958006856758582</v>
      </c>
      <c r="J12" s="88">
        <f t="shared" si="2"/>
        <v>0.24025553734291591</v>
      </c>
      <c r="K12" s="293"/>
      <c r="L12" s="293"/>
      <c r="M12" s="293"/>
      <c r="N12" s="293"/>
      <c r="O12" s="293"/>
      <c r="P12" s="293"/>
      <c r="Q12" s="293"/>
      <c r="R12" s="293"/>
      <c r="S12" s="293"/>
      <c r="T12" s="113"/>
    </row>
    <row r="13" spans="1:20" x14ac:dyDescent="0.25">
      <c r="A13" s="410" t="s">
        <v>272</v>
      </c>
      <c r="B13" s="396" t="s">
        <v>286</v>
      </c>
      <c r="C13" s="396"/>
      <c r="D13" s="396"/>
      <c r="E13" s="293"/>
      <c r="F13" s="293"/>
      <c r="G13" s="293"/>
      <c r="H13" s="293"/>
      <c r="I13" s="293"/>
      <c r="J13" s="293"/>
      <c r="K13" s="376"/>
      <c r="L13" s="376"/>
      <c r="M13" s="376"/>
      <c r="N13" s="376"/>
      <c r="O13" s="376"/>
      <c r="P13" s="376"/>
      <c r="Q13" s="376"/>
      <c r="R13" s="376"/>
      <c r="S13" s="376"/>
      <c r="T13" s="392"/>
    </row>
    <row r="14" spans="1:20" x14ac:dyDescent="0.25">
      <c r="A14" s="393"/>
      <c r="B14" s="293" t="s">
        <v>287</v>
      </c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113"/>
    </row>
    <row r="15" spans="1:20" x14ac:dyDescent="0.25">
      <c r="A15" s="393" t="s">
        <v>273</v>
      </c>
      <c r="B15" s="293" t="s">
        <v>288</v>
      </c>
      <c r="C15" s="293"/>
      <c r="D15" s="293"/>
      <c r="E15" s="407" t="s">
        <v>289</v>
      </c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113"/>
    </row>
    <row r="16" spans="1:20" x14ac:dyDescent="0.25"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282</v>
      </c>
      <c r="B17" s="404">
        <f>'EU-Reference CO2 emissions'!F1</f>
        <v>2000</v>
      </c>
      <c r="C17" s="404">
        <f>'EU-Reference CO2 emissions'!G1</f>
        <v>2005</v>
      </c>
      <c r="D17" s="404">
        <f>'EU-Reference CO2 emissions'!H1</f>
        <v>2010</v>
      </c>
      <c r="E17" s="404">
        <f>'EU-Reference CO2 emissions'!I1</f>
        <v>2011</v>
      </c>
      <c r="F17" s="404">
        <f>'EU-Reference CO2 emissions'!J1</f>
        <v>2015</v>
      </c>
      <c r="G17" s="404">
        <f>'EU-Reference CO2 emissions'!K1</f>
        <v>2020</v>
      </c>
      <c r="H17" s="404">
        <f>'EU-Reference CO2 emissions'!L1</f>
        <v>2025</v>
      </c>
      <c r="I17" s="404">
        <f>'EU-Reference CO2 emissions'!M1</f>
        <v>2030</v>
      </c>
      <c r="J17" s="404">
        <f>'EU-Reference CO2 emissions'!N1</f>
        <v>2035</v>
      </c>
      <c r="K17" s="404">
        <f>'EU-Reference CO2 emissions'!O1</f>
        <v>2040</v>
      </c>
      <c r="L17" s="404">
        <f>'EU-Reference CO2 emissions'!P1</f>
        <v>2045</v>
      </c>
      <c r="M17" s="404">
        <f>'EU-Reference CO2 emissions'!Q1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89" t="str">
        <f>'EU-Reference CO2 emissions'!B2</f>
        <v>DEU</v>
      </c>
      <c r="B18" s="293">
        <f>'EU-Reference CO2 emissions'!F2</f>
        <v>488.91820002711893</v>
      </c>
      <c r="C18" s="293">
        <f>'EU-Reference CO2 emissions'!G2</f>
        <v>486.48388875822275</v>
      </c>
      <c r="D18" s="293">
        <f>'EU-Reference CO2 emissions'!H2</f>
        <v>463.3738824095135</v>
      </c>
      <c r="E18" s="293">
        <f>'EU-Reference CO2 emissions'!I2</f>
        <v>461.55702699358528</v>
      </c>
      <c r="F18" s="293">
        <f>'EU-Reference CO2 emissions'!J2</f>
        <v>456.10646074580069</v>
      </c>
      <c r="G18" s="293">
        <f>'EU-Reference CO2 emissions'!K2</f>
        <v>442.26652391554785</v>
      </c>
      <c r="H18" s="293">
        <f>'EU-Reference CO2 emissions'!L2</f>
        <v>436.90256087013887</v>
      </c>
      <c r="I18" s="293">
        <f>'EU-Reference CO2 emissions'!M2</f>
        <v>385.42383338251597</v>
      </c>
      <c r="J18" s="293">
        <f>'EU-Reference CO2 emissions'!N2</f>
        <v>330.99252730216068</v>
      </c>
      <c r="K18" s="293">
        <f>'EU-Reference CO2 emissions'!O2</f>
        <v>293.45762788285134</v>
      </c>
      <c r="L18" s="293">
        <f>'EU-Reference CO2 emissions'!P2</f>
        <v>244.19368533092873</v>
      </c>
      <c r="M18" s="293">
        <f>'EU-Reference CO2 emissions'!Q2</f>
        <v>184.81828439634086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89" t="str">
        <f>'EU-Reference CO2 emissions'!B3</f>
        <v>FRA</v>
      </c>
      <c r="B19" s="293">
        <f>'EU-Reference CO2 emissions'!F3</f>
        <v>141.13842754867071</v>
      </c>
      <c r="C19" s="293">
        <f>'EU-Reference CO2 emissions'!G3</f>
        <v>136.96329688088758</v>
      </c>
      <c r="D19" s="293">
        <f>'EU-Reference CO2 emissions'!H3</f>
        <v>117.23985890726397</v>
      </c>
      <c r="E19" s="293">
        <f>'EU-Reference CO2 emissions'!I3</f>
        <v>112.97337786499926</v>
      </c>
      <c r="F19" s="293">
        <f>'EU-Reference CO2 emissions'!J3</f>
        <v>100.17393473820515</v>
      </c>
      <c r="G19" s="293">
        <f>'EU-Reference CO2 emissions'!K3</f>
        <v>91.301972850770056</v>
      </c>
      <c r="H19" s="293">
        <f>'EU-Reference CO2 emissions'!L3</f>
        <v>77.068893485345214</v>
      </c>
      <c r="I19" s="293">
        <f>'EU-Reference CO2 emissions'!M3</f>
        <v>65.700797635235389</v>
      </c>
      <c r="J19" s="293">
        <f>'EU-Reference CO2 emissions'!N3</f>
        <v>57.337228996633826</v>
      </c>
      <c r="K19" s="293">
        <f>'EU-Reference CO2 emissions'!O3</f>
        <v>64.269632779331118</v>
      </c>
      <c r="L19" s="293">
        <f>'EU-Reference CO2 emissions'!P3</f>
        <v>61.112213244801865</v>
      </c>
      <c r="M19" s="293">
        <f>'EU-Reference CO2 emissions'!Q3</f>
        <v>53.267947733264918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89" t="str">
        <f>'EU-Reference CO2 emissions'!B4</f>
        <v>ITA</v>
      </c>
      <c r="B20" s="293">
        <f>'EU-Reference CO2 emissions'!F4</f>
        <v>231.04274234766692</v>
      </c>
      <c r="C20" s="293">
        <f>'EU-Reference CO2 emissions'!G4</f>
        <v>249.39983412189059</v>
      </c>
      <c r="D20" s="293">
        <f>'EU-Reference CO2 emissions'!H4</f>
        <v>201.76059488578264</v>
      </c>
      <c r="E20" s="293">
        <f>'EU-Reference CO2 emissions'!I4</f>
        <v>192.12914418519935</v>
      </c>
      <c r="F20" s="293">
        <f>'EU-Reference CO2 emissions'!J4</f>
        <v>163.23479208344949</v>
      </c>
      <c r="G20" s="293">
        <f>'EU-Reference CO2 emissions'!K4</f>
        <v>177.64551991098381</v>
      </c>
      <c r="H20" s="293">
        <f>'EU-Reference CO2 emissions'!L4</f>
        <v>147.38037425215498</v>
      </c>
      <c r="I20" s="293">
        <f>'EU-Reference CO2 emissions'!M4</f>
        <v>134.23745668021002</v>
      </c>
      <c r="J20" s="293">
        <f>'EU-Reference CO2 emissions'!N4</f>
        <v>123.8991766666489</v>
      </c>
      <c r="K20" s="293">
        <f>'EU-Reference CO2 emissions'!O4</f>
        <v>105.97027368886343</v>
      </c>
      <c r="L20" s="293">
        <f>'EU-Reference CO2 emissions'!P4</f>
        <v>96.108630127694383</v>
      </c>
      <c r="M20" s="293">
        <f>'EU-Reference CO2 emissions'!Q4</f>
        <v>85.66121394731438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89" t="str">
        <f>'EU-Reference CO2 emissions'!B5</f>
        <v>POL</v>
      </c>
      <c r="B21" s="293">
        <f>'EU-Reference CO2 emissions'!F5</f>
        <v>229.4952579912586</v>
      </c>
      <c r="C21" s="293">
        <f>'EU-Reference CO2 emissions'!G5</f>
        <v>215.53817687929265</v>
      </c>
      <c r="D21" s="293">
        <f>'EU-Reference CO2 emissions'!H5</f>
        <v>204.5287738595392</v>
      </c>
      <c r="E21" s="293">
        <f>'EU-Reference CO2 emissions'!I5</f>
        <v>204.01104643828651</v>
      </c>
      <c r="F21" s="293">
        <f>'EU-Reference CO2 emissions'!J5</f>
        <v>202.45786417452842</v>
      </c>
      <c r="G21" s="293">
        <f>'EU-Reference CO2 emissions'!K5</f>
        <v>198.98712532892287</v>
      </c>
      <c r="H21" s="293">
        <f>'EU-Reference CO2 emissions'!L5</f>
        <v>192.13271378107578</v>
      </c>
      <c r="I21" s="293">
        <f>'EU-Reference CO2 emissions'!M5</f>
        <v>186.06482399965626</v>
      </c>
      <c r="J21" s="293">
        <f>'EU-Reference CO2 emissions'!N5</f>
        <v>154.67691898992777</v>
      </c>
      <c r="K21" s="293">
        <f>'EU-Reference CO2 emissions'!O5</f>
        <v>126.1203725400871</v>
      </c>
      <c r="L21" s="293">
        <f>'EU-Reference CO2 emissions'!P5</f>
        <v>87.795183452855369</v>
      </c>
      <c r="M21" s="293">
        <f>'EU-Reference CO2 emissions'!Q5</f>
        <v>60.499510118646064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89" t="str">
        <f>'EU-Reference CO2 emissions'!B6</f>
        <v>UKI</v>
      </c>
      <c r="B22" s="293">
        <f>'EU-Reference CO2 emissions'!F6</f>
        <v>302.92928030144441</v>
      </c>
      <c r="C22" s="293">
        <f>'EU-Reference CO2 emissions'!G6</f>
        <v>302.28670923173541</v>
      </c>
      <c r="D22" s="293">
        <f>'EU-Reference CO2 emissions'!H6</f>
        <v>259.7938832438482</v>
      </c>
      <c r="E22" s="293">
        <f>'EU-Reference CO2 emissions'!I6</f>
        <v>251.32691667462282</v>
      </c>
      <c r="F22" s="293">
        <f>'EU-Reference CO2 emissions'!J6</f>
        <v>225.92601696694666</v>
      </c>
      <c r="G22" s="293">
        <f>'EU-Reference CO2 emissions'!K6</f>
        <v>140.93158805526608</v>
      </c>
      <c r="H22" s="293">
        <f>'EU-Reference CO2 emissions'!L6</f>
        <v>120.0296978724646</v>
      </c>
      <c r="I22" s="293">
        <f>'EU-Reference CO2 emissions'!M6</f>
        <v>89.136345927282179</v>
      </c>
      <c r="J22" s="293">
        <f>'EU-Reference CO2 emissions'!N6</f>
        <v>81.952968319659306</v>
      </c>
      <c r="K22" s="293">
        <f>'EU-Reference CO2 emissions'!O6</f>
        <v>81.620791217275084</v>
      </c>
      <c r="L22" s="293">
        <f>'EU-Reference CO2 emissions'!P6</f>
        <v>79.792754289135075</v>
      </c>
      <c r="M22" s="293">
        <f>'EU-Reference CO2 emissions'!Q6</f>
        <v>67.640936345091021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89" t="str">
        <f>'EU-Reference CO2 emissions'!B7</f>
        <v>ESP</v>
      </c>
      <c r="B23" s="293">
        <f>'EU-Reference CO2 emissions'!F7</f>
        <v>198.32630353778518</v>
      </c>
      <c r="C23" s="293">
        <f>'EU-Reference CO2 emissions'!G7</f>
        <v>226.66907263973206</v>
      </c>
      <c r="D23" s="293">
        <f>'EU-Reference CO2 emissions'!H7</f>
        <v>152.51948586979279</v>
      </c>
      <c r="E23" s="293">
        <f>'EU-Reference CO2 emissions'!I7</f>
        <v>155.35220414925755</v>
      </c>
      <c r="F23" s="293">
        <f>'EU-Reference CO2 emissions'!J7</f>
        <v>163.85035898765187</v>
      </c>
      <c r="G23" s="293">
        <f>'EU-Reference CO2 emissions'!K7</f>
        <v>148.95612605323024</v>
      </c>
      <c r="H23" s="293">
        <f>'EU-Reference CO2 emissions'!L7</f>
        <v>121.72461944432661</v>
      </c>
      <c r="I23" s="293">
        <f>'EU-Reference CO2 emissions'!M7</f>
        <v>90.727591186146626</v>
      </c>
      <c r="J23" s="293">
        <f>'EU-Reference CO2 emissions'!N7</f>
        <v>74.676957278128839</v>
      </c>
      <c r="K23" s="293">
        <f>'EU-Reference CO2 emissions'!O7</f>
        <v>70.552182051491826</v>
      </c>
      <c r="L23" s="293">
        <f>'EU-Reference CO2 emissions'!P7</f>
        <v>66.402900768181041</v>
      </c>
      <c r="M23" s="293">
        <f>'EU-Reference CO2 emissions'!Q7</f>
        <v>57.095036556541679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89" t="str">
        <f>'EU-Reference CO2 emissions'!B8</f>
        <v>BNL</v>
      </c>
      <c r="B24" s="293">
        <f>'EU-Reference CO2 emissions'!F8</f>
        <v>155.55010813336861</v>
      </c>
      <c r="C24" s="293">
        <f>'EU-Reference CO2 emissions'!G8</f>
        <v>149.84843036550777</v>
      </c>
      <c r="D24" s="293">
        <f>'EU-Reference CO2 emissions'!H8</f>
        <v>137.98585137115342</v>
      </c>
      <c r="E24" s="293">
        <f>'EU-Reference CO2 emissions'!I8</f>
        <v>136.75403488387275</v>
      </c>
      <c r="F24" s="293">
        <f>'EU-Reference CO2 emissions'!J8</f>
        <v>133.05858542203069</v>
      </c>
      <c r="G24" s="293">
        <f>'EU-Reference CO2 emissions'!K8</f>
        <v>113.87490893708164</v>
      </c>
      <c r="H24" s="293">
        <f>'EU-Reference CO2 emissions'!L8</f>
        <v>118.97463329386686</v>
      </c>
      <c r="I24" s="293">
        <f>'EU-Reference CO2 emissions'!M8</f>
        <v>105.34555806192131</v>
      </c>
      <c r="J24" s="293">
        <f>'EU-Reference CO2 emissions'!N8</f>
        <v>98.704328823158207</v>
      </c>
      <c r="K24" s="293">
        <f>'EU-Reference CO2 emissions'!O8</f>
        <v>95.13095680614245</v>
      </c>
      <c r="L24" s="293">
        <f>'EU-Reference CO2 emissions'!P8</f>
        <v>91.294512807131028</v>
      </c>
      <c r="M24" s="293">
        <f>'EU-Reference CO2 emissions'!Q8</f>
        <v>85.265954382368307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89" t="str">
        <f>'EU-Reference CO2 emissions'!B9</f>
        <v>EUN</v>
      </c>
      <c r="B25" s="293">
        <f>'EU-Reference CO2 emissions'!F9</f>
        <v>135.57712109881277</v>
      </c>
      <c r="C25" s="293">
        <f>'EU-Reference CO2 emissions'!G9</f>
        <v>132.88834639973263</v>
      </c>
      <c r="D25" s="293">
        <f>'EU-Reference CO2 emissions'!H9</f>
        <v>135.41107208426203</v>
      </c>
      <c r="E25" s="293">
        <f>'EU-Reference CO2 emissions'!I9</f>
        <v>125.89438431958624</v>
      </c>
      <c r="F25" s="293">
        <f>'EU-Reference CO2 emissions'!J9</f>
        <v>97.344321025558855</v>
      </c>
      <c r="G25" s="293">
        <f>'EU-Reference CO2 emissions'!K9</f>
        <v>94.161967902106838</v>
      </c>
      <c r="H25" s="293">
        <f>'EU-Reference CO2 emissions'!L9</f>
        <v>90.26616760959007</v>
      </c>
      <c r="I25" s="293">
        <f>'EU-Reference CO2 emissions'!M9</f>
        <v>76.857697251065758</v>
      </c>
      <c r="J25" s="293">
        <f>'EU-Reference CO2 emissions'!N9</f>
        <v>66.721407884727043</v>
      </c>
      <c r="K25" s="293">
        <f>'EU-Reference CO2 emissions'!O9</f>
        <v>52.73097369982235</v>
      </c>
      <c r="L25" s="293">
        <f>'EU-Reference CO2 emissions'!P9</f>
        <v>43.535689925767798</v>
      </c>
      <c r="M25" s="293">
        <f>'EU-Reference CO2 emissions'!Q9</f>
        <v>39.97694195834567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89" t="str">
        <f>'EU-Reference CO2 emissions'!B10</f>
        <v>EUS</v>
      </c>
      <c r="B26" s="293">
        <f>'EU-Reference CO2 emissions'!F10</f>
        <v>381.60163704440595</v>
      </c>
      <c r="C26" s="293">
        <f>'EU-Reference CO2 emissions'!G10</f>
        <v>391.47034745315034</v>
      </c>
      <c r="D26" s="293">
        <f>'EU-Reference CO2 emissions'!H10</f>
        <v>338.37814030571838</v>
      </c>
      <c r="E26" s="293">
        <f>'EU-Reference CO2 emissions'!I10</f>
        <v>326.26551758267283</v>
      </c>
      <c r="F26" s="293">
        <f>'EU-Reference CO2 emissions'!J10</f>
        <v>289.92764941353619</v>
      </c>
      <c r="G26" s="293">
        <f>'EU-Reference CO2 emissions'!K10</f>
        <v>284.72713528647506</v>
      </c>
      <c r="H26" s="293">
        <f>'EU-Reference CO2 emissions'!L10</f>
        <v>253.4192400212379</v>
      </c>
      <c r="I26" s="293">
        <f>'EU-Reference CO2 emissions'!M10</f>
        <v>219.86942940945659</v>
      </c>
      <c r="J26" s="293">
        <f>'EU-Reference CO2 emissions'!N10</f>
        <v>190.78727869673457</v>
      </c>
      <c r="K26" s="293">
        <f>'EU-Reference CO2 emissions'!O10</f>
        <v>155.39909830378573</v>
      </c>
      <c r="L26" s="293">
        <f>'EU-Reference CO2 emissions'!P10</f>
        <v>126.01543654017749</v>
      </c>
      <c r="M26" s="293">
        <f>'EU-Reference CO2 emissions'!Q10</f>
        <v>103.19249585998952</v>
      </c>
      <c r="N26" s="293"/>
      <c r="O26" s="293"/>
      <c r="P26" s="293"/>
      <c r="Q26" s="293"/>
      <c r="R26" s="293"/>
      <c r="S26" s="293"/>
      <c r="T26" s="113"/>
    </row>
    <row r="27" spans="1:20" x14ac:dyDescent="0.25">
      <c r="A27" s="389" t="str">
        <f>'EU-Reference CO2 emissions'!B11</f>
        <v>EU28</v>
      </c>
      <c r="B27" s="404">
        <f>'EU-Reference CO2 emissions'!F11</f>
        <v>2264.5790780305319</v>
      </c>
      <c r="C27" s="404">
        <f>'EU-Reference CO2 emissions'!G11</f>
        <v>2291.5481027301516</v>
      </c>
      <c r="D27" s="404">
        <f>'EU-Reference CO2 emissions'!H11</f>
        <v>2010.9915429368743</v>
      </c>
      <c r="E27" s="404">
        <f>'EU-Reference CO2 emissions'!I11</f>
        <v>1966.2636530920827</v>
      </c>
      <c r="F27" s="404">
        <f>'EU-Reference CO2 emissions'!J11</f>
        <v>1832.0799835577081</v>
      </c>
      <c r="G27" s="404">
        <f>'EU-Reference CO2 emissions'!K11</f>
        <v>1692.8528682403846</v>
      </c>
      <c r="H27" s="404">
        <f>'EU-Reference CO2 emissions'!L11</f>
        <v>1557.8989006302008</v>
      </c>
      <c r="I27" s="404">
        <f>'EU-Reference CO2 emissions'!M11</f>
        <v>1353.36353353349</v>
      </c>
      <c r="J27" s="404">
        <f>'EU-Reference CO2 emissions'!N11</f>
        <v>1179.7487929577792</v>
      </c>
      <c r="K27" s="404">
        <f>'EU-Reference CO2 emissions'!O11</f>
        <v>1045.2519089696505</v>
      </c>
      <c r="L27" s="404">
        <f>'EU-Reference CO2 emissions'!P11</f>
        <v>896.25100648667274</v>
      </c>
      <c r="M27" s="404">
        <f>'EU-Reference CO2 emissions'!Q11</f>
        <v>737.41832129790248</v>
      </c>
      <c r="N27" s="293"/>
      <c r="O27" s="293">
        <f>M27/D27</f>
        <v>0.36669389480423603</v>
      </c>
      <c r="P27" s="293">
        <f>M27/E27</f>
        <v>0.37503532150343227</v>
      </c>
      <c r="Q27" s="293"/>
      <c r="R27" s="293"/>
      <c r="S27" s="293"/>
      <c r="T27" s="113"/>
    </row>
    <row r="28" spans="1:20" x14ac:dyDescent="0.25"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3" t="s">
        <v>283</v>
      </c>
      <c r="B29" s="293">
        <f>'EU-Reference CO2 emissions'!F14</f>
        <v>2000</v>
      </c>
      <c r="C29" s="293">
        <f>'EU-Reference CO2 emissions'!G14</f>
        <v>2005</v>
      </c>
      <c r="D29" s="293">
        <f>'EU-Reference CO2 emissions'!H14</f>
        <v>2010</v>
      </c>
      <c r="E29" s="293">
        <f>'EU-Reference CO2 emissions'!I14</f>
        <v>2011</v>
      </c>
      <c r="F29" s="293">
        <f>'EU-Reference CO2 emissions'!J14</f>
        <v>2015</v>
      </c>
      <c r="G29" s="293">
        <f>'EU-Reference CO2 emissions'!K14</f>
        <v>2020</v>
      </c>
      <c r="H29" s="293">
        <f>'EU-Reference CO2 emissions'!L14</f>
        <v>2025</v>
      </c>
      <c r="I29" s="293">
        <f>'EU-Reference CO2 emissions'!M14</f>
        <v>2030</v>
      </c>
      <c r="J29" s="293">
        <f>'EU-Reference CO2 emissions'!N14</f>
        <v>2035</v>
      </c>
      <c r="K29" s="293">
        <f>'EU-Reference CO2 emissions'!O14</f>
        <v>2040</v>
      </c>
      <c r="L29" s="293">
        <f>'EU-Reference CO2 emissions'!P14</f>
        <v>2045</v>
      </c>
      <c r="M29" s="293">
        <f>'EU-Reference CO2 emissions'!Q14</f>
        <v>2050</v>
      </c>
      <c r="N29" s="293"/>
      <c r="O29" s="293"/>
      <c r="P29" s="293"/>
      <c r="Q29" s="293"/>
      <c r="R29" s="293"/>
      <c r="S29" s="293"/>
      <c r="T29" s="113"/>
    </row>
    <row r="30" spans="1:20" x14ac:dyDescent="0.25">
      <c r="A30" s="393" t="str">
        <f>'EU-Reference CO2 emissions'!B15</f>
        <v>DEU</v>
      </c>
      <c r="B30" s="293">
        <f>'EU-Reference CO2 emissions'!F15</f>
        <v>363.19003914032862</v>
      </c>
      <c r="C30" s="293">
        <f>'EU-Reference CO2 emissions'!G15</f>
        <v>338.76372295093802</v>
      </c>
      <c r="D30" s="293">
        <f>'EU-Reference CO2 emissions'!H15</f>
        <v>324.43346484088443</v>
      </c>
      <c r="E30" s="293">
        <f>'EU-Reference CO2 emissions'!I15</f>
        <v>323.71743319316772</v>
      </c>
      <c r="F30" s="293">
        <f>'EU-Reference CO2 emissions'!J15</f>
        <v>321.56933825001761</v>
      </c>
      <c r="G30" s="293">
        <f>'EU-Reference CO2 emissions'!K15</f>
        <v>291.81302058724117</v>
      </c>
      <c r="H30" s="293">
        <f>'EU-Reference CO2 emissions'!L15</f>
        <v>277.33697705242082</v>
      </c>
      <c r="I30" s="293">
        <f>'EU-Reference CO2 emissions'!M15</f>
        <v>258.52298763065187</v>
      </c>
      <c r="J30" s="293">
        <f>'EU-Reference CO2 emissions'!N15</f>
        <v>248.94943523932304</v>
      </c>
      <c r="K30" s="293">
        <f>'EU-Reference CO2 emissions'!O15</f>
        <v>242.51923157589843</v>
      </c>
      <c r="L30" s="293">
        <f>'EU-Reference CO2 emissions'!P15</f>
        <v>238.45863766196038</v>
      </c>
      <c r="M30" s="293">
        <f>'EU-Reference CO2 emissions'!Q15</f>
        <v>234.01511787280947</v>
      </c>
      <c r="N30" s="293"/>
      <c r="O30" s="293"/>
      <c r="P30" s="293"/>
      <c r="Q30" s="293"/>
      <c r="R30" s="293"/>
      <c r="S30" s="293"/>
      <c r="T30" s="113"/>
    </row>
    <row r="31" spans="1:20" x14ac:dyDescent="0.25">
      <c r="A31" s="393" t="str">
        <f>'EU-Reference CO2 emissions'!B16</f>
        <v>FRA</v>
      </c>
      <c r="B31" s="293">
        <f>'EU-Reference CO2 emissions'!F16</f>
        <v>247.12609809914568</v>
      </c>
      <c r="C31" s="293">
        <f>'EU-Reference CO2 emissions'!G16</f>
        <v>257.3978702205535</v>
      </c>
      <c r="D31" s="293">
        <f>'EU-Reference CO2 emissions'!H16</f>
        <v>242.710331607916</v>
      </c>
      <c r="E31" s="293">
        <f>'EU-Reference CO2 emissions'!I16</f>
        <v>240.10913845947755</v>
      </c>
      <c r="F31" s="293">
        <f>'EU-Reference CO2 emissions'!J16</f>
        <v>232.30555901416224</v>
      </c>
      <c r="G31" s="293">
        <f>'EU-Reference CO2 emissions'!K16</f>
        <v>216.5503612489652</v>
      </c>
      <c r="H31" s="293">
        <f>'EU-Reference CO2 emissions'!L16</f>
        <v>211.09389348443452</v>
      </c>
      <c r="I31" s="293">
        <f>'EU-Reference CO2 emissions'!M16</f>
        <v>204.73806194798652</v>
      </c>
      <c r="J31" s="293">
        <f>'EU-Reference CO2 emissions'!N16</f>
        <v>200.56874086076598</v>
      </c>
      <c r="K31" s="293">
        <f>'EU-Reference CO2 emissions'!O16</f>
        <v>197.98236394644758</v>
      </c>
      <c r="L31" s="293">
        <f>'EU-Reference CO2 emissions'!P16</f>
        <v>194.58095490915605</v>
      </c>
      <c r="M31" s="293">
        <f>'EU-Reference CO2 emissions'!Q16</f>
        <v>191.69480903744017</v>
      </c>
      <c r="N31" s="293"/>
      <c r="O31" s="293"/>
      <c r="P31" s="293"/>
      <c r="Q31" s="293"/>
      <c r="R31" s="293"/>
      <c r="S31" s="293"/>
      <c r="T31" s="113"/>
    </row>
    <row r="32" spans="1:20" x14ac:dyDescent="0.25">
      <c r="A32" s="393" t="str">
        <f>'EU-Reference CO2 emissions'!B17</f>
        <v>ITA</v>
      </c>
      <c r="B32" s="293">
        <f>'EU-Reference CO2 emissions'!F17</f>
        <v>201.4952260902611</v>
      </c>
      <c r="C32" s="293">
        <f>'EU-Reference CO2 emissions'!G17</f>
        <v>221.02037806096394</v>
      </c>
      <c r="D32" s="293">
        <f>'EU-Reference CO2 emissions'!H17</f>
        <v>202.42680042950434</v>
      </c>
      <c r="E32" s="293">
        <f>'EU-Reference CO2 emissions'!I17</f>
        <v>199.68372640707375</v>
      </c>
      <c r="F32" s="293">
        <f>'EU-Reference CO2 emissions'!J17</f>
        <v>191.45450433978198</v>
      </c>
      <c r="G32" s="293">
        <f>'EU-Reference CO2 emissions'!K17</f>
        <v>184.03006815259602</v>
      </c>
      <c r="H32" s="293">
        <f>'EU-Reference CO2 emissions'!L17</f>
        <v>178.75731984596223</v>
      </c>
      <c r="I32" s="293">
        <f>'EU-Reference CO2 emissions'!M17</f>
        <v>174.3832662181799</v>
      </c>
      <c r="J32" s="293">
        <f>'EU-Reference CO2 emissions'!N17</f>
        <v>168.82750965995933</v>
      </c>
      <c r="K32" s="293">
        <f>'EU-Reference CO2 emissions'!O17</f>
        <v>164.82280860212074</v>
      </c>
      <c r="L32" s="293">
        <f>'EU-Reference CO2 emissions'!P17</f>
        <v>164.91098170014058</v>
      </c>
      <c r="M32" s="293">
        <f>'EU-Reference CO2 emissions'!Q17</f>
        <v>162.22883503980341</v>
      </c>
      <c r="N32" s="293"/>
      <c r="O32" s="293"/>
      <c r="P32" s="293"/>
      <c r="Q32" s="293"/>
      <c r="R32" s="293"/>
      <c r="S32" s="293"/>
      <c r="T32" s="113"/>
    </row>
    <row r="33" spans="1:20" x14ac:dyDescent="0.25">
      <c r="A33" s="393" t="str">
        <f>'EU-Reference CO2 emissions'!B18</f>
        <v>POL</v>
      </c>
      <c r="B33" s="293">
        <f>'EU-Reference CO2 emissions'!F18</f>
        <v>73.78726096449077</v>
      </c>
      <c r="C33" s="293">
        <f>'EU-Reference CO2 emissions'!G18</f>
        <v>92.002429139983789</v>
      </c>
      <c r="D33" s="293">
        <f>'EU-Reference CO2 emissions'!H18</f>
        <v>116.16039670755603</v>
      </c>
      <c r="E33" s="293">
        <f>'EU-Reference CO2 emissions'!I18</f>
        <v>114.44868950053666</v>
      </c>
      <c r="F33" s="293">
        <f>'EU-Reference CO2 emissions'!J18</f>
        <v>109.31356787947854</v>
      </c>
      <c r="G33" s="293">
        <f>'EU-Reference CO2 emissions'!K18</f>
        <v>107.45875730727505</v>
      </c>
      <c r="H33" s="293">
        <f>'EU-Reference CO2 emissions'!L18</f>
        <v>104.16420820186524</v>
      </c>
      <c r="I33" s="293">
        <f>'EU-Reference CO2 emissions'!M18</f>
        <v>101.14292826288637</v>
      </c>
      <c r="J33" s="293">
        <f>'EU-Reference CO2 emissions'!N18</f>
        <v>98.298734217044526</v>
      </c>
      <c r="K33" s="293">
        <f>'EU-Reference CO2 emissions'!O18</f>
        <v>96.256080409029778</v>
      </c>
      <c r="L33" s="293">
        <f>'EU-Reference CO2 emissions'!P18</f>
        <v>95.567978209267068</v>
      </c>
      <c r="M33" s="293">
        <f>'EU-Reference CO2 emissions'!Q18</f>
        <v>94.687728655357887</v>
      </c>
      <c r="N33" s="293"/>
      <c r="O33" s="293"/>
      <c r="P33" s="293"/>
      <c r="Q33" s="293"/>
      <c r="R33" s="293"/>
      <c r="S33" s="293"/>
      <c r="T33" s="113"/>
    </row>
    <row r="34" spans="1:20" x14ac:dyDescent="0.25">
      <c r="A34" s="393" t="str">
        <f>'EU-Reference CO2 emissions'!B19</f>
        <v>UKI</v>
      </c>
      <c r="B34" s="293">
        <f>'EU-Reference CO2 emissions'!F19</f>
        <v>265.23051901144999</v>
      </c>
      <c r="C34" s="293">
        <f>'EU-Reference CO2 emissions'!G19</f>
        <v>271.14517170392389</v>
      </c>
      <c r="D34" s="293">
        <f>'EU-Reference CO2 emissions'!H19</f>
        <v>258.48590870909436</v>
      </c>
      <c r="E34" s="293">
        <f>'EU-Reference CO2 emissions'!I19</f>
        <v>256.78831537450947</v>
      </c>
      <c r="F34" s="293">
        <f>'EU-Reference CO2 emissions'!J19</f>
        <v>251.69553537075475</v>
      </c>
      <c r="G34" s="293">
        <f>'EU-Reference CO2 emissions'!K19</f>
        <v>232.89003508099472</v>
      </c>
      <c r="H34" s="293">
        <f>'EU-Reference CO2 emissions'!L19</f>
        <v>225.44819876049121</v>
      </c>
      <c r="I34" s="293">
        <f>'EU-Reference CO2 emissions'!M19</f>
        <v>216.05466175888182</v>
      </c>
      <c r="J34" s="293">
        <f>'EU-Reference CO2 emissions'!N19</f>
        <v>213.29293658467873</v>
      </c>
      <c r="K34" s="293">
        <f>'EU-Reference CO2 emissions'!O19</f>
        <v>212.05756472541069</v>
      </c>
      <c r="L34" s="293">
        <f>'EU-Reference CO2 emissions'!P19</f>
        <v>212.10523368743128</v>
      </c>
      <c r="M34" s="293">
        <f>'EU-Reference CO2 emissions'!Q19</f>
        <v>213.8231003643599</v>
      </c>
      <c r="N34" s="293"/>
      <c r="O34" s="293"/>
      <c r="P34" s="293"/>
      <c r="Q34" s="293"/>
      <c r="R34" s="293"/>
      <c r="S34" s="293"/>
      <c r="T34" s="113"/>
    </row>
    <row r="35" spans="1:20" x14ac:dyDescent="0.25">
      <c r="A35" s="393" t="str">
        <f>'EU-Reference CO2 emissions'!B20</f>
        <v>ESP</v>
      </c>
      <c r="B35" s="293">
        <f>'EU-Reference CO2 emissions'!F20</f>
        <v>154.24678052993687</v>
      </c>
      <c r="C35" s="293">
        <f>'EU-Reference CO2 emissions'!G20</f>
        <v>185.18824450849652</v>
      </c>
      <c r="D35" s="293">
        <f>'EU-Reference CO2 emissions'!H20</f>
        <v>169.67442112387275</v>
      </c>
      <c r="E35" s="293">
        <f>'EU-Reference CO2 emissions'!I20</f>
        <v>166.57582704689324</v>
      </c>
      <c r="F35" s="293">
        <f>'EU-Reference CO2 emissions'!J20</f>
        <v>157.28004481595468</v>
      </c>
      <c r="G35" s="293">
        <f>'EU-Reference CO2 emissions'!K20</f>
        <v>147.79980273115621</v>
      </c>
      <c r="H35" s="293">
        <f>'EU-Reference CO2 emissions'!L20</f>
        <v>145.44591166010667</v>
      </c>
      <c r="I35" s="293">
        <f>'EU-Reference CO2 emissions'!M20</f>
        <v>144.6538955952829</v>
      </c>
      <c r="J35" s="293">
        <f>'EU-Reference CO2 emissions'!N20</f>
        <v>146.33958855060979</v>
      </c>
      <c r="K35" s="293">
        <f>'EU-Reference CO2 emissions'!O20</f>
        <v>147.32111836330671</v>
      </c>
      <c r="L35" s="293">
        <f>'EU-Reference CO2 emissions'!P20</f>
        <v>146.55440896854952</v>
      </c>
      <c r="M35" s="293">
        <f>'EU-Reference CO2 emissions'!Q20</f>
        <v>147.33904310565509</v>
      </c>
      <c r="N35" s="293"/>
      <c r="O35" s="293"/>
      <c r="P35" s="293"/>
      <c r="Q35" s="293"/>
      <c r="R35" s="293"/>
      <c r="S35" s="293"/>
      <c r="T35" s="113"/>
    </row>
    <row r="36" spans="1:20" x14ac:dyDescent="0.25">
      <c r="A36" s="393" t="str">
        <f>'EU-Reference CO2 emissions'!B21</f>
        <v>BNL</v>
      </c>
      <c r="B36" s="293">
        <f>'EU-Reference CO2 emissions'!F21</f>
        <v>144.44151059309155</v>
      </c>
      <c r="C36" s="293">
        <f>'EU-Reference CO2 emissions'!G21</f>
        <v>152.62203516501074</v>
      </c>
      <c r="D36" s="293">
        <f>'EU-Reference CO2 emissions'!H21</f>
        <v>155.17806335393158</v>
      </c>
      <c r="E36" s="293">
        <f>'EU-Reference CO2 emissions'!I21</f>
        <v>153.24260608872177</v>
      </c>
      <c r="F36" s="293">
        <f>'EU-Reference CO2 emissions'!J21</f>
        <v>147.43623429309238</v>
      </c>
      <c r="G36" s="293">
        <f>'EU-Reference CO2 emissions'!K21</f>
        <v>137.61174693476903</v>
      </c>
      <c r="H36" s="293">
        <f>'EU-Reference CO2 emissions'!L21</f>
        <v>134.53423869354796</v>
      </c>
      <c r="I36" s="293">
        <f>'EU-Reference CO2 emissions'!M21</f>
        <v>131.61198643751629</v>
      </c>
      <c r="J36" s="293">
        <f>'EU-Reference CO2 emissions'!N21</f>
        <v>131.06652264741936</v>
      </c>
      <c r="K36" s="293">
        <f>'EU-Reference CO2 emissions'!O21</f>
        <v>131.88472362277182</v>
      </c>
      <c r="L36" s="293">
        <f>'EU-Reference CO2 emissions'!P21</f>
        <v>132.57284014723865</v>
      </c>
      <c r="M36" s="293">
        <f>'EU-Reference CO2 emissions'!Q21</f>
        <v>132.95785377740847</v>
      </c>
      <c r="N36" s="293"/>
      <c r="O36" s="293"/>
      <c r="P36" s="293"/>
      <c r="Q36" s="293"/>
      <c r="R36" s="293"/>
      <c r="S36" s="293"/>
      <c r="T36" s="113"/>
    </row>
    <row r="37" spans="1:20" x14ac:dyDescent="0.25">
      <c r="A37" s="393" t="str">
        <f>'EU-Reference CO2 emissions'!B22</f>
        <v>EUN</v>
      </c>
      <c r="B37" s="293">
        <f>'EU-Reference CO2 emissions'!F22</f>
        <v>102.40170507459747</v>
      </c>
      <c r="C37" s="293">
        <f>'EU-Reference CO2 emissions'!G22</f>
        <v>109.92190106765914</v>
      </c>
      <c r="D37" s="293">
        <f>'EU-Reference CO2 emissions'!H22</f>
        <v>106.78858652169323</v>
      </c>
      <c r="E37" s="293">
        <f>'EU-Reference CO2 emissions'!I22</f>
        <v>104.41411817081944</v>
      </c>
      <c r="F37" s="293">
        <f>'EU-Reference CO2 emissions'!J22</f>
        <v>97.290713118198056</v>
      </c>
      <c r="G37" s="293">
        <f>'EU-Reference CO2 emissions'!K22</f>
        <v>92.235627337129472</v>
      </c>
      <c r="H37" s="293">
        <f>'EU-Reference CO2 emissions'!L22</f>
        <v>89.774485280350206</v>
      </c>
      <c r="I37" s="293">
        <f>'EU-Reference CO2 emissions'!M22</f>
        <v>87.140321439872807</v>
      </c>
      <c r="J37" s="293">
        <f>'EU-Reference CO2 emissions'!N22</f>
        <v>86.370966596691005</v>
      </c>
      <c r="K37" s="293">
        <f>'EU-Reference CO2 emissions'!O22</f>
        <v>86.5576882587971</v>
      </c>
      <c r="L37" s="293">
        <f>'EU-Reference CO2 emissions'!P22</f>
        <v>86.912964148540354</v>
      </c>
      <c r="M37" s="293">
        <f>'EU-Reference CO2 emissions'!Q22</f>
        <v>87.495533159798512</v>
      </c>
      <c r="N37" s="293"/>
      <c r="O37" s="293"/>
      <c r="P37" s="293"/>
      <c r="Q37" s="293"/>
      <c r="R37" s="293"/>
      <c r="S37" s="293"/>
      <c r="T37" s="113"/>
    </row>
    <row r="38" spans="1:20" x14ac:dyDescent="0.25">
      <c r="A38" s="393" t="str">
        <f>'EU-Reference CO2 emissions'!B23</f>
        <v>EUS</v>
      </c>
      <c r="B38" s="293">
        <f>'EU-Reference CO2 emissions'!F23</f>
        <v>175.65299071192658</v>
      </c>
      <c r="C38" s="293">
        <f>'EU-Reference CO2 emissions'!G23</f>
        <v>207.52385890951729</v>
      </c>
      <c r="D38" s="293">
        <f>'EU-Reference CO2 emissions'!H23</f>
        <v>195.48132352457904</v>
      </c>
      <c r="E38" s="293">
        <f>'EU-Reference CO2 emissions'!I23</f>
        <v>192.52293065699499</v>
      </c>
      <c r="F38" s="293">
        <f>'EU-Reference CO2 emissions'!J23</f>
        <v>183.64775205424283</v>
      </c>
      <c r="G38" s="293">
        <f>'EU-Reference CO2 emissions'!K23</f>
        <v>178.05594967067674</v>
      </c>
      <c r="H38" s="293">
        <f>'EU-Reference CO2 emissions'!L23</f>
        <v>174.92949238561309</v>
      </c>
      <c r="I38" s="293">
        <f>'EU-Reference CO2 emissions'!M23</f>
        <v>172.66690269210673</v>
      </c>
      <c r="J38" s="293">
        <f>'EU-Reference CO2 emissions'!N23</f>
        <v>173.72690711191962</v>
      </c>
      <c r="K38" s="293">
        <f>'EU-Reference CO2 emissions'!O23</f>
        <v>174.17633027377281</v>
      </c>
      <c r="L38" s="293">
        <f>'EU-Reference CO2 emissions'!P23</f>
        <v>173.6758908928023</v>
      </c>
      <c r="M38" s="293">
        <f>'EU-Reference CO2 emissions'!Q23</f>
        <v>173.82790288907529</v>
      </c>
      <c r="N38" s="293"/>
      <c r="O38" s="293">
        <f>SUM(M30:M38)/SUM(D30:D38)</f>
        <v>0.81185458171914993</v>
      </c>
      <c r="P38" s="293"/>
      <c r="Q38" s="293"/>
      <c r="R38" s="293"/>
      <c r="S38" s="293"/>
      <c r="T38" s="113"/>
    </row>
    <row r="39" spans="1:20" ht="15.75" thickBot="1" x14ac:dyDescent="0.3">
      <c r="A39" s="393"/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539" t="s">
        <v>281</v>
      </c>
      <c r="B40" s="540"/>
      <c r="C40" s="540"/>
      <c r="D40" s="540"/>
      <c r="E40" s="540"/>
      <c r="F40" s="540"/>
      <c r="G40" s="540"/>
      <c r="H40" s="540"/>
      <c r="I40" s="540"/>
      <c r="J40" s="541"/>
      <c r="K40" s="293"/>
      <c r="L40" s="293"/>
      <c r="M40" s="293"/>
      <c r="N40" s="293"/>
      <c r="O40" s="293">
        <f>(SUM(M30:M38)+M27)/(SUM(D30:D38)+D27)</f>
        <v>0.57517132619208067</v>
      </c>
      <c r="P40" s="293">
        <f>(SUM(M30:M38)+M27)/(SUM(E30:E38)+E27)</f>
        <v>0.58516000977609017</v>
      </c>
      <c r="Q40" s="293"/>
      <c r="R40" s="293">
        <f>(SUM(M30:M38))/(SUM(E30:E38))</f>
        <v>0.8210491791968777</v>
      </c>
      <c r="S40" s="293"/>
      <c r="T40" s="113"/>
    </row>
    <row r="41" spans="1:20" x14ac:dyDescent="0.25">
      <c r="A41" s="405" t="s">
        <v>282</v>
      </c>
      <c r="B41" s="293"/>
      <c r="C41" s="293"/>
      <c r="D41" s="293"/>
      <c r="E41" s="293"/>
      <c r="F41" s="293"/>
      <c r="G41" s="293"/>
      <c r="H41" s="293"/>
      <c r="I41" s="293"/>
      <c r="J41" s="386"/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/>
      <c r="B42" s="404">
        <f>E17</f>
        <v>2011</v>
      </c>
      <c r="C42" s="404">
        <f t="shared" ref="C42:J42" si="3">F17</f>
        <v>2015</v>
      </c>
      <c r="D42" s="404">
        <f t="shared" si="3"/>
        <v>2020</v>
      </c>
      <c r="E42" s="404">
        <f t="shared" si="3"/>
        <v>2025</v>
      </c>
      <c r="F42" s="404">
        <f t="shared" si="3"/>
        <v>2030</v>
      </c>
      <c r="G42" s="404">
        <f t="shared" si="3"/>
        <v>2035</v>
      </c>
      <c r="H42" s="404">
        <f t="shared" si="3"/>
        <v>2040</v>
      </c>
      <c r="I42" s="404">
        <f t="shared" si="3"/>
        <v>2045</v>
      </c>
      <c r="J42" s="406">
        <f t="shared" si="3"/>
        <v>2050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x14ac:dyDescent="0.25">
      <c r="A43" s="402" t="s">
        <v>190</v>
      </c>
      <c r="B43" s="293">
        <f>E27/$E$27</f>
        <v>1</v>
      </c>
      <c r="C43" s="293">
        <f>F27/$E$27</f>
        <v>0.93175703099461682</v>
      </c>
      <c r="D43" s="293">
        <f t="shared" ref="D43:J43" si="4">G27/$E$27</f>
        <v>0.86094907240860552</v>
      </c>
      <c r="E43" s="293">
        <f t="shared" si="4"/>
        <v>0.79231434613577856</v>
      </c>
      <c r="F43" s="293">
        <f t="shared" si="4"/>
        <v>0.68829199553439047</v>
      </c>
      <c r="G43" s="293">
        <f t="shared" si="4"/>
        <v>0.59999521992004701</v>
      </c>
      <c r="H43" s="293">
        <f t="shared" si="4"/>
        <v>0.5315929566850921</v>
      </c>
      <c r="I43" s="293">
        <f t="shared" si="4"/>
        <v>0.45581425719651453</v>
      </c>
      <c r="J43" s="386">
        <f t="shared" si="4"/>
        <v>0.37503532150343227</v>
      </c>
      <c r="K43" s="293"/>
    </row>
    <row r="44" spans="1:20" x14ac:dyDescent="0.25">
      <c r="A44" s="382"/>
      <c r="B44" s="293"/>
      <c r="C44" s="293"/>
      <c r="D44" s="293"/>
      <c r="E44" s="293"/>
      <c r="F44" s="293"/>
      <c r="G44" s="293"/>
      <c r="H44" s="293"/>
      <c r="I44" s="293"/>
      <c r="J44" s="386"/>
      <c r="K44" s="293"/>
      <c r="L44" s="293"/>
      <c r="M44" s="293"/>
      <c r="N44" s="293"/>
      <c r="O44" s="293"/>
      <c r="P44" s="293"/>
      <c r="Q44" s="293"/>
      <c r="R44" s="293"/>
      <c r="S44" s="293"/>
      <c r="T44" s="113"/>
    </row>
    <row r="45" spans="1:20" x14ac:dyDescent="0.25">
      <c r="A45" s="405" t="s">
        <v>283</v>
      </c>
      <c r="B45" s="293"/>
      <c r="C45" s="293"/>
      <c r="D45" s="293"/>
      <c r="E45" s="293"/>
      <c r="F45" s="293"/>
      <c r="G45" s="293"/>
      <c r="H45" s="293"/>
      <c r="I45" s="293"/>
      <c r="J45" s="386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82"/>
      <c r="B46" s="404">
        <f>E29</f>
        <v>2011</v>
      </c>
      <c r="C46" s="404">
        <f t="shared" ref="C46:J46" si="5">F29</f>
        <v>2015</v>
      </c>
      <c r="D46" s="404">
        <f t="shared" si="5"/>
        <v>2020</v>
      </c>
      <c r="E46" s="404">
        <f t="shared" si="5"/>
        <v>2025</v>
      </c>
      <c r="F46" s="404">
        <f t="shared" si="5"/>
        <v>2030</v>
      </c>
      <c r="G46" s="404">
        <f t="shared" si="5"/>
        <v>2035</v>
      </c>
      <c r="H46" s="404">
        <f t="shared" si="5"/>
        <v>2040</v>
      </c>
      <c r="I46" s="404">
        <f t="shared" si="5"/>
        <v>2045</v>
      </c>
      <c r="J46" s="406">
        <f t="shared" si="5"/>
        <v>2050</v>
      </c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402" t="str">
        <f>A30</f>
        <v>DEU</v>
      </c>
      <c r="B47" s="293">
        <f>E30/$E30</f>
        <v>1</v>
      </c>
      <c r="C47" s="293">
        <f t="shared" ref="C47:J55" si="6">F30/$E30</f>
        <v>0.99336429020222616</v>
      </c>
      <c r="D47" s="293">
        <f t="shared" si="6"/>
        <v>0.90144363777007752</v>
      </c>
      <c r="E47" s="293">
        <f t="shared" si="6"/>
        <v>0.85672549147802335</v>
      </c>
      <c r="F47" s="293">
        <f t="shared" si="6"/>
        <v>0.79860693655131876</v>
      </c>
      <c r="G47" s="293">
        <f t="shared" si="6"/>
        <v>0.76903314345375606</v>
      </c>
      <c r="H47" s="293">
        <f t="shared" si="6"/>
        <v>0.74916951238515184</v>
      </c>
      <c r="I47" s="293">
        <f t="shared" si="6"/>
        <v>0.73662587556620107</v>
      </c>
      <c r="J47" s="386">
        <f t="shared" si="6"/>
        <v>0.72289933713013421</v>
      </c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x14ac:dyDescent="0.25">
      <c r="A48" s="402" t="str">
        <f t="shared" ref="A48:A55" si="7">A31</f>
        <v>FRA</v>
      </c>
      <c r="B48" s="293">
        <f t="shared" ref="B48:B55" si="8">E31/$E31</f>
        <v>1</v>
      </c>
      <c r="C48" s="293">
        <f t="shared" si="6"/>
        <v>0.96749986487235562</v>
      </c>
      <c r="D48" s="293">
        <f t="shared" si="6"/>
        <v>0.90188304634440941</v>
      </c>
      <c r="E48" s="293">
        <f t="shared" si="6"/>
        <v>0.8791580980165824</v>
      </c>
      <c r="F48" s="293">
        <f t="shared" si="6"/>
        <v>0.85268750394745807</v>
      </c>
      <c r="G48" s="293">
        <f t="shared" si="6"/>
        <v>0.83532322904325995</v>
      </c>
      <c r="H48" s="293">
        <f t="shared" si="6"/>
        <v>0.8245515569156916</v>
      </c>
      <c r="I48" s="293">
        <f t="shared" si="6"/>
        <v>0.81038546120140631</v>
      </c>
      <c r="J48" s="386">
        <f t="shared" si="6"/>
        <v>0.79836531948488032</v>
      </c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402" t="str">
        <f t="shared" si="7"/>
        <v>ITA</v>
      </c>
      <c r="B49" s="293">
        <f t="shared" si="8"/>
        <v>1</v>
      </c>
      <c r="C49" s="293">
        <f t="shared" si="6"/>
        <v>0.95878871946472122</v>
      </c>
      <c r="D49" s="293">
        <f t="shared" si="6"/>
        <v>0.92160774172169491</v>
      </c>
      <c r="E49" s="293">
        <f t="shared" si="6"/>
        <v>0.89520224337935728</v>
      </c>
      <c r="F49" s="293">
        <f t="shared" si="6"/>
        <v>0.87329733552089006</v>
      </c>
      <c r="G49" s="293">
        <f t="shared" si="6"/>
        <v>0.84547455467547128</v>
      </c>
      <c r="H49" s="293">
        <f t="shared" si="6"/>
        <v>0.82541933470389173</v>
      </c>
      <c r="I49" s="293">
        <f t="shared" si="6"/>
        <v>0.82586089846878308</v>
      </c>
      <c r="J49" s="386">
        <f t="shared" si="6"/>
        <v>0.81242892427340285</v>
      </c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2" t="str">
        <f t="shared" si="7"/>
        <v>POL</v>
      </c>
      <c r="B50" s="293">
        <f t="shared" si="8"/>
        <v>1</v>
      </c>
      <c r="C50" s="293">
        <f t="shared" si="6"/>
        <v>0.95513166954144946</v>
      </c>
      <c r="D50" s="293">
        <f t="shared" si="6"/>
        <v>0.93892518801424252</v>
      </c>
      <c r="E50" s="293">
        <f t="shared" si="6"/>
        <v>0.91013893349453168</v>
      </c>
      <c r="F50" s="293">
        <f t="shared" si="6"/>
        <v>0.88374037924140758</v>
      </c>
      <c r="G50" s="293">
        <f t="shared" si="6"/>
        <v>0.85888912005919993</v>
      </c>
      <c r="H50" s="293">
        <f t="shared" si="6"/>
        <v>0.84104135074939779</v>
      </c>
      <c r="I50" s="293">
        <f t="shared" si="6"/>
        <v>0.83502903026966457</v>
      </c>
      <c r="J50" s="386">
        <f t="shared" si="6"/>
        <v>0.82733781460130995</v>
      </c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 t="str">
        <f t="shared" si="7"/>
        <v>UKI</v>
      </c>
      <c r="B51" s="293">
        <f t="shared" si="8"/>
        <v>1</v>
      </c>
      <c r="C51" s="293">
        <f t="shared" si="6"/>
        <v>0.98016739976533895</v>
      </c>
      <c r="D51" s="293">
        <f t="shared" si="6"/>
        <v>0.90693392626272495</v>
      </c>
      <c r="E51" s="293">
        <f t="shared" si="6"/>
        <v>0.877953494230021</v>
      </c>
      <c r="F51" s="293">
        <f t="shared" si="6"/>
        <v>0.84137263583734256</v>
      </c>
      <c r="G51" s="293">
        <f t="shared" si="6"/>
        <v>0.83061776496179163</v>
      </c>
      <c r="H51" s="293">
        <f t="shared" si="6"/>
        <v>0.82580690798231293</v>
      </c>
      <c r="I51" s="293">
        <f t="shared" si="6"/>
        <v>0.82599254322802518</v>
      </c>
      <c r="J51" s="386">
        <f t="shared" si="6"/>
        <v>0.83268235960235371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tr">
        <f t="shared" si="7"/>
        <v>ESP</v>
      </c>
      <c r="B52" s="293">
        <f t="shared" si="8"/>
        <v>1</v>
      </c>
      <c r="C52" s="293">
        <f t="shared" si="6"/>
        <v>0.94419489072492091</v>
      </c>
      <c r="D52" s="293">
        <f t="shared" si="6"/>
        <v>0.88728241877225478</v>
      </c>
      <c r="E52" s="293">
        <f t="shared" si="6"/>
        <v>0.87315137039158619</v>
      </c>
      <c r="F52" s="293">
        <f t="shared" si="6"/>
        <v>0.86839668251841229</v>
      </c>
      <c r="G52" s="293">
        <f t="shared" si="6"/>
        <v>0.87851635585404186</v>
      </c>
      <c r="H52" s="293">
        <f t="shared" si="6"/>
        <v>0.88440874630527222</v>
      </c>
      <c r="I52" s="293">
        <f t="shared" si="6"/>
        <v>0.87980598125616738</v>
      </c>
      <c r="J52" s="386">
        <f t="shared" si="6"/>
        <v>0.88451635340929302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402" t="str">
        <f t="shared" si="7"/>
        <v>BNL</v>
      </c>
      <c r="B53" s="293">
        <f t="shared" si="8"/>
        <v>1</v>
      </c>
      <c r="C53" s="293">
        <f t="shared" si="6"/>
        <v>0.96210993832702296</v>
      </c>
      <c r="D53" s="293">
        <f t="shared" si="6"/>
        <v>0.89799926043477063</v>
      </c>
      <c r="E53" s="293">
        <f t="shared" si="6"/>
        <v>0.87791667165760445</v>
      </c>
      <c r="F53" s="293">
        <f t="shared" si="6"/>
        <v>0.8588472213877506</v>
      </c>
      <c r="G53" s="293">
        <f t="shared" si="6"/>
        <v>0.85528774270216157</v>
      </c>
      <c r="H53" s="293">
        <f t="shared" si="6"/>
        <v>0.86062699525232211</v>
      </c>
      <c r="I53" s="293">
        <f t="shared" si="6"/>
        <v>0.86511736866758782</v>
      </c>
      <c r="J53" s="386">
        <f t="shared" si="6"/>
        <v>0.86762981373751125</v>
      </c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2" t="str">
        <f t="shared" si="7"/>
        <v>EUN</v>
      </c>
      <c r="B54" s="293">
        <f t="shared" si="8"/>
        <v>1</v>
      </c>
      <c r="C54" s="293">
        <f t="shared" si="6"/>
        <v>0.93177737668609495</v>
      </c>
      <c r="D54" s="293">
        <f t="shared" si="6"/>
        <v>0.88336356187229204</v>
      </c>
      <c r="E54" s="293">
        <f t="shared" si="6"/>
        <v>0.85979259177845013</v>
      </c>
      <c r="F54" s="293">
        <f t="shared" si="6"/>
        <v>0.83456454899435117</v>
      </c>
      <c r="G54" s="293">
        <f t="shared" si="6"/>
        <v>0.82719624615695941</v>
      </c>
      <c r="H54" s="293">
        <f t="shared" si="6"/>
        <v>0.82898452599283967</v>
      </c>
      <c r="I54" s="293">
        <f t="shared" si="6"/>
        <v>0.83238709162253766</v>
      </c>
      <c r="J54" s="386">
        <f t="shared" si="6"/>
        <v>0.83796650005373363</v>
      </c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402" t="str">
        <f t="shared" si="7"/>
        <v>EUS</v>
      </c>
      <c r="B55" s="293">
        <f t="shared" si="8"/>
        <v>1</v>
      </c>
      <c r="C55" s="293">
        <f t="shared" si="6"/>
        <v>0.95390066745574087</v>
      </c>
      <c r="D55" s="293">
        <f t="shared" si="6"/>
        <v>0.92485580321809513</v>
      </c>
      <c r="E55" s="293">
        <f t="shared" si="6"/>
        <v>0.90861640111469666</v>
      </c>
      <c r="F55" s="293">
        <f t="shared" si="6"/>
        <v>0.89686408836013209</v>
      </c>
      <c r="G55" s="293">
        <f t="shared" si="6"/>
        <v>0.90236994896694689</v>
      </c>
      <c r="H55" s="293">
        <f t="shared" si="6"/>
        <v>0.90470433666985328</v>
      </c>
      <c r="I55" s="293">
        <f t="shared" si="6"/>
        <v>0.90210496121227668</v>
      </c>
      <c r="J55" s="386">
        <f t="shared" si="6"/>
        <v>0.9028945398653454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8" t="s">
        <v>272</v>
      </c>
      <c r="B56" s="457" t="s">
        <v>352</v>
      </c>
      <c r="C56" s="409"/>
      <c r="D56" s="409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92"/>
    </row>
    <row r="57" spans="1:20" x14ac:dyDescent="0.25">
      <c r="A57" s="393"/>
      <c r="B57" s="293" t="s">
        <v>353</v>
      </c>
      <c r="C57" s="293"/>
      <c r="D57" s="293"/>
      <c r="E57" s="293"/>
      <c r="F57" s="293"/>
      <c r="G57" s="293"/>
      <c r="H57" s="293"/>
      <c r="I57" s="293"/>
      <c r="J57" s="293"/>
      <c r="K57" s="293"/>
      <c r="L57" s="293">
        <f>M60/B60</f>
        <v>0.19999999999999996</v>
      </c>
      <c r="M57" s="293">
        <f>M60/E60</f>
        <v>0.24025553734291591</v>
      </c>
      <c r="N57" s="293"/>
      <c r="O57" s="293"/>
      <c r="P57" s="293"/>
      <c r="Q57" s="293"/>
      <c r="R57" s="293"/>
      <c r="S57" s="293"/>
      <c r="T57" s="113"/>
    </row>
    <row r="58" spans="1:20" x14ac:dyDescent="0.25">
      <c r="A58" s="393" t="s">
        <v>273</v>
      </c>
      <c r="B58" s="293" t="s">
        <v>274</v>
      </c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3">
        <f>M61/E61</f>
        <v>0.37503532494593922</v>
      </c>
      <c r="N58" s="293"/>
      <c r="O58" s="293"/>
      <c r="P58" s="293"/>
      <c r="Q58" s="293"/>
      <c r="R58" s="293"/>
      <c r="S58" s="293"/>
      <c r="T58" s="113"/>
    </row>
    <row r="59" spans="1:20" x14ac:dyDescent="0.25">
      <c r="A59" s="393"/>
      <c r="B59" s="293">
        <v>1990</v>
      </c>
      <c r="C59" s="293">
        <v>2005</v>
      </c>
      <c r="D59" s="293">
        <v>2010</v>
      </c>
      <c r="E59" s="293">
        <v>2011</v>
      </c>
      <c r="F59" s="293">
        <v>2015</v>
      </c>
      <c r="G59" s="293">
        <v>2020</v>
      </c>
      <c r="H59" s="293">
        <v>2025</v>
      </c>
      <c r="I59" s="293">
        <v>2030</v>
      </c>
      <c r="J59" s="293">
        <v>2035</v>
      </c>
      <c r="K59" s="293">
        <v>2040</v>
      </c>
      <c r="L59" s="293">
        <v>2045</v>
      </c>
      <c r="M59" s="293">
        <v>2050</v>
      </c>
      <c r="N59" s="293"/>
      <c r="O59" s="293" t="s">
        <v>275</v>
      </c>
      <c r="P59" s="293"/>
      <c r="Q59" s="293"/>
      <c r="R59" s="293"/>
      <c r="S59" s="293"/>
      <c r="T59" s="113"/>
    </row>
    <row r="60" spans="1:20" x14ac:dyDescent="0.25">
      <c r="A60" s="456" t="s">
        <v>190</v>
      </c>
      <c r="B60" s="391">
        <v>5716.4</v>
      </c>
      <c r="C60" s="391">
        <v>5345.2</v>
      </c>
      <c r="D60" s="394">
        <v>4909.5</v>
      </c>
      <c r="E60" s="391">
        <v>4758.6000000000004</v>
      </c>
      <c r="F60" s="394">
        <v>4451.8</v>
      </c>
      <c r="G60" s="395">
        <f t="shared" ref="G60:L60" si="9">$F$5-(($F$5-$M$5)/($M$4-$F$4)*(G$4-$F$4))</f>
        <v>3979.1542857142858</v>
      </c>
      <c r="H60" s="395">
        <f t="shared" si="9"/>
        <v>3506.5085714285715</v>
      </c>
      <c r="I60" s="395">
        <f t="shared" si="9"/>
        <v>3033.8628571428571</v>
      </c>
      <c r="J60" s="395">
        <f t="shared" si="9"/>
        <v>2561.2171428571428</v>
      </c>
      <c r="K60" s="395">
        <f t="shared" si="9"/>
        <v>2088.5714285714284</v>
      </c>
      <c r="L60" s="395">
        <f t="shared" si="9"/>
        <v>1615.9257142857141</v>
      </c>
      <c r="M60" s="396">
        <f>B60*(1-0.8)</f>
        <v>1143.2799999999997</v>
      </c>
      <c r="N60" s="293"/>
      <c r="O60" s="397" t="s">
        <v>276</v>
      </c>
      <c r="P60" s="293"/>
      <c r="Q60" s="293"/>
      <c r="R60" s="293"/>
      <c r="S60" s="293"/>
      <c r="T60" s="113"/>
    </row>
    <row r="61" spans="1:20" x14ac:dyDescent="0.25">
      <c r="A61" s="456" t="s">
        <v>348</v>
      </c>
      <c r="B61" s="293">
        <f>B60/E60*E61</f>
        <v>4368.5085552144483</v>
      </c>
      <c r="C61" s="293"/>
      <c r="D61" s="293"/>
      <c r="E61" s="455">
        <v>3636.5518177250501</v>
      </c>
      <c r="F61" s="455">
        <v>3388.3827113550301</v>
      </c>
      <c r="G61" s="455">
        <v>3130.8858978390003</v>
      </c>
      <c r="H61" s="455">
        <v>2881.2921638770299</v>
      </c>
      <c r="I61" s="455">
        <v>2503.0095046776901</v>
      </c>
      <c r="J61" s="455">
        <v>2181.9137047383397</v>
      </c>
      <c r="K61" s="455">
        <v>1933.1653299627001</v>
      </c>
      <c r="L61" s="455">
        <v>1657.5921803080901</v>
      </c>
      <c r="M61" s="455">
        <v>1363.8353926432601</v>
      </c>
      <c r="N61" s="293"/>
      <c r="O61" s="293"/>
      <c r="P61" s="293"/>
      <c r="Q61" s="398"/>
      <c r="R61" s="293"/>
      <c r="S61" s="293"/>
      <c r="T61" s="113"/>
    </row>
    <row r="62" spans="1:20" x14ac:dyDescent="0.25">
      <c r="A62" s="393" t="s">
        <v>349</v>
      </c>
      <c r="B62" s="293"/>
      <c r="C62" s="293"/>
      <c r="D62" s="293"/>
      <c r="E62" s="52">
        <v>691.36406088915874</v>
      </c>
      <c r="F62" s="52">
        <v>652.57310711846685</v>
      </c>
      <c r="G62" s="52">
        <v>563.002506631492</v>
      </c>
      <c r="H62" s="52">
        <v>481.55163994317684</v>
      </c>
      <c r="I62" s="52">
        <v>396.55766211747567</v>
      </c>
      <c r="J62" s="52">
        <v>325.39855339862805</v>
      </c>
      <c r="K62" s="52">
        <v>253.40613152964613</v>
      </c>
      <c r="L62" s="52">
        <v>173.66725419635918</v>
      </c>
      <c r="M62" s="52">
        <v>89.121166451879503</v>
      </c>
      <c r="N62" s="293"/>
      <c r="O62" s="293" t="s">
        <v>351</v>
      </c>
      <c r="P62" s="52"/>
      <c r="Q62" s="293"/>
      <c r="R62" s="293"/>
      <c r="S62" s="293"/>
      <c r="T62" s="113"/>
    </row>
    <row r="63" spans="1:20" x14ac:dyDescent="0.25">
      <c r="A63" s="456" t="s">
        <v>350</v>
      </c>
      <c r="B63" s="293"/>
      <c r="C63" s="293"/>
      <c r="D63" s="293"/>
      <c r="E63" s="293">
        <f>E61-E62</f>
        <v>2945.1877568358914</v>
      </c>
      <c r="F63" s="293">
        <f t="shared" ref="F63" si="10">F61-F62</f>
        <v>2735.8096042365632</v>
      </c>
      <c r="G63" s="293">
        <f t="shared" ref="G63" si="11">G61-G62</f>
        <v>2567.8833912075083</v>
      </c>
      <c r="H63" s="293">
        <f t="shared" ref="H63" si="12">H61-H62</f>
        <v>2399.7405239338532</v>
      </c>
      <c r="I63" s="293">
        <f t="shared" ref="I63" si="13">I61-I62</f>
        <v>2106.4518425602146</v>
      </c>
      <c r="J63" s="293">
        <f t="shared" ref="J63" si="14">J61-J62</f>
        <v>1856.5151513397116</v>
      </c>
      <c r="K63" s="293">
        <f t="shared" ref="K63" si="15">K61-K62</f>
        <v>1679.7591984330538</v>
      </c>
      <c r="L63" s="293">
        <f t="shared" ref="L63" si="16">L61-L62</f>
        <v>1483.9249261117309</v>
      </c>
      <c r="M63" s="293">
        <f t="shared" ref="M63" si="17">M61-M62</f>
        <v>1274.7142261913805</v>
      </c>
      <c r="N63" s="293"/>
      <c r="O63" s="293">
        <f>(M62+M63)/B61</f>
        <v>0.31219702912457958</v>
      </c>
      <c r="P63" s="293"/>
      <c r="Q63" s="293">
        <f>B61*0.2</f>
        <v>873.70171104288966</v>
      </c>
      <c r="R63" s="293"/>
      <c r="S63" s="293"/>
      <c r="T63" s="113"/>
    </row>
    <row r="64" spans="1:20" x14ac:dyDescent="0.25">
      <c r="A64" s="393" t="s">
        <v>277</v>
      </c>
      <c r="B64" s="391" t="s">
        <v>278</v>
      </c>
      <c r="C64" s="395" t="s">
        <v>279</v>
      </c>
      <c r="D64" s="396" t="s">
        <v>273</v>
      </c>
      <c r="E64" s="293"/>
      <c r="F64" s="293"/>
      <c r="G64" s="293" t="s">
        <v>280</v>
      </c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113"/>
    </row>
    <row r="65" spans="1:20" ht="15.75" thickBot="1" x14ac:dyDescent="0.3">
      <c r="A65" s="537" t="s">
        <v>281</v>
      </c>
      <c r="B65" s="538"/>
      <c r="C65" s="538"/>
      <c r="D65" s="538"/>
      <c r="E65" s="538"/>
      <c r="F65" s="538"/>
      <c r="G65" s="538"/>
      <c r="H65" s="538"/>
      <c r="I65" s="538"/>
      <c r="J65" s="538"/>
      <c r="K65" s="293"/>
      <c r="L65" s="293"/>
      <c r="M65" s="293"/>
      <c r="N65" s="293"/>
      <c r="O65" s="293"/>
      <c r="P65" s="293"/>
      <c r="Q65" s="293"/>
      <c r="R65" s="293"/>
      <c r="S65" s="293"/>
      <c r="T65" s="113"/>
    </row>
    <row r="66" spans="1:20" x14ac:dyDescent="0.25">
      <c r="A66" s="377"/>
      <c r="B66" s="399">
        <v>2011</v>
      </c>
      <c r="C66" s="399">
        <v>2015</v>
      </c>
      <c r="D66" s="399">
        <v>2020</v>
      </c>
      <c r="E66" s="399">
        <v>2025</v>
      </c>
      <c r="F66" s="399">
        <v>2030</v>
      </c>
      <c r="G66" s="399">
        <v>2035</v>
      </c>
      <c r="H66" s="399">
        <v>2040</v>
      </c>
      <c r="I66" s="399">
        <v>2045</v>
      </c>
      <c r="J66" s="400">
        <v>2050</v>
      </c>
      <c r="K66" s="293"/>
      <c r="L66" s="293"/>
      <c r="M66" s="293"/>
      <c r="N66" s="293"/>
      <c r="O66" s="293"/>
      <c r="P66" s="293"/>
      <c r="Q66" s="293"/>
      <c r="R66" s="293"/>
      <c r="S66" s="293"/>
      <c r="T66" s="113"/>
    </row>
    <row r="67" spans="1:20" x14ac:dyDescent="0.25">
      <c r="A67" s="402" t="s">
        <v>190</v>
      </c>
      <c r="B67" s="438">
        <v>1</v>
      </c>
      <c r="C67" s="438">
        <v>0.92725947759124261</v>
      </c>
      <c r="D67" s="438">
        <v>0.83485223898938299</v>
      </c>
      <c r="E67" s="438">
        <v>0.74385223670432621</v>
      </c>
      <c r="F67" s="438">
        <v>0.65181277511350866</v>
      </c>
      <c r="G67" s="438">
        <v>0.5527435935027214</v>
      </c>
      <c r="H67" s="438">
        <v>0.45466862906771049</v>
      </c>
      <c r="I67" s="438">
        <v>0.36037279476627931</v>
      </c>
      <c r="J67" s="438">
        <v>0.26607696078034265</v>
      </c>
      <c r="K67" s="293"/>
      <c r="L67" s="293"/>
      <c r="M67" s="293"/>
      <c r="N67" s="293"/>
      <c r="O67" s="293"/>
      <c r="P67" s="293"/>
      <c r="Q67" s="293"/>
      <c r="R67" s="293"/>
      <c r="S67" s="293"/>
      <c r="T67" s="113"/>
    </row>
    <row r="68" spans="1:20" x14ac:dyDescent="0.25">
      <c r="A68" s="408" t="s">
        <v>272</v>
      </c>
      <c r="B68" s="409" t="s">
        <v>362</v>
      </c>
      <c r="C68" s="409"/>
      <c r="D68" s="409"/>
      <c r="E68" s="376"/>
      <c r="F68" s="376"/>
      <c r="G68" s="376"/>
      <c r="H68" s="376"/>
      <c r="I68" s="376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92"/>
    </row>
    <row r="69" spans="1:20" x14ac:dyDescent="0.25">
      <c r="A69" s="393"/>
      <c r="B69" s="293" t="s">
        <v>287</v>
      </c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113"/>
    </row>
    <row r="70" spans="1:20" x14ac:dyDescent="0.25">
      <c r="A70" s="393" t="s">
        <v>273</v>
      </c>
      <c r="B70" s="293" t="s">
        <v>288</v>
      </c>
      <c r="C70" s="293"/>
      <c r="D70" s="293"/>
      <c r="E70" s="407" t="s">
        <v>289</v>
      </c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113"/>
    </row>
    <row r="71" spans="1:20" x14ac:dyDescent="0.25">
      <c r="A71" s="393"/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113"/>
    </row>
    <row r="72" spans="1:20" ht="15.75" thickBot="1" x14ac:dyDescent="0.3">
      <c r="A72" s="393"/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113"/>
    </row>
    <row r="73" spans="1:20" x14ac:dyDescent="0.25">
      <c r="A73" s="539" t="s">
        <v>281</v>
      </c>
      <c r="B73" s="540"/>
      <c r="C73" s="540"/>
      <c r="D73" s="540"/>
      <c r="E73" s="540"/>
      <c r="F73" s="540"/>
      <c r="G73" s="540"/>
      <c r="H73" s="540"/>
      <c r="I73" s="540"/>
      <c r="J73" s="541"/>
      <c r="K73" s="293"/>
      <c r="L73" s="293"/>
      <c r="M73" s="293"/>
      <c r="N73" s="293"/>
      <c r="O73" s="293"/>
      <c r="P73" s="293"/>
      <c r="Q73" s="293"/>
      <c r="R73" s="293"/>
      <c r="S73" s="293"/>
      <c r="T73" s="113"/>
    </row>
    <row r="74" spans="1:20" x14ac:dyDescent="0.25">
      <c r="A74" s="405" t="s">
        <v>282</v>
      </c>
      <c r="B74" s="293"/>
      <c r="C74" s="293"/>
      <c r="D74" s="293"/>
      <c r="E74" s="293"/>
      <c r="F74" s="293"/>
      <c r="G74" s="293"/>
      <c r="H74" s="293"/>
      <c r="I74" s="293"/>
      <c r="J74" s="386"/>
      <c r="K74" s="293"/>
      <c r="L74" s="293"/>
      <c r="M74" s="293"/>
      <c r="N74" s="293"/>
      <c r="O74" s="293"/>
      <c r="P74" s="293"/>
      <c r="Q74" s="293"/>
      <c r="R74" s="293"/>
      <c r="S74" s="293"/>
      <c r="T74" s="113"/>
    </row>
    <row r="75" spans="1:20" x14ac:dyDescent="0.25">
      <c r="A75" s="402"/>
      <c r="B75" s="404">
        <v>2011</v>
      </c>
      <c r="C75" s="404">
        <v>2015</v>
      </c>
      <c r="D75" s="404">
        <v>2020</v>
      </c>
      <c r="E75" s="404">
        <v>2025</v>
      </c>
      <c r="F75" s="404">
        <v>2030</v>
      </c>
      <c r="G75" s="404">
        <v>2035</v>
      </c>
      <c r="H75" s="404">
        <v>2040</v>
      </c>
      <c r="I75" s="404">
        <v>2045</v>
      </c>
      <c r="J75" s="406">
        <v>2050</v>
      </c>
      <c r="K75" s="293"/>
      <c r="L75" s="293"/>
      <c r="M75" s="293"/>
      <c r="N75" s="293"/>
      <c r="O75" s="293"/>
      <c r="P75" s="293"/>
      <c r="Q75" s="293"/>
      <c r="R75" s="293"/>
      <c r="S75" s="293"/>
      <c r="T75" s="113"/>
    </row>
    <row r="76" spans="1:20" ht="15.75" thickBot="1" x14ac:dyDescent="0.3">
      <c r="A76" s="401" t="s">
        <v>190</v>
      </c>
      <c r="B76" s="438">
        <f>B96</f>
        <v>1</v>
      </c>
      <c r="C76" s="438">
        <f t="shared" ref="C76:J76" si="18">C96</f>
        <v>0.93378029560694042</v>
      </c>
      <c r="D76" s="438">
        <f t="shared" si="18"/>
        <v>0.866782534236751</v>
      </c>
      <c r="E76" s="438">
        <f t="shared" si="18"/>
        <v>0.82339871619850991</v>
      </c>
      <c r="F76" s="438">
        <f t="shared" si="18"/>
        <v>0.73145972041246532</v>
      </c>
      <c r="G76" s="438">
        <f t="shared" si="18"/>
        <v>0.64703386224125259</v>
      </c>
      <c r="H76" s="438">
        <f t="shared" si="18"/>
        <v>0.58965923976724</v>
      </c>
      <c r="I76" s="438">
        <f t="shared" si="18"/>
        <v>0.52351978889027984</v>
      </c>
      <c r="J76" s="438">
        <f t="shared" si="18"/>
        <v>0.45178618361975925</v>
      </c>
      <c r="K76" s="38"/>
      <c r="L76" s="38"/>
      <c r="M76" s="38"/>
      <c r="N76" s="38"/>
      <c r="O76" s="38"/>
      <c r="P76" s="38"/>
      <c r="Q76" s="38"/>
      <c r="R76" s="38"/>
      <c r="S76" s="38"/>
      <c r="T76" s="195"/>
    </row>
    <row r="80" spans="1:20" x14ac:dyDescent="0.25">
      <c r="B80" s="438"/>
      <c r="C80" s="438"/>
      <c r="D80" s="438"/>
      <c r="E80" s="438"/>
      <c r="F80" s="438"/>
      <c r="G80" s="438"/>
      <c r="H80" s="438"/>
      <c r="I80" s="438"/>
      <c r="J80" s="438"/>
      <c r="K80" s="438"/>
      <c r="L80" s="438"/>
    </row>
    <row r="81" spans="1:22" x14ac:dyDescent="0.25">
      <c r="A81" s="438"/>
      <c r="B81" s="438"/>
      <c r="C81" s="438"/>
    </row>
    <row r="82" spans="1:22" x14ac:dyDescent="0.25">
      <c r="B82" s="438"/>
    </row>
    <row r="83" spans="1:22" x14ac:dyDescent="0.25">
      <c r="A83" s="438"/>
      <c r="B83" s="438"/>
      <c r="C83" s="438"/>
      <c r="D83" s="438"/>
      <c r="E83" s="438"/>
      <c r="F83" s="438"/>
      <c r="G83" s="438"/>
      <c r="H83" s="438"/>
      <c r="I83" s="438"/>
      <c r="J83" s="438"/>
    </row>
    <row r="84" spans="1:22" x14ac:dyDescent="0.25">
      <c r="A84" s="438"/>
      <c r="B84" s="438"/>
      <c r="C84" s="438"/>
      <c r="D84" s="438"/>
      <c r="E84" s="438"/>
      <c r="F84" s="438"/>
      <c r="G84" s="438"/>
      <c r="H84" s="438"/>
      <c r="I84" s="438"/>
      <c r="J84" s="438"/>
      <c r="M84" s="438"/>
      <c r="N84" s="438"/>
      <c r="O84" s="438"/>
      <c r="P84" s="438"/>
      <c r="Q84" s="438"/>
      <c r="R84" s="438"/>
      <c r="S84" s="438"/>
      <c r="T84" s="438"/>
      <c r="U84" s="438"/>
      <c r="V84" s="438"/>
    </row>
    <row r="85" spans="1:22" x14ac:dyDescent="0.25">
      <c r="A85" s="438"/>
      <c r="B85" s="438">
        <v>2011</v>
      </c>
      <c r="C85" s="438">
        <v>2015</v>
      </c>
      <c r="D85" s="438">
        <v>2020</v>
      </c>
      <c r="E85" s="438">
        <v>2025</v>
      </c>
      <c r="F85" s="438">
        <v>2030</v>
      </c>
      <c r="G85" s="438">
        <v>2035</v>
      </c>
      <c r="H85" s="438">
        <v>2040</v>
      </c>
      <c r="I85" s="438">
        <v>2045</v>
      </c>
      <c r="J85" s="438">
        <v>2050</v>
      </c>
      <c r="M85" s="438"/>
      <c r="N85" s="438"/>
      <c r="O85" s="438"/>
      <c r="P85" s="438"/>
      <c r="Q85" s="438"/>
      <c r="R85" s="438"/>
      <c r="S85" s="438"/>
      <c r="T85" s="438"/>
      <c r="U85" s="438"/>
      <c r="V85" s="438"/>
    </row>
    <row r="86" spans="1:22" x14ac:dyDescent="0.25">
      <c r="A86" s="438" t="s">
        <v>282</v>
      </c>
      <c r="B86" s="438">
        <v>0.35841904554974902</v>
      </c>
      <c r="C86" s="438">
        <v>0.33151843012397902</v>
      </c>
      <c r="D86" s="438">
        <v>0.30154258790905097</v>
      </c>
      <c r="E86" s="438">
        <v>0.24647776309768099</v>
      </c>
      <c r="F86" s="438">
        <v>0.19461579418847999</v>
      </c>
      <c r="G86" s="438">
        <v>0.15829834883449001</v>
      </c>
      <c r="H86" s="438">
        <v>0.120476999977781</v>
      </c>
      <c r="I86" s="438">
        <v>8.1686870205293596E-2</v>
      </c>
      <c r="J86" s="438">
        <v>4.1821112215680203E-2</v>
      </c>
    </row>
    <row r="87" spans="1:22" x14ac:dyDescent="0.25">
      <c r="C87" s="438"/>
      <c r="D87" s="438"/>
      <c r="E87" s="438"/>
      <c r="F87" s="438"/>
      <c r="G87" s="438"/>
      <c r="H87" s="438"/>
      <c r="I87" s="438"/>
      <c r="J87" s="438"/>
    </row>
    <row r="88" spans="1:22" x14ac:dyDescent="0.25">
      <c r="A88" s="438"/>
      <c r="B88" s="438"/>
      <c r="C88" s="438"/>
      <c r="D88" s="438"/>
      <c r="E88" s="438"/>
      <c r="F88" s="438"/>
      <c r="G88" s="438"/>
      <c r="H88" s="438"/>
      <c r="I88" s="438"/>
      <c r="J88" s="438"/>
    </row>
    <row r="89" spans="1:22" x14ac:dyDescent="0.25">
      <c r="C89" s="438"/>
      <c r="D89" s="438"/>
      <c r="E89" s="438"/>
      <c r="F89" s="438"/>
      <c r="G89" s="438"/>
      <c r="H89" s="438"/>
      <c r="I89" s="438"/>
      <c r="J89" s="438"/>
    </row>
    <row r="90" spans="1:22" x14ac:dyDescent="0.25">
      <c r="A90" s="438"/>
      <c r="B90" s="438">
        <v>2011</v>
      </c>
      <c r="C90" s="438">
        <v>2015</v>
      </c>
      <c r="D90" s="438">
        <v>2020</v>
      </c>
      <c r="E90" s="438">
        <v>2025</v>
      </c>
      <c r="F90" s="438">
        <v>2030</v>
      </c>
      <c r="G90" s="438">
        <v>2035</v>
      </c>
      <c r="H90" s="438">
        <v>2040</v>
      </c>
      <c r="I90" s="438">
        <v>2045</v>
      </c>
      <c r="J90" s="438">
        <v>2050</v>
      </c>
    </row>
    <row r="91" spans="1:22" x14ac:dyDescent="0.25">
      <c r="A91" s="438" t="s">
        <v>282</v>
      </c>
      <c r="B91" s="438">
        <v>1.56490313843002</v>
      </c>
      <c r="C91" s="438">
        <v>1.4581095030187901</v>
      </c>
      <c r="D91" s="438">
        <v>1.3473019274521401</v>
      </c>
      <c r="E91" s="438">
        <v>1.2398952162892201</v>
      </c>
      <c r="F91" s="438">
        <v>1.0771103114487699</v>
      </c>
      <c r="G91" s="438">
        <v>0.938934411183446</v>
      </c>
      <c r="H91" s="438">
        <v>0.83189149297682996</v>
      </c>
      <c r="I91" s="438">
        <v>0.71330516780945397</v>
      </c>
      <c r="J91" s="438">
        <v>0.58689395613600503</v>
      </c>
    </row>
    <row r="94" spans="1:22" x14ac:dyDescent="0.25">
      <c r="B94">
        <f>B91-B86</f>
        <v>1.2064840928802711</v>
      </c>
      <c r="C94" s="438">
        <f t="shared" ref="C94:J94" si="19">C91-C86</f>
        <v>1.126591072894811</v>
      </c>
      <c r="D94" s="438">
        <f t="shared" si="19"/>
        <v>1.0457593395430891</v>
      </c>
      <c r="E94" s="438">
        <f t="shared" si="19"/>
        <v>0.99341745319153907</v>
      </c>
      <c r="F94" s="438">
        <f t="shared" si="19"/>
        <v>0.88249451726028993</v>
      </c>
      <c r="G94" s="438">
        <f t="shared" si="19"/>
        <v>0.78063606234895599</v>
      </c>
      <c r="H94" s="438">
        <f t="shared" si="19"/>
        <v>0.71141449299904891</v>
      </c>
      <c r="I94" s="438">
        <f t="shared" si="19"/>
        <v>0.63161829760416033</v>
      </c>
      <c r="J94" s="438">
        <f t="shared" si="19"/>
        <v>0.54507284392032485</v>
      </c>
    </row>
    <row r="96" spans="1:22" x14ac:dyDescent="0.25">
      <c r="B96">
        <f>B94/$B$94</f>
        <v>1</v>
      </c>
      <c r="C96" s="438">
        <f t="shared" ref="C96:J96" si="20">C94/$B$94</f>
        <v>0.93378029560694042</v>
      </c>
      <c r="D96" s="438">
        <f t="shared" si="20"/>
        <v>0.866782534236751</v>
      </c>
      <c r="E96" s="438">
        <f t="shared" si="20"/>
        <v>0.82339871619850991</v>
      </c>
      <c r="F96" s="438">
        <f t="shared" si="20"/>
        <v>0.73145972041246532</v>
      </c>
      <c r="G96" s="438">
        <f t="shared" si="20"/>
        <v>0.64703386224125259</v>
      </c>
      <c r="H96" s="438">
        <f t="shared" si="20"/>
        <v>0.58965923976724</v>
      </c>
      <c r="I96" s="438">
        <f t="shared" si="20"/>
        <v>0.52351978889027984</v>
      </c>
      <c r="J96" s="438">
        <f t="shared" si="20"/>
        <v>0.45178618361975925</v>
      </c>
    </row>
    <row r="100" spans="1:1" x14ac:dyDescent="0.25">
      <c r="A100" s="478" t="s">
        <v>371</v>
      </c>
    </row>
    <row r="101" spans="1:1" x14ac:dyDescent="0.25">
      <c r="A101" s="478" t="s">
        <v>372</v>
      </c>
    </row>
    <row r="102" spans="1:1" x14ac:dyDescent="0.25">
      <c r="A102" s="478" t="s">
        <v>373</v>
      </c>
    </row>
    <row r="103" spans="1:1" x14ac:dyDescent="0.25">
      <c r="A103" s="478" t="s">
        <v>374</v>
      </c>
    </row>
  </sheetData>
  <mergeCells count="4">
    <mergeCell ref="A10:J10"/>
    <mergeCell ref="A40:J40"/>
    <mergeCell ref="A65:J65"/>
    <mergeCell ref="A73:J73"/>
  </mergeCells>
  <hyperlinks>
    <hyperlink ref="E15" r:id="rId1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64"/>
  <sheetViews>
    <sheetView workbookViewId="0">
      <selection activeCell="I62" sqref="I62"/>
    </sheetView>
  </sheetViews>
  <sheetFormatPr baseColWidth="10" defaultRowHeight="15" x14ac:dyDescent="0.25"/>
  <sheetData>
    <row r="1" spans="1:20" x14ac:dyDescent="0.25">
      <c r="A1" s="410" t="s">
        <v>272</v>
      </c>
      <c r="B1" s="396" t="s">
        <v>364</v>
      </c>
      <c r="C1" s="396"/>
      <c r="D1" s="396"/>
      <c r="E1" s="293"/>
      <c r="F1" s="293"/>
      <c r="G1" s="293"/>
      <c r="H1" s="293"/>
      <c r="I1" s="293"/>
      <c r="J1" s="293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366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288</v>
      </c>
      <c r="C3" s="293"/>
      <c r="D3" s="293"/>
      <c r="E3" s="407" t="s">
        <v>289</v>
      </c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113"/>
    </row>
    <row r="4" spans="1:20" x14ac:dyDescent="0.25">
      <c r="A4" s="3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113"/>
    </row>
    <row r="5" spans="1:20" x14ac:dyDescent="0.25">
      <c r="A5" s="403" t="str">
        <f>'EU-Pfad_ENAVI'!A17</f>
        <v>ETS</v>
      </c>
      <c r="B5" s="389">
        <f>'EU-Pfad_ENAVI'!B17</f>
        <v>2000</v>
      </c>
      <c r="C5" s="389">
        <f>'EU-Pfad_ENAVI'!C17</f>
        <v>2005</v>
      </c>
      <c r="D5" s="389">
        <f>'EU-Pfad_ENAVI'!D17</f>
        <v>2010</v>
      </c>
      <c r="E5" s="389">
        <f>'EU-Pfad_ENAVI'!E17</f>
        <v>2011</v>
      </c>
      <c r="F5" s="389">
        <f>'EU-Pfad_ENAVI'!F17</f>
        <v>2015</v>
      </c>
      <c r="G5" s="389">
        <f>'EU-Pfad_ENAVI'!G17</f>
        <v>2020</v>
      </c>
      <c r="H5" s="389">
        <f>'EU-Pfad_ENAVI'!H17</f>
        <v>2025</v>
      </c>
      <c r="I5" s="389">
        <f>'EU-Pfad_ENAVI'!I17</f>
        <v>2030</v>
      </c>
      <c r="J5" s="389">
        <f>'EU-Pfad_ENAVI'!J17</f>
        <v>2035</v>
      </c>
      <c r="K5" s="389">
        <f>'EU-Pfad_ENAVI'!K17</f>
        <v>2040</v>
      </c>
      <c r="L5" s="389">
        <f>'EU-Pfad_ENAVI'!L17</f>
        <v>2045</v>
      </c>
      <c r="M5" s="389">
        <f>'EU-Pfad_ENAVI'!M17</f>
        <v>2050</v>
      </c>
      <c r="N5" s="293"/>
      <c r="O5" s="293"/>
      <c r="P5" s="293"/>
      <c r="Q5" s="293"/>
      <c r="R5" s="293"/>
      <c r="S5" s="293"/>
      <c r="T5" s="113"/>
    </row>
    <row r="6" spans="1:20" x14ac:dyDescent="0.25">
      <c r="A6" s="389" t="str">
        <f>'EU-Pfad_ENAVI'!A18</f>
        <v>DEU</v>
      </c>
      <c r="B6" s="455">
        <f>'EU-Pfad_ENAVI'!B18</f>
        <v>488.91820002711893</v>
      </c>
      <c r="C6" s="455">
        <f>'EU-Pfad_ENAVI'!C18</f>
        <v>486.48388875822275</v>
      </c>
      <c r="D6" s="455">
        <f>'EU-Pfad_ENAVI'!D18</f>
        <v>463.3738824095135</v>
      </c>
      <c r="E6" s="455">
        <f>'EU-Pfad_ENAVI'!E18</f>
        <v>461.55702699358528</v>
      </c>
      <c r="F6" s="455">
        <f>'EU-Pfad_ENAVI'!F18</f>
        <v>456.10646074580069</v>
      </c>
      <c r="G6" s="455">
        <f>'EU-Pfad_ENAVI'!G18</f>
        <v>442.26652391554785</v>
      </c>
      <c r="H6" s="455">
        <f>'EU-Pfad_ENAVI'!H18</f>
        <v>436.90256087013887</v>
      </c>
      <c r="I6" s="455">
        <f>'EU-Pfad_ENAVI'!I18</f>
        <v>385.42383338251597</v>
      </c>
      <c r="J6" s="455">
        <f>'EU-Pfad_ENAVI'!J18</f>
        <v>330.99252730216068</v>
      </c>
      <c r="K6" s="455">
        <f>'EU-Pfad_ENAVI'!K18</f>
        <v>293.45762788285134</v>
      </c>
      <c r="L6" s="455">
        <f>'EU-Pfad_ENAVI'!L18</f>
        <v>244.19368533092873</v>
      </c>
      <c r="M6" s="455">
        <f>'EU-Pfad_ENAVI'!M18</f>
        <v>184.81828439634086</v>
      </c>
      <c r="N6" s="293"/>
      <c r="O6" s="293"/>
      <c r="P6" s="293"/>
      <c r="Q6" s="293"/>
      <c r="R6" s="293"/>
      <c r="S6" s="293"/>
      <c r="T6" s="113"/>
    </row>
    <row r="7" spans="1:20" x14ac:dyDescent="0.25">
      <c r="A7" s="389" t="str">
        <f>'EU-Pfad_ENAVI'!A19</f>
        <v>FRA</v>
      </c>
      <c r="B7" s="455">
        <f>'EU-Pfad_ENAVI'!B19</f>
        <v>141.13842754867071</v>
      </c>
      <c r="C7" s="455">
        <f>'EU-Pfad_ENAVI'!C19</f>
        <v>136.96329688088758</v>
      </c>
      <c r="D7" s="455">
        <f>'EU-Pfad_ENAVI'!D19</f>
        <v>117.23985890726397</v>
      </c>
      <c r="E7" s="455">
        <f>'EU-Pfad_ENAVI'!E19</f>
        <v>112.97337786499926</v>
      </c>
      <c r="F7" s="455">
        <f>'EU-Pfad_ENAVI'!F19</f>
        <v>100.17393473820515</v>
      </c>
      <c r="G7" s="455">
        <f>'EU-Pfad_ENAVI'!G19</f>
        <v>91.301972850770056</v>
      </c>
      <c r="H7" s="455">
        <f>'EU-Pfad_ENAVI'!H19</f>
        <v>77.068893485345214</v>
      </c>
      <c r="I7" s="455">
        <f>'EU-Pfad_ENAVI'!I19</f>
        <v>65.700797635235389</v>
      </c>
      <c r="J7" s="455">
        <f>'EU-Pfad_ENAVI'!J19</f>
        <v>57.337228996633826</v>
      </c>
      <c r="K7" s="455">
        <f>'EU-Pfad_ENAVI'!K19</f>
        <v>64.269632779331118</v>
      </c>
      <c r="L7" s="455">
        <f>'EU-Pfad_ENAVI'!L19</f>
        <v>61.112213244801865</v>
      </c>
      <c r="M7" s="455">
        <f>'EU-Pfad_ENAVI'!M19</f>
        <v>53.267947733264918</v>
      </c>
      <c r="N7" s="293"/>
      <c r="O7" s="293"/>
      <c r="P7" s="293"/>
      <c r="Q7" s="293"/>
      <c r="R7" s="293"/>
      <c r="S7" s="293"/>
      <c r="T7" s="113"/>
    </row>
    <row r="8" spans="1:20" x14ac:dyDescent="0.25">
      <c r="A8" s="389" t="str">
        <f>'EU-Pfad_ENAVI'!A20</f>
        <v>ITA</v>
      </c>
      <c r="B8" s="455">
        <f>'EU-Pfad_ENAVI'!B20</f>
        <v>231.04274234766692</v>
      </c>
      <c r="C8" s="455">
        <f>'EU-Pfad_ENAVI'!C20</f>
        <v>249.39983412189059</v>
      </c>
      <c r="D8" s="455">
        <f>'EU-Pfad_ENAVI'!D20</f>
        <v>201.76059488578264</v>
      </c>
      <c r="E8" s="455">
        <f>'EU-Pfad_ENAVI'!E20</f>
        <v>192.12914418519935</v>
      </c>
      <c r="F8" s="455">
        <f>'EU-Pfad_ENAVI'!F20</f>
        <v>163.23479208344949</v>
      </c>
      <c r="G8" s="455">
        <f>'EU-Pfad_ENAVI'!G20</f>
        <v>177.64551991098381</v>
      </c>
      <c r="H8" s="455">
        <f>'EU-Pfad_ENAVI'!H20</f>
        <v>147.38037425215498</v>
      </c>
      <c r="I8" s="455">
        <f>'EU-Pfad_ENAVI'!I20</f>
        <v>134.23745668021002</v>
      </c>
      <c r="J8" s="455">
        <f>'EU-Pfad_ENAVI'!J20</f>
        <v>123.8991766666489</v>
      </c>
      <c r="K8" s="455">
        <f>'EU-Pfad_ENAVI'!K20</f>
        <v>105.97027368886343</v>
      </c>
      <c r="L8" s="455">
        <f>'EU-Pfad_ENAVI'!L20</f>
        <v>96.108630127694383</v>
      </c>
      <c r="M8" s="455">
        <f>'EU-Pfad_ENAVI'!M20</f>
        <v>85.66121394731438</v>
      </c>
      <c r="N8" s="293"/>
      <c r="O8" s="293"/>
      <c r="P8" s="293"/>
      <c r="Q8" s="293"/>
      <c r="R8" s="293"/>
      <c r="S8" s="293"/>
      <c r="T8" s="113"/>
    </row>
    <row r="9" spans="1:20" x14ac:dyDescent="0.25">
      <c r="A9" s="389" t="str">
        <f>'EU-Pfad_ENAVI'!A21</f>
        <v>POL</v>
      </c>
      <c r="B9" s="455">
        <f>'EU-Pfad_ENAVI'!B21</f>
        <v>229.4952579912586</v>
      </c>
      <c r="C9" s="455">
        <f>'EU-Pfad_ENAVI'!C21</f>
        <v>215.53817687929265</v>
      </c>
      <c r="D9" s="455">
        <f>'EU-Pfad_ENAVI'!D21</f>
        <v>204.5287738595392</v>
      </c>
      <c r="E9" s="455">
        <f>'EU-Pfad_ENAVI'!E21</f>
        <v>204.01104643828651</v>
      </c>
      <c r="F9" s="455">
        <f>'EU-Pfad_ENAVI'!F21</f>
        <v>202.45786417452842</v>
      </c>
      <c r="G9" s="455">
        <f>'EU-Pfad_ENAVI'!G21</f>
        <v>198.98712532892287</v>
      </c>
      <c r="H9" s="455">
        <f>'EU-Pfad_ENAVI'!H21</f>
        <v>192.13271378107578</v>
      </c>
      <c r="I9" s="455">
        <f>'EU-Pfad_ENAVI'!I21</f>
        <v>186.06482399965626</v>
      </c>
      <c r="J9" s="455">
        <f>'EU-Pfad_ENAVI'!J21</f>
        <v>154.67691898992777</v>
      </c>
      <c r="K9" s="455">
        <f>'EU-Pfad_ENAVI'!K21</f>
        <v>126.1203725400871</v>
      </c>
      <c r="L9" s="455">
        <f>'EU-Pfad_ENAVI'!L21</f>
        <v>87.795183452855369</v>
      </c>
      <c r="M9" s="455">
        <f>'EU-Pfad_ENAVI'!M21</f>
        <v>60.499510118646064</v>
      </c>
      <c r="N9" s="293"/>
      <c r="O9" s="293"/>
      <c r="P9" s="293"/>
      <c r="Q9" s="293"/>
      <c r="R9" s="293"/>
      <c r="S9" s="293"/>
      <c r="T9" s="113"/>
    </row>
    <row r="10" spans="1:20" x14ac:dyDescent="0.25">
      <c r="A10" s="389" t="str">
        <f>'EU-Pfad_ENAVI'!A22</f>
        <v>UKI</v>
      </c>
      <c r="B10" s="455">
        <f>'EU-Pfad_ENAVI'!B22</f>
        <v>302.92928030144441</v>
      </c>
      <c r="C10" s="455">
        <f>'EU-Pfad_ENAVI'!C22</f>
        <v>302.28670923173541</v>
      </c>
      <c r="D10" s="455">
        <f>'EU-Pfad_ENAVI'!D22</f>
        <v>259.7938832438482</v>
      </c>
      <c r="E10" s="455">
        <f>'EU-Pfad_ENAVI'!E22</f>
        <v>251.32691667462282</v>
      </c>
      <c r="F10" s="455">
        <f>'EU-Pfad_ENAVI'!F22</f>
        <v>225.92601696694666</v>
      </c>
      <c r="G10" s="455">
        <f>'EU-Pfad_ENAVI'!G22</f>
        <v>140.93158805526608</v>
      </c>
      <c r="H10" s="455">
        <f>'EU-Pfad_ENAVI'!H22</f>
        <v>120.0296978724646</v>
      </c>
      <c r="I10" s="455">
        <f>'EU-Pfad_ENAVI'!I22</f>
        <v>89.136345927282179</v>
      </c>
      <c r="J10" s="455">
        <f>'EU-Pfad_ENAVI'!J22</f>
        <v>81.952968319659306</v>
      </c>
      <c r="K10" s="455">
        <f>'EU-Pfad_ENAVI'!K22</f>
        <v>81.620791217275084</v>
      </c>
      <c r="L10" s="455">
        <f>'EU-Pfad_ENAVI'!L22</f>
        <v>79.792754289135075</v>
      </c>
      <c r="M10" s="455">
        <f>'EU-Pfad_ENAVI'!M22</f>
        <v>67.640936345091021</v>
      </c>
      <c r="N10" s="293"/>
      <c r="O10" s="293"/>
      <c r="P10" s="293"/>
      <c r="Q10" s="293"/>
      <c r="R10" s="293"/>
      <c r="S10" s="293"/>
      <c r="T10" s="113"/>
    </row>
    <row r="11" spans="1:20" x14ac:dyDescent="0.25">
      <c r="A11" s="389" t="str">
        <f>'EU-Pfad_ENAVI'!A23</f>
        <v>ESP</v>
      </c>
      <c r="B11" s="455">
        <f>'EU-Pfad_ENAVI'!B23</f>
        <v>198.32630353778518</v>
      </c>
      <c r="C11" s="455">
        <f>'EU-Pfad_ENAVI'!C23</f>
        <v>226.66907263973206</v>
      </c>
      <c r="D11" s="455">
        <f>'EU-Pfad_ENAVI'!D23</f>
        <v>152.51948586979279</v>
      </c>
      <c r="E11" s="455">
        <f>'EU-Pfad_ENAVI'!E23</f>
        <v>155.35220414925755</v>
      </c>
      <c r="F11" s="455">
        <f>'EU-Pfad_ENAVI'!F23</f>
        <v>163.85035898765187</v>
      </c>
      <c r="G11" s="455">
        <f>'EU-Pfad_ENAVI'!G23</f>
        <v>148.95612605323024</v>
      </c>
      <c r="H11" s="455">
        <f>'EU-Pfad_ENAVI'!H23</f>
        <v>121.72461944432661</v>
      </c>
      <c r="I11" s="455">
        <f>'EU-Pfad_ENAVI'!I23</f>
        <v>90.727591186146626</v>
      </c>
      <c r="J11" s="455">
        <f>'EU-Pfad_ENAVI'!J23</f>
        <v>74.676957278128839</v>
      </c>
      <c r="K11" s="455">
        <f>'EU-Pfad_ENAVI'!K23</f>
        <v>70.552182051491826</v>
      </c>
      <c r="L11" s="455">
        <f>'EU-Pfad_ENAVI'!L23</f>
        <v>66.402900768181041</v>
      </c>
      <c r="M11" s="455">
        <f>'EU-Pfad_ENAVI'!M23</f>
        <v>57.095036556541679</v>
      </c>
      <c r="N11" s="293"/>
      <c r="O11" s="293"/>
      <c r="P11" s="293"/>
      <c r="Q11" s="293"/>
      <c r="R11" s="293"/>
      <c r="S11" s="293"/>
      <c r="T11" s="113"/>
    </row>
    <row r="12" spans="1:20" x14ac:dyDescent="0.25">
      <c r="A12" s="389" t="str">
        <f>'EU-Pfad_ENAVI'!A24</f>
        <v>BNL</v>
      </c>
      <c r="B12" s="455">
        <f>'EU-Pfad_ENAVI'!B24</f>
        <v>155.55010813336861</v>
      </c>
      <c r="C12" s="455">
        <f>'EU-Pfad_ENAVI'!C24</f>
        <v>149.84843036550777</v>
      </c>
      <c r="D12" s="455">
        <f>'EU-Pfad_ENAVI'!D24</f>
        <v>137.98585137115342</v>
      </c>
      <c r="E12" s="455">
        <f>'EU-Pfad_ENAVI'!E24</f>
        <v>136.75403488387275</v>
      </c>
      <c r="F12" s="455">
        <f>'EU-Pfad_ENAVI'!F24</f>
        <v>133.05858542203069</v>
      </c>
      <c r="G12" s="455">
        <f>'EU-Pfad_ENAVI'!G24</f>
        <v>113.87490893708164</v>
      </c>
      <c r="H12" s="455">
        <f>'EU-Pfad_ENAVI'!H24</f>
        <v>118.97463329386686</v>
      </c>
      <c r="I12" s="455">
        <f>'EU-Pfad_ENAVI'!I24</f>
        <v>105.34555806192131</v>
      </c>
      <c r="J12" s="455">
        <f>'EU-Pfad_ENAVI'!J24</f>
        <v>98.704328823158207</v>
      </c>
      <c r="K12" s="455">
        <f>'EU-Pfad_ENAVI'!K24</f>
        <v>95.13095680614245</v>
      </c>
      <c r="L12" s="455">
        <f>'EU-Pfad_ENAVI'!L24</f>
        <v>91.294512807131028</v>
      </c>
      <c r="M12" s="455">
        <f>'EU-Pfad_ENAVI'!M24</f>
        <v>85.265954382368307</v>
      </c>
      <c r="N12" s="293"/>
      <c r="O12" s="293"/>
      <c r="P12" s="293"/>
      <c r="Q12" s="293"/>
      <c r="R12" s="293"/>
      <c r="S12" s="293"/>
      <c r="T12" s="113"/>
    </row>
    <row r="13" spans="1:20" x14ac:dyDescent="0.25">
      <c r="A13" s="389" t="str">
        <f>'EU-Pfad_ENAVI'!A25</f>
        <v>EUN</v>
      </c>
      <c r="B13" s="455">
        <f>'EU-Pfad_ENAVI'!B25</f>
        <v>135.57712109881277</v>
      </c>
      <c r="C13" s="455">
        <f>'EU-Pfad_ENAVI'!C25</f>
        <v>132.88834639973263</v>
      </c>
      <c r="D13" s="455">
        <f>'EU-Pfad_ENAVI'!D25</f>
        <v>135.41107208426203</v>
      </c>
      <c r="E13" s="455">
        <f>'EU-Pfad_ENAVI'!E25</f>
        <v>125.89438431958624</v>
      </c>
      <c r="F13" s="455">
        <f>'EU-Pfad_ENAVI'!F25</f>
        <v>97.344321025558855</v>
      </c>
      <c r="G13" s="455">
        <f>'EU-Pfad_ENAVI'!G25</f>
        <v>94.161967902106838</v>
      </c>
      <c r="H13" s="455">
        <f>'EU-Pfad_ENAVI'!H25</f>
        <v>90.26616760959007</v>
      </c>
      <c r="I13" s="455">
        <f>'EU-Pfad_ENAVI'!I25</f>
        <v>76.857697251065758</v>
      </c>
      <c r="J13" s="455">
        <f>'EU-Pfad_ENAVI'!J25</f>
        <v>66.721407884727043</v>
      </c>
      <c r="K13" s="455">
        <f>'EU-Pfad_ENAVI'!K25</f>
        <v>52.73097369982235</v>
      </c>
      <c r="L13" s="455">
        <f>'EU-Pfad_ENAVI'!L25</f>
        <v>43.535689925767798</v>
      </c>
      <c r="M13" s="455">
        <f>'EU-Pfad_ENAVI'!M25</f>
        <v>39.97694195834567</v>
      </c>
      <c r="N13" s="293"/>
      <c r="O13" s="293"/>
      <c r="P13" s="293"/>
      <c r="Q13" s="293"/>
      <c r="R13" s="293"/>
      <c r="S13" s="293"/>
      <c r="T13" s="113"/>
    </row>
    <row r="14" spans="1:20" x14ac:dyDescent="0.25">
      <c r="A14" s="389" t="str">
        <f>'EU-Pfad_ENAVI'!A26</f>
        <v>EUS</v>
      </c>
      <c r="B14" s="455">
        <f>'EU-Pfad_ENAVI'!B26</f>
        <v>381.60163704440595</v>
      </c>
      <c r="C14" s="455">
        <f>'EU-Pfad_ENAVI'!C26</f>
        <v>391.47034745315034</v>
      </c>
      <c r="D14" s="455">
        <f>'EU-Pfad_ENAVI'!D26</f>
        <v>338.37814030571838</v>
      </c>
      <c r="E14" s="455">
        <f>'EU-Pfad_ENAVI'!E26</f>
        <v>326.26551758267283</v>
      </c>
      <c r="F14" s="455">
        <f>'EU-Pfad_ENAVI'!F26</f>
        <v>289.92764941353619</v>
      </c>
      <c r="G14" s="455">
        <f>'EU-Pfad_ENAVI'!G26</f>
        <v>284.72713528647506</v>
      </c>
      <c r="H14" s="455">
        <f>'EU-Pfad_ENAVI'!H26</f>
        <v>253.4192400212379</v>
      </c>
      <c r="I14" s="455">
        <f>'EU-Pfad_ENAVI'!I26</f>
        <v>219.86942940945659</v>
      </c>
      <c r="J14" s="455">
        <f>'EU-Pfad_ENAVI'!J26</f>
        <v>190.78727869673457</v>
      </c>
      <c r="K14" s="455">
        <f>'EU-Pfad_ENAVI'!K26</f>
        <v>155.39909830378573</v>
      </c>
      <c r="L14" s="455">
        <f>'EU-Pfad_ENAVI'!L26</f>
        <v>126.01543654017749</v>
      </c>
      <c r="M14" s="455">
        <f>'EU-Pfad_ENAVI'!M26</f>
        <v>103.19249585998952</v>
      </c>
      <c r="N14" s="293"/>
      <c r="O14" s="293"/>
      <c r="P14" s="293"/>
      <c r="Q14" s="293"/>
      <c r="R14" s="293"/>
      <c r="S14" s="293"/>
      <c r="T14" s="113"/>
    </row>
    <row r="15" spans="1:20" x14ac:dyDescent="0.25">
      <c r="A15" s="389" t="str">
        <f>'EU-Pfad_ENAVI'!A27</f>
        <v>EU28</v>
      </c>
      <c r="B15" s="455">
        <f>'EU-Pfad_ENAVI'!B27</f>
        <v>2264.5790780305319</v>
      </c>
      <c r="C15" s="455">
        <f>'EU-Pfad_ENAVI'!C27</f>
        <v>2291.5481027301516</v>
      </c>
      <c r="D15" s="455">
        <f>'EU-Pfad_ENAVI'!D27</f>
        <v>2010.9915429368743</v>
      </c>
      <c r="E15" s="455">
        <f>'EU-Pfad_ENAVI'!E27</f>
        <v>1966.2636530920827</v>
      </c>
      <c r="F15" s="455">
        <f>'EU-Pfad_ENAVI'!F27</f>
        <v>1832.0799835577081</v>
      </c>
      <c r="G15" s="455">
        <f>'EU-Pfad_ENAVI'!G27</f>
        <v>1692.8528682403846</v>
      </c>
      <c r="H15" s="455">
        <f>'EU-Pfad_ENAVI'!H27</f>
        <v>1557.8989006302008</v>
      </c>
      <c r="I15" s="455">
        <f>'EU-Pfad_ENAVI'!I27</f>
        <v>1353.36353353349</v>
      </c>
      <c r="J15" s="455">
        <f>'EU-Pfad_ENAVI'!J27</f>
        <v>1179.7487929577792</v>
      </c>
      <c r="K15" s="455">
        <f>'EU-Pfad_ENAVI'!K27</f>
        <v>1045.2519089696505</v>
      </c>
      <c r="L15" s="455">
        <f>'EU-Pfad_ENAVI'!L27</f>
        <v>896.25100648667274</v>
      </c>
      <c r="M15" s="455">
        <f>'EU-Pfad_ENAVI'!M27</f>
        <v>737.41832129790248</v>
      </c>
      <c r="N15" s="293"/>
      <c r="O15" s="293"/>
      <c r="P15" s="293"/>
      <c r="Q15" s="293"/>
      <c r="R15" s="293"/>
      <c r="S15" s="293"/>
      <c r="T15" s="113"/>
    </row>
    <row r="16" spans="1:20" x14ac:dyDescent="0.25">
      <c r="A16" s="3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283</v>
      </c>
      <c r="B17" s="393">
        <f>'EU-Reference CO2 emissions'!F14</f>
        <v>2000</v>
      </c>
      <c r="C17" s="393">
        <f>'EU-Reference CO2 emissions'!G14</f>
        <v>2005</v>
      </c>
      <c r="D17" s="393">
        <f>'EU-Reference CO2 emissions'!H14</f>
        <v>2010</v>
      </c>
      <c r="E17" s="393">
        <f>'EU-Reference CO2 emissions'!I14</f>
        <v>2011</v>
      </c>
      <c r="F17" s="393">
        <f>'EU-Reference CO2 emissions'!J14</f>
        <v>2015</v>
      </c>
      <c r="G17" s="393">
        <f>'EU-Reference CO2 emissions'!K14</f>
        <v>2020</v>
      </c>
      <c r="H17" s="393">
        <f>'EU-Reference CO2 emissions'!L14</f>
        <v>2025</v>
      </c>
      <c r="I17" s="393">
        <f>'EU-Reference CO2 emissions'!M14</f>
        <v>2030</v>
      </c>
      <c r="J17" s="393">
        <f>'EU-Reference CO2 emissions'!N14</f>
        <v>2035</v>
      </c>
      <c r="K17" s="393">
        <f>'EU-Reference CO2 emissions'!O14</f>
        <v>2040</v>
      </c>
      <c r="L17" s="393">
        <f>'EU-Reference CO2 emissions'!P14</f>
        <v>2045</v>
      </c>
      <c r="M17" s="393">
        <f>'EU-Reference CO2 emissions'!Q14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93" t="str">
        <f>'EU-Reference CO2 emissions'!B15</f>
        <v>DEU</v>
      </c>
      <c r="B18" s="393">
        <f>'EU-Reference CO2 emissions'!F15</f>
        <v>363.19003914032862</v>
      </c>
      <c r="C18" s="393">
        <f>'EU-Reference CO2 emissions'!G15</f>
        <v>338.76372295093802</v>
      </c>
      <c r="D18" s="393">
        <f>'EU-Reference CO2 emissions'!H15</f>
        <v>324.43346484088443</v>
      </c>
      <c r="E18" s="393">
        <f>'EU-Reference CO2 emissions'!I15</f>
        <v>323.71743319316772</v>
      </c>
      <c r="F18" s="393">
        <f>'EU-Reference CO2 emissions'!J15</f>
        <v>321.56933825001761</v>
      </c>
      <c r="G18" s="393">
        <f>'EU-Reference CO2 emissions'!K15</f>
        <v>291.81302058724117</v>
      </c>
      <c r="H18" s="393">
        <f>'EU-Reference CO2 emissions'!L15</f>
        <v>277.33697705242082</v>
      </c>
      <c r="I18" s="393">
        <f>'EU-Reference CO2 emissions'!M15</f>
        <v>258.52298763065187</v>
      </c>
      <c r="J18" s="393">
        <f>'EU-Reference CO2 emissions'!N15</f>
        <v>248.94943523932304</v>
      </c>
      <c r="K18" s="393">
        <f>'EU-Reference CO2 emissions'!O15</f>
        <v>242.51923157589843</v>
      </c>
      <c r="L18" s="393">
        <f>'EU-Reference CO2 emissions'!P15</f>
        <v>238.45863766196038</v>
      </c>
      <c r="M18" s="393">
        <f>'EU-Reference CO2 emissions'!Q15</f>
        <v>234.01511787280947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93" t="str">
        <f>'EU-Reference CO2 emissions'!B16</f>
        <v>FRA</v>
      </c>
      <c r="B19" s="393">
        <f>'EU-Reference CO2 emissions'!F16</f>
        <v>247.12609809914568</v>
      </c>
      <c r="C19" s="393">
        <f>'EU-Reference CO2 emissions'!G16</f>
        <v>257.3978702205535</v>
      </c>
      <c r="D19" s="393">
        <f>'EU-Reference CO2 emissions'!H16</f>
        <v>242.710331607916</v>
      </c>
      <c r="E19" s="393">
        <f>'EU-Reference CO2 emissions'!I16</f>
        <v>240.10913845947755</v>
      </c>
      <c r="F19" s="393">
        <f>'EU-Reference CO2 emissions'!J16</f>
        <v>232.30555901416224</v>
      </c>
      <c r="G19" s="393">
        <f>'EU-Reference CO2 emissions'!K16</f>
        <v>216.5503612489652</v>
      </c>
      <c r="H19" s="393">
        <f>'EU-Reference CO2 emissions'!L16</f>
        <v>211.09389348443452</v>
      </c>
      <c r="I19" s="393">
        <f>'EU-Reference CO2 emissions'!M16</f>
        <v>204.73806194798652</v>
      </c>
      <c r="J19" s="393">
        <f>'EU-Reference CO2 emissions'!N16</f>
        <v>200.56874086076598</v>
      </c>
      <c r="K19" s="393">
        <f>'EU-Reference CO2 emissions'!O16</f>
        <v>197.98236394644758</v>
      </c>
      <c r="L19" s="393">
        <f>'EU-Reference CO2 emissions'!P16</f>
        <v>194.58095490915605</v>
      </c>
      <c r="M19" s="393">
        <f>'EU-Reference CO2 emissions'!Q16</f>
        <v>191.69480903744017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93" t="str">
        <f>'EU-Reference CO2 emissions'!B17</f>
        <v>ITA</v>
      </c>
      <c r="B20" s="393">
        <f>'EU-Reference CO2 emissions'!F17</f>
        <v>201.4952260902611</v>
      </c>
      <c r="C20" s="393">
        <f>'EU-Reference CO2 emissions'!G17</f>
        <v>221.02037806096394</v>
      </c>
      <c r="D20" s="393">
        <f>'EU-Reference CO2 emissions'!H17</f>
        <v>202.42680042950434</v>
      </c>
      <c r="E20" s="393">
        <f>'EU-Reference CO2 emissions'!I17</f>
        <v>199.68372640707375</v>
      </c>
      <c r="F20" s="393">
        <f>'EU-Reference CO2 emissions'!J17</f>
        <v>191.45450433978198</v>
      </c>
      <c r="G20" s="393">
        <f>'EU-Reference CO2 emissions'!K17</f>
        <v>184.03006815259602</v>
      </c>
      <c r="H20" s="393">
        <f>'EU-Reference CO2 emissions'!L17</f>
        <v>178.75731984596223</v>
      </c>
      <c r="I20" s="393">
        <f>'EU-Reference CO2 emissions'!M17</f>
        <v>174.3832662181799</v>
      </c>
      <c r="J20" s="393">
        <f>'EU-Reference CO2 emissions'!N17</f>
        <v>168.82750965995933</v>
      </c>
      <c r="K20" s="393">
        <f>'EU-Reference CO2 emissions'!O17</f>
        <v>164.82280860212074</v>
      </c>
      <c r="L20" s="393">
        <f>'EU-Reference CO2 emissions'!P17</f>
        <v>164.91098170014058</v>
      </c>
      <c r="M20" s="393">
        <f>'EU-Reference CO2 emissions'!Q17</f>
        <v>162.22883503980341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93" t="str">
        <f>'EU-Reference CO2 emissions'!B18</f>
        <v>POL</v>
      </c>
      <c r="B21" s="393">
        <f>'EU-Reference CO2 emissions'!F18</f>
        <v>73.78726096449077</v>
      </c>
      <c r="C21" s="393">
        <f>'EU-Reference CO2 emissions'!G18</f>
        <v>92.002429139983789</v>
      </c>
      <c r="D21" s="393">
        <f>'EU-Reference CO2 emissions'!H18</f>
        <v>116.16039670755603</v>
      </c>
      <c r="E21" s="393">
        <f>'EU-Reference CO2 emissions'!I18</f>
        <v>114.44868950053666</v>
      </c>
      <c r="F21" s="393">
        <f>'EU-Reference CO2 emissions'!J18</f>
        <v>109.31356787947854</v>
      </c>
      <c r="G21" s="393">
        <f>'EU-Reference CO2 emissions'!K18</f>
        <v>107.45875730727505</v>
      </c>
      <c r="H21" s="393">
        <f>'EU-Reference CO2 emissions'!L18</f>
        <v>104.16420820186524</v>
      </c>
      <c r="I21" s="393">
        <f>'EU-Reference CO2 emissions'!M18</f>
        <v>101.14292826288637</v>
      </c>
      <c r="J21" s="393">
        <f>'EU-Reference CO2 emissions'!N18</f>
        <v>98.298734217044526</v>
      </c>
      <c r="K21" s="393">
        <f>'EU-Reference CO2 emissions'!O18</f>
        <v>96.256080409029778</v>
      </c>
      <c r="L21" s="393">
        <f>'EU-Reference CO2 emissions'!P18</f>
        <v>95.567978209267068</v>
      </c>
      <c r="M21" s="393">
        <f>'EU-Reference CO2 emissions'!Q18</f>
        <v>94.687728655357887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93" t="str">
        <f>'EU-Reference CO2 emissions'!B19</f>
        <v>UKI</v>
      </c>
      <c r="B22" s="393">
        <f>'EU-Reference CO2 emissions'!F19</f>
        <v>265.23051901144999</v>
      </c>
      <c r="C22" s="393">
        <f>'EU-Reference CO2 emissions'!G19</f>
        <v>271.14517170392389</v>
      </c>
      <c r="D22" s="393">
        <f>'EU-Reference CO2 emissions'!H19</f>
        <v>258.48590870909436</v>
      </c>
      <c r="E22" s="393">
        <f>'EU-Reference CO2 emissions'!I19</f>
        <v>256.78831537450947</v>
      </c>
      <c r="F22" s="393">
        <f>'EU-Reference CO2 emissions'!J19</f>
        <v>251.69553537075475</v>
      </c>
      <c r="G22" s="393">
        <f>'EU-Reference CO2 emissions'!K19</f>
        <v>232.89003508099472</v>
      </c>
      <c r="H22" s="393">
        <f>'EU-Reference CO2 emissions'!L19</f>
        <v>225.44819876049121</v>
      </c>
      <c r="I22" s="393">
        <f>'EU-Reference CO2 emissions'!M19</f>
        <v>216.05466175888182</v>
      </c>
      <c r="J22" s="393">
        <f>'EU-Reference CO2 emissions'!N19</f>
        <v>213.29293658467873</v>
      </c>
      <c r="K22" s="393">
        <f>'EU-Reference CO2 emissions'!O19</f>
        <v>212.05756472541069</v>
      </c>
      <c r="L22" s="393">
        <f>'EU-Reference CO2 emissions'!P19</f>
        <v>212.10523368743128</v>
      </c>
      <c r="M22" s="393">
        <f>'EU-Reference CO2 emissions'!Q19</f>
        <v>213.8231003643599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93" t="str">
        <f>'EU-Reference CO2 emissions'!B20</f>
        <v>ESP</v>
      </c>
      <c r="B23" s="393">
        <f>'EU-Reference CO2 emissions'!F20</f>
        <v>154.24678052993687</v>
      </c>
      <c r="C23" s="393">
        <f>'EU-Reference CO2 emissions'!G20</f>
        <v>185.18824450849652</v>
      </c>
      <c r="D23" s="393">
        <f>'EU-Reference CO2 emissions'!H20</f>
        <v>169.67442112387275</v>
      </c>
      <c r="E23" s="393">
        <f>'EU-Reference CO2 emissions'!I20</f>
        <v>166.57582704689324</v>
      </c>
      <c r="F23" s="393">
        <f>'EU-Reference CO2 emissions'!J20</f>
        <v>157.28004481595468</v>
      </c>
      <c r="G23" s="393">
        <f>'EU-Reference CO2 emissions'!K20</f>
        <v>147.79980273115621</v>
      </c>
      <c r="H23" s="393">
        <f>'EU-Reference CO2 emissions'!L20</f>
        <v>145.44591166010667</v>
      </c>
      <c r="I23" s="393">
        <f>'EU-Reference CO2 emissions'!M20</f>
        <v>144.6538955952829</v>
      </c>
      <c r="J23" s="393">
        <f>'EU-Reference CO2 emissions'!N20</f>
        <v>146.33958855060979</v>
      </c>
      <c r="K23" s="393">
        <f>'EU-Reference CO2 emissions'!O20</f>
        <v>147.32111836330671</v>
      </c>
      <c r="L23" s="393">
        <f>'EU-Reference CO2 emissions'!P20</f>
        <v>146.55440896854952</v>
      </c>
      <c r="M23" s="393">
        <f>'EU-Reference CO2 emissions'!Q20</f>
        <v>147.33904310565509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93" t="str">
        <f>'EU-Reference CO2 emissions'!B21</f>
        <v>BNL</v>
      </c>
      <c r="B24" s="393">
        <f>'EU-Reference CO2 emissions'!F21</f>
        <v>144.44151059309155</v>
      </c>
      <c r="C24" s="393">
        <f>'EU-Reference CO2 emissions'!G21</f>
        <v>152.62203516501074</v>
      </c>
      <c r="D24" s="393">
        <f>'EU-Reference CO2 emissions'!H21</f>
        <v>155.17806335393158</v>
      </c>
      <c r="E24" s="393">
        <f>'EU-Reference CO2 emissions'!I21</f>
        <v>153.24260608872177</v>
      </c>
      <c r="F24" s="393">
        <f>'EU-Reference CO2 emissions'!J21</f>
        <v>147.43623429309238</v>
      </c>
      <c r="G24" s="393">
        <f>'EU-Reference CO2 emissions'!K21</f>
        <v>137.61174693476903</v>
      </c>
      <c r="H24" s="393">
        <f>'EU-Reference CO2 emissions'!L21</f>
        <v>134.53423869354796</v>
      </c>
      <c r="I24" s="393">
        <f>'EU-Reference CO2 emissions'!M21</f>
        <v>131.61198643751629</v>
      </c>
      <c r="J24" s="393">
        <f>'EU-Reference CO2 emissions'!N21</f>
        <v>131.06652264741936</v>
      </c>
      <c r="K24" s="393">
        <f>'EU-Reference CO2 emissions'!O21</f>
        <v>131.88472362277182</v>
      </c>
      <c r="L24" s="393">
        <f>'EU-Reference CO2 emissions'!P21</f>
        <v>132.57284014723865</v>
      </c>
      <c r="M24" s="393">
        <f>'EU-Reference CO2 emissions'!Q21</f>
        <v>132.95785377740847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93" t="str">
        <f>'EU-Reference CO2 emissions'!B22</f>
        <v>EUN</v>
      </c>
      <c r="B25" s="393">
        <f>'EU-Reference CO2 emissions'!F22</f>
        <v>102.40170507459747</v>
      </c>
      <c r="C25" s="393">
        <f>'EU-Reference CO2 emissions'!G22</f>
        <v>109.92190106765914</v>
      </c>
      <c r="D25" s="393">
        <f>'EU-Reference CO2 emissions'!H22</f>
        <v>106.78858652169323</v>
      </c>
      <c r="E25" s="393">
        <f>'EU-Reference CO2 emissions'!I22</f>
        <v>104.41411817081944</v>
      </c>
      <c r="F25" s="393">
        <f>'EU-Reference CO2 emissions'!J22</f>
        <v>97.290713118198056</v>
      </c>
      <c r="G25" s="393">
        <f>'EU-Reference CO2 emissions'!K22</f>
        <v>92.235627337129472</v>
      </c>
      <c r="H25" s="393">
        <f>'EU-Reference CO2 emissions'!L22</f>
        <v>89.774485280350206</v>
      </c>
      <c r="I25" s="393">
        <f>'EU-Reference CO2 emissions'!M22</f>
        <v>87.140321439872807</v>
      </c>
      <c r="J25" s="393">
        <f>'EU-Reference CO2 emissions'!N22</f>
        <v>86.370966596691005</v>
      </c>
      <c r="K25" s="393">
        <f>'EU-Reference CO2 emissions'!O22</f>
        <v>86.5576882587971</v>
      </c>
      <c r="L25" s="393">
        <f>'EU-Reference CO2 emissions'!P22</f>
        <v>86.912964148540354</v>
      </c>
      <c r="M25" s="393">
        <f>'EU-Reference CO2 emissions'!Q22</f>
        <v>87.495533159798512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93" t="str">
        <f>'EU-Reference CO2 emissions'!B23</f>
        <v>EUS</v>
      </c>
      <c r="B26" s="393">
        <f>'EU-Reference CO2 emissions'!F23</f>
        <v>175.65299071192658</v>
      </c>
      <c r="C26" s="393">
        <f>'EU-Reference CO2 emissions'!G23</f>
        <v>207.52385890951729</v>
      </c>
      <c r="D26" s="393">
        <f>'EU-Reference CO2 emissions'!H23</f>
        <v>195.48132352457904</v>
      </c>
      <c r="E26" s="393">
        <f>'EU-Reference CO2 emissions'!I23</f>
        <v>192.52293065699499</v>
      </c>
      <c r="F26" s="393">
        <f>'EU-Reference CO2 emissions'!J23</f>
        <v>183.64775205424283</v>
      </c>
      <c r="G26" s="393">
        <f>'EU-Reference CO2 emissions'!K23</f>
        <v>178.05594967067674</v>
      </c>
      <c r="H26" s="393">
        <f>'EU-Reference CO2 emissions'!L23</f>
        <v>174.92949238561309</v>
      </c>
      <c r="I26" s="393">
        <f>'EU-Reference CO2 emissions'!M23</f>
        <v>172.66690269210673</v>
      </c>
      <c r="J26" s="393">
        <f>'EU-Reference CO2 emissions'!N23</f>
        <v>173.72690711191962</v>
      </c>
      <c r="K26" s="393">
        <f>'EU-Reference CO2 emissions'!O23</f>
        <v>174.17633027377281</v>
      </c>
      <c r="L26" s="393">
        <f>'EU-Reference CO2 emissions'!P23</f>
        <v>173.6758908928023</v>
      </c>
      <c r="M26" s="393">
        <f>'EU-Reference CO2 emissions'!Q23</f>
        <v>173.82790288907529</v>
      </c>
      <c r="N26" s="293"/>
      <c r="O26" s="293"/>
      <c r="P26" s="293"/>
      <c r="Q26" s="293"/>
      <c r="R26" s="293"/>
      <c r="S26" s="293"/>
      <c r="T26" s="113"/>
    </row>
    <row r="27" spans="1:20" ht="15.75" thickBot="1" x14ac:dyDescent="0.3">
      <c r="A27" s="3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113"/>
    </row>
    <row r="28" spans="1:20" x14ac:dyDescent="0.25">
      <c r="A28" s="539" t="s">
        <v>281</v>
      </c>
      <c r="B28" s="540"/>
      <c r="C28" s="540"/>
      <c r="D28" s="540"/>
      <c r="E28" s="540"/>
      <c r="F28" s="540"/>
      <c r="G28" s="540"/>
      <c r="H28" s="540"/>
      <c r="I28" s="540"/>
      <c r="J28" s="541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5" t="s">
        <v>282</v>
      </c>
      <c r="B29" s="293"/>
      <c r="C29" s="293"/>
      <c r="D29" s="293"/>
      <c r="E29" s="293"/>
      <c r="F29" s="293"/>
      <c r="G29" s="293"/>
      <c r="H29" s="293"/>
      <c r="I29" s="293"/>
      <c r="J29" s="386"/>
      <c r="K29" s="293"/>
      <c r="L29" s="293"/>
      <c r="M29" s="293"/>
      <c r="N29" s="293"/>
      <c r="O29" s="293"/>
      <c r="P29" s="293"/>
      <c r="Q29" s="293"/>
      <c r="R29" s="293"/>
      <c r="S29" s="293"/>
      <c r="T29" s="113"/>
    </row>
    <row r="30" spans="1:20" x14ac:dyDescent="0.25">
      <c r="A30" s="402"/>
      <c r="B30" s="404">
        <f>E5</f>
        <v>2011</v>
      </c>
      <c r="C30" s="404">
        <f t="shared" ref="C30:J30" si="0">F5</f>
        <v>2015</v>
      </c>
      <c r="D30" s="404">
        <f t="shared" si="0"/>
        <v>2020</v>
      </c>
      <c r="E30" s="404">
        <f t="shared" si="0"/>
        <v>2025</v>
      </c>
      <c r="F30" s="404">
        <f t="shared" si="0"/>
        <v>2030</v>
      </c>
      <c r="G30" s="404">
        <f t="shared" si="0"/>
        <v>2035</v>
      </c>
      <c r="H30" s="404">
        <f t="shared" si="0"/>
        <v>2040</v>
      </c>
      <c r="I30" s="404">
        <f t="shared" si="0"/>
        <v>2045</v>
      </c>
      <c r="J30" s="406">
        <f t="shared" si="0"/>
        <v>2050</v>
      </c>
      <c r="K30" s="293"/>
      <c r="L30" s="293"/>
      <c r="M30" s="293"/>
      <c r="N30" s="293"/>
      <c r="O30" s="293"/>
      <c r="P30" s="293"/>
      <c r="Q30" s="293"/>
      <c r="R30" s="293"/>
      <c r="S30" s="293"/>
      <c r="T30" s="113"/>
    </row>
    <row r="31" spans="1:20" x14ac:dyDescent="0.25">
      <c r="A31" s="402" t="s">
        <v>190</v>
      </c>
      <c r="B31" s="293">
        <f>E15/$E$15</f>
        <v>1</v>
      </c>
      <c r="C31" s="293">
        <f t="shared" ref="C31:J31" si="1">F15/$E$15</f>
        <v>0.93175703099461682</v>
      </c>
      <c r="D31" s="293">
        <f t="shared" si="1"/>
        <v>0.86094907240860552</v>
      </c>
      <c r="E31" s="293">
        <f t="shared" si="1"/>
        <v>0.79231434613577856</v>
      </c>
      <c r="F31" s="293">
        <f t="shared" si="1"/>
        <v>0.68829199553439047</v>
      </c>
      <c r="G31" s="293">
        <f t="shared" si="1"/>
        <v>0.59999521992004701</v>
      </c>
      <c r="H31" s="293">
        <f t="shared" si="1"/>
        <v>0.5315929566850921</v>
      </c>
      <c r="I31" s="293">
        <f t="shared" si="1"/>
        <v>0.45581425719651453</v>
      </c>
      <c r="J31" s="386">
        <f t="shared" si="1"/>
        <v>0.37503532150343227</v>
      </c>
      <c r="K31" s="293"/>
      <c r="L31" s="438"/>
      <c r="M31" s="438"/>
      <c r="N31" s="438"/>
      <c r="O31" s="438"/>
      <c r="P31" s="438"/>
      <c r="Q31" s="438"/>
      <c r="R31" s="438"/>
      <c r="S31" s="438"/>
      <c r="T31" s="438"/>
    </row>
    <row r="32" spans="1:20" x14ac:dyDescent="0.25">
      <c r="A32" s="382"/>
      <c r="B32" s="293"/>
      <c r="C32" s="293"/>
      <c r="D32" s="293"/>
      <c r="E32" s="293"/>
      <c r="F32" s="293"/>
      <c r="G32" s="293"/>
      <c r="H32" s="293"/>
      <c r="I32" s="293"/>
      <c r="J32" s="386"/>
      <c r="K32" s="293"/>
      <c r="L32" s="293"/>
      <c r="M32" s="293"/>
      <c r="N32" s="293"/>
      <c r="O32" s="293"/>
      <c r="P32" s="293"/>
      <c r="Q32" s="293"/>
      <c r="R32" s="293"/>
      <c r="S32" s="293"/>
      <c r="T32" s="113"/>
    </row>
    <row r="33" spans="1:20" x14ac:dyDescent="0.25">
      <c r="A33" s="405" t="s">
        <v>283</v>
      </c>
      <c r="B33" s="293"/>
      <c r="C33" s="293"/>
      <c r="D33" s="293"/>
      <c r="E33" s="293"/>
      <c r="F33" s="293"/>
      <c r="G33" s="293"/>
      <c r="H33" s="293"/>
      <c r="I33" s="293"/>
      <c r="J33" s="386"/>
      <c r="K33" s="293"/>
      <c r="L33" s="293"/>
      <c r="M33" s="293"/>
      <c r="N33" s="293"/>
      <c r="O33" s="293"/>
      <c r="P33" s="293"/>
      <c r="Q33" s="293"/>
      <c r="R33" s="293"/>
      <c r="S33" s="293"/>
      <c r="T33" s="113"/>
    </row>
    <row r="34" spans="1:20" x14ac:dyDescent="0.25">
      <c r="A34" s="382"/>
      <c r="B34" s="404">
        <f>B30</f>
        <v>2011</v>
      </c>
      <c r="C34" s="404">
        <f t="shared" ref="C34:J34" si="2">C30</f>
        <v>2015</v>
      </c>
      <c r="D34" s="404">
        <f t="shared" si="2"/>
        <v>2020</v>
      </c>
      <c r="E34" s="404">
        <f t="shared" si="2"/>
        <v>2025</v>
      </c>
      <c r="F34" s="404">
        <f t="shared" si="2"/>
        <v>2030</v>
      </c>
      <c r="G34" s="404">
        <f t="shared" si="2"/>
        <v>2035</v>
      </c>
      <c r="H34" s="404">
        <f t="shared" si="2"/>
        <v>2040</v>
      </c>
      <c r="I34" s="404">
        <f t="shared" si="2"/>
        <v>2045</v>
      </c>
      <c r="J34" s="406">
        <f t="shared" si="2"/>
        <v>2050</v>
      </c>
      <c r="K34" s="293"/>
      <c r="L34" s="293"/>
      <c r="M34" s="293"/>
      <c r="N34" s="293"/>
      <c r="O34" s="293"/>
      <c r="P34" s="293"/>
      <c r="Q34" s="293"/>
      <c r="R34" s="293"/>
      <c r="S34" s="293"/>
      <c r="T34" s="113"/>
    </row>
    <row r="35" spans="1:20" x14ac:dyDescent="0.25">
      <c r="A35" s="402" t="str">
        <f>A18</f>
        <v>DEU</v>
      </c>
      <c r="B35" s="293">
        <f>E18/$E18</f>
        <v>1</v>
      </c>
      <c r="C35" s="293">
        <f>F18/$E18</f>
        <v>0.99336429020222616</v>
      </c>
      <c r="D35" s="293">
        <f t="shared" ref="C35:J43" si="3">G18/$E18</f>
        <v>0.90144363777007752</v>
      </c>
      <c r="E35" s="293">
        <f t="shared" si="3"/>
        <v>0.85672549147802335</v>
      </c>
      <c r="F35" s="293">
        <f t="shared" si="3"/>
        <v>0.79860693655131876</v>
      </c>
      <c r="G35" s="293">
        <f t="shared" si="3"/>
        <v>0.76903314345375606</v>
      </c>
      <c r="H35" s="293">
        <f t="shared" si="3"/>
        <v>0.74916951238515184</v>
      </c>
      <c r="I35" s="293">
        <f t="shared" si="3"/>
        <v>0.73662587556620107</v>
      </c>
      <c r="J35" s="386">
        <f t="shared" si="3"/>
        <v>0.72289933713013421</v>
      </c>
      <c r="K35" s="293"/>
      <c r="L35" s="293"/>
      <c r="M35" s="293"/>
      <c r="N35" s="293"/>
      <c r="O35" s="293"/>
      <c r="P35" s="293"/>
      <c r="Q35" s="293"/>
      <c r="R35" s="293"/>
      <c r="S35" s="293"/>
      <c r="T35" s="113"/>
    </row>
    <row r="36" spans="1:20" x14ac:dyDescent="0.25">
      <c r="A36" s="402" t="str">
        <f t="shared" ref="A36:A43" si="4">A19</f>
        <v>FRA</v>
      </c>
      <c r="B36" s="293">
        <f t="shared" ref="B36:B43" si="5">E19/$E19</f>
        <v>1</v>
      </c>
      <c r="C36" s="293">
        <f t="shared" si="3"/>
        <v>0.96749986487235562</v>
      </c>
      <c r="D36" s="293">
        <f t="shared" si="3"/>
        <v>0.90188304634440941</v>
      </c>
      <c r="E36" s="293">
        <f t="shared" si="3"/>
        <v>0.8791580980165824</v>
      </c>
      <c r="F36" s="293">
        <f>I19/$E19</f>
        <v>0.85268750394745807</v>
      </c>
      <c r="G36" s="293">
        <f t="shared" si="3"/>
        <v>0.83532322904325995</v>
      </c>
      <c r="H36" s="293">
        <f t="shared" si="3"/>
        <v>0.8245515569156916</v>
      </c>
      <c r="I36" s="293">
        <f t="shared" si="3"/>
        <v>0.81038546120140631</v>
      </c>
      <c r="J36" s="386">
        <f t="shared" si="3"/>
        <v>0.79836531948488032</v>
      </c>
      <c r="K36" s="293"/>
      <c r="L36" s="293"/>
      <c r="M36" s="293"/>
      <c r="N36" s="293"/>
      <c r="O36" s="293"/>
      <c r="P36" s="293"/>
      <c r="Q36" s="293"/>
      <c r="R36" s="293"/>
      <c r="S36" s="293"/>
      <c r="T36" s="113"/>
    </row>
    <row r="37" spans="1:20" x14ac:dyDescent="0.25">
      <c r="A37" s="402" t="str">
        <f t="shared" si="4"/>
        <v>ITA</v>
      </c>
      <c r="B37" s="293">
        <f t="shared" si="5"/>
        <v>1</v>
      </c>
      <c r="C37" s="293">
        <f t="shared" si="3"/>
        <v>0.95878871946472122</v>
      </c>
      <c r="D37" s="293">
        <f t="shared" si="3"/>
        <v>0.92160774172169491</v>
      </c>
      <c r="E37" s="293">
        <f t="shared" si="3"/>
        <v>0.89520224337935728</v>
      </c>
      <c r="F37" s="293">
        <f t="shared" si="3"/>
        <v>0.87329733552089006</v>
      </c>
      <c r="G37" s="293">
        <f t="shared" si="3"/>
        <v>0.84547455467547128</v>
      </c>
      <c r="H37" s="293">
        <f t="shared" si="3"/>
        <v>0.82541933470389173</v>
      </c>
      <c r="I37" s="293">
        <f t="shared" si="3"/>
        <v>0.82586089846878308</v>
      </c>
      <c r="J37" s="386">
        <f t="shared" si="3"/>
        <v>0.81242892427340285</v>
      </c>
      <c r="K37" s="293"/>
      <c r="L37" s="293"/>
      <c r="M37" s="293"/>
      <c r="N37" s="293"/>
      <c r="O37" s="293"/>
      <c r="P37" s="293"/>
      <c r="Q37" s="293"/>
      <c r="R37" s="293"/>
      <c r="S37" s="293"/>
      <c r="T37" s="113"/>
    </row>
    <row r="38" spans="1:20" x14ac:dyDescent="0.25">
      <c r="A38" s="402" t="str">
        <f t="shared" si="4"/>
        <v>POL</v>
      </c>
      <c r="B38" s="293">
        <f t="shared" si="5"/>
        <v>1</v>
      </c>
      <c r="C38" s="293">
        <f t="shared" si="3"/>
        <v>0.95513166954144946</v>
      </c>
      <c r="D38" s="293">
        <f t="shared" si="3"/>
        <v>0.93892518801424252</v>
      </c>
      <c r="E38" s="293">
        <f t="shared" si="3"/>
        <v>0.91013893349453168</v>
      </c>
      <c r="F38" s="293">
        <f t="shared" si="3"/>
        <v>0.88374037924140758</v>
      </c>
      <c r="G38" s="293">
        <f t="shared" si="3"/>
        <v>0.85888912005919993</v>
      </c>
      <c r="H38" s="293">
        <f t="shared" si="3"/>
        <v>0.84104135074939779</v>
      </c>
      <c r="I38" s="293">
        <f t="shared" si="3"/>
        <v>0.83502903026966457</v>
      </c>
      <c r="J38" s="386">
        <f t="shared" si="3"/>
        <v>0.82733781460130995</v>
      </c>
      <c r="K38" s="293"/>
      <c r="L38" s="293"/>
      <c r="M38" s="293"/>
      <c r="N38" s="293"/>
      <c r="O38" s="293"/>
      <c r="P38" s="293"/>
      <c r="Q38" s="293"/>
      <c r="R38" s="293"/>
      <c r="S38" s="293"/>
      <c r="T38" s="113"/>
    </row>
    <row r="39" spans="1:20" x14ac:dyDescent="0.25">
      <c r="A39" s="402" t="str">
        <f t="shared" si="4"/>
        <v>UKI</v>
      </c>
      <c r="B39" s="293">
        <f t="shared" si="5"/>
        <v>1</v>
      </c>
      <c r="C39" s="293">
        <f t="shared" si="3"/>
        <v>0.98016739976533895</v>
      </c>
      <c r="D39" s="293">
        <f t="shared" si="3"/>
        <v>0.90693392626272495</v>
      </c>
      <c r="E39" s="293">
        <f t="shared" si="3"/>
        <v>0.877953494230021</v>
      </c>
      <c r="F39" s="293">
        <f t="shared" si="3"/>
        <v>0.84137263583734256</v>
      </c>
      <c r="G39" s="293">
        <f t="shared" si="3"/>
        <v>0.83061776496179163</v>
      </c>
      <c r="H39" s="293">
        <f t="shared" si="3"/>
        <v>0.82580690798231293</v>
      </c>
      <c r="I39" s="293">
        <f t="shared" si="3"/>
        <v>0.82599254322802518</v>
      </c>
      <c r="J39" s="386">
        <f t="shared" si="3"/>
        <v>0.83268235960235371</v>
      </c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402" t="str">
        <f t="shared" si="4"/>
        <v>ESP</v>
      </c>
      <c r="B40" s="293">
        <f t="shared" si="5"/>
        <v>1</v>
      </c>
      <c r="C40" s="293">
        <f t="shared" si="3"/>
        <v>0.94419489072492091</v>
      </c>
      <c r="D40" s="293">
        <f t="shared" si="3"/>
        <v>0.88728241877225478</v>
      </c>
      <c r="E40" s="293">
        <f t="shared" si="3"/>
        <v>0.87315137039158619</v>
      </c>
      <c r="F40" s="293">
        <f t="shared" si="3"/>
        <v>0.86839668251841229</v>
      </c>
      <c r="G40" s="293">
        <f t="shared" si="3"/>
        <v>0.87851635585404186</v>
      </c>
      <c r="H40" s="293">
        <f t="shared" si="3"/>
        <v>0.88440874630527222</v>
      </c>
      <c r="I40" s="293">
        <f t="shared" si="3"/>
        <v>0.87980598125616738</v>
      </c>
      <c r="J40" s="386">
        <f t="shared" si="3"/>
        <v>0.88451635340929302</v>
      </c>
      <c r="K40" s="293"/>
      <c r="L40" s="293"/>
      <c r="M40" s="293"/>
      <c r="N40" s="293"/>
      <c r="O40" s="293"/>
      <c r="P40" s="293"/>
      <c r="Q40" s="293"/>
      <c r="R40" s="293"/>
      <c r="S40" s="293"/>
      <c r="T40" s="113"/>
    </row>
    <row r="41" spans="1:20" x14ac:dyDescent="0.25">
      <c r="A41" s="402" t="str">
        <f t="shared" si="4"/>
        <v>BNL</v>
      </c>
      <c r="B41" s="293">
        <f t="shared" si="5"/>
        <v>1</v>
      </c>
      <c r="C41" s="293">
        <f t="shared" si="3"/>
        <v>0.96210993832702296</v>
      </c>
      <c r="D41" s="293">
        <f t="shared" si="3"/>
        <v>0.89799926043477063</v>
      </c>
      <c r="E41" s="293">
        <f t="shared" si="3"/>
        <v>0.87791667165760445</v>
      </c>
      <c r="F41" s="293">
        <f t="shared" si="3"/>
        <v>0.8588472213877506</v>
      </c>
      <c r="G41" s="293">
        <f t="shared" si="3"/>
        <v>0.85528774270216157</v>
      </c>
      <c r="H41" s="293">
        <f t="shared" si="3"/>
        <v>0.86062699525232211</v>
      </c>
      <c r="I41" s="293">
        <f t="shared" si="3"/>
        <v>0.86511736866758782</v>
      </c>
      <c r="J41" s="386">
        <f t="shared" si="3"/>
        <v>0.86762981373751125</v>
      </c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 t="str">
        <f t="shared" si="4"/>
        <v>EUN</v>
      </c>
      <c r="B42" s="293">
        <f t="shared" si="5"/>
        <v>1</v>
      </c>
      <c r="C42" s="293">
        <f t="shared" si="3"/>
        <v>0.93177737668609495</v>
      </c>
      <c r="D42" s="293">
        <f t="shared" si="3"/>
        <v>0.88336356187229204</v>
      </c>
      <c r="E42" s="293">
        <f t="shared" si="3"/>
        <v>0.85979259177845013</v>
      </c>
      <c r="F42" s="293">
        <f t="shared" si="3"/>
        <v>0.83456454899435117</v>
      </c>
      <c r="G42" s="293">
        <f t="shared" si="3"/>
        <v>0.82719624615695941</v>
      </c>
      <c r="H42" s="293">
        <f t="shared" si="3"/>
        <v>0.82898452599283967</v>
      </c>
      <c r="I42" s="293">
        <f t="shared" si="3"/>
        <v>0.83238709162253766</v>
      </c>
      <c r="J42" s="386">
        <f t="shared" si="3"/>
        <v>0.83796650005373363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ht="15.75" thickBot="1" x14ac:dyDescent="0.3">
      <c r="A43" s="401" t="str">
        <f t="shared" si="4"/>
        <v>EUS</v>
      </c>
      <c r="B43" s="88">
        <f t="shared" si="5"/>
        <v>1</v>
      </c>
      <c r="C43" s="88">
        <f t="shared" si="3"/>
        <v>0.95390066745574087</v>
      </c>
      <c r="D43" s="88">
        <f t="shared" si="3"/>
        <v>0.92485580321809513</v>
      </c>
      <c r="E43" s="88">
        <f t="shared" si="3"/>
        <v>0.90861640111469666</v>
      </c>
      <c r="F43" s="88">
        <f t="shared" si="3"/>
        <v>0.89686408836013209</v>
      </c>
      <c r="G43" s="88">
        <f t="shared" si="3"/>
        <v>0.90236994896694689</v>
      </c>
      <c r="H43" s="88">
        <f t="shared" si="3"/>
        <v>0.90470433666985328</v>
      </c>
      <c r="I43" s="88">
        <f t="shared" si="3"/>
        <v>0.90210496121227668</v>
      </c>
      <c r="J43" s="388">
        <f t="shared" si="3"/>
        <v>0.9028945398653454</v>
      </c>
      <c r="K43" s="293"/>
      <c r="L43" s="293"/>
      <c r="M43" s="293"/>
      <c r="N43" s="293"/>
      <c r="O43" s="293"/>
      <c r="P43" s="293"/>
      <c r="Q43" s="293"/>
      <c r="R43" s="293"/>
      <c r="S43" s="293"/>
      <c r="T43" s="113"/>
    </row>
    <row r="44" spans="1:20" x14ac:dyDescent="0.25">
      <c r="A44" s="410" t="s">
        <v>272</v>
      </c>
      <c r="B44" s="396" t="s">
        <v>367</v>
      </c>
      <c r="C44" s="396"/>
      <c r="D44" s="396"/>
      <c r="E44" s="293"/>
      <c r="F44" s="293"/>
      <c r="G44" s="293"/>
      <c r="H44" s="293"/>
      <c r="I44" s="293"/>
      <c r="J44" s="293"/>
      <c r="K44" s="376"/>
      <c r="L44" s="376"/>
      <c r="M44" s="376"/>
      <c r="N44" s="376"/>
      <c r="O44" s="376"/>
      <c r="P44" s="376"/>
      <c r="Q44" s="376"/>
      <c r="R44" s="376"/>
      <c r="S44" s="376"/>
      <c r="T44" s="392"/>
    </row>
    <row r="45" spans="1:20" x14ac:dyDescent="0.25">
      <c r="A45" s="393"/>
      <c r="B45" s="293" t="s">
        <v>365</v>
      </c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93" t="s">
        <v>273</v>
      </c>
      <c r="B46" s="293" t="s">
        <v>368</v>
      </c>
      <c r="C46" s="293"/>
      <c r="D46" s="293"/>
      <c r="E46" s="407" t="s">
        <v>369</v>
      </c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393"/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ht="15.75" thickBot="1" x14ac:dyDescent="0.3">
      <c r="A48" s="393"/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539" t="s">
        <v>281</v>
      </c>
      <c r="B49" s="540"/>
      <c r="C49" s="540"/>
      <c r="D49" s="540"/>
      <c r="E49" s="540"/>
      <c r="F49" s="540"/>
      <c r="G49" s="540"/>
      <c r="H49" s="540"/>
      <c r="I49" s="540"/>
      <c r="J49" s="541"/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5" t="s">
        <v>282</v>
      </c>
      <c r="B50" s="293"/>
      <c r="C50" s="293"/>
      <c r="D50" s="293"/>
      <c r="E50" s="293"/>
      <c r="F50" s="293"/>
      <c r="G50" s="293"/>
      <c r="H50" s="293"/>
      <c r="I50" s="293"/>
      <c r="J50" s="386"/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/>
      <c r="B51" s="293">
        <v>2011</v>
      </c>
      <c r="C51" s="293">
        <v>2015</v>
      </c>
      <c r="D51" s="293">
        <v>2020</v>
      </c>
      <c r="E51" s="293">
        <v>2025</v>
      </c>
      <c r="F51" s="293">
        <v>2030</v>
      </c>
      <c r="G51" s="293">
        <v>2035</v>
      </c>
      <c r="H51" s="293">
        <v>2040</v>
      </c>
      <c r="I51" s="293">
        <v>2045</v>
      </c>
      <c r="J51" s="386">
        <v>2050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">
        <v>190</v>
      </c>
      <c r="B52" s="293">
        <f>'EU-Reference CO2 emissions'!I33</f>
        <v>1</v>
      </c>
      <c r="C52" s="293">
        <f>'EU-Reference CO2 emissions'!J33</f>
        <v>0.93175703099461682</v>
      </c>
      <c r="D52" s="293">
        <f>'EU-Reference CO2 emissions'!K33</f>
        <v>0.92069189109505456</v>
      </c>
      <c r="E52" s="293">
        <f>'EU-Reference CO2 emissions'!L33</f>
        <v>0.7924942860058698</v>
      </c>
      <c r="F52" s="293">
        <f>'EU-Reference CO2 emissions'!M33</f>
        <v>0.66429668091668492</v>
      </c>
      <c r="G52" s="293">
        <f>'EU-Reference CO2 emissions'!N33</f>
        <v>0.5477534035628806</v>
      </c>
      <c r="H52" s="293">
        <f>'EU-Reference CO2 emissions'!O33</f>
        <v>0.43121012620907623</v>
      </c>
      <c r="I52" s="293">
        <f>'EU-Reference CO2 emissions'!P33</f>
        <v>0.3146668488552718</v>
      </c>
      <c r="J52" s="386">
        <f>'EU-Reference CO2 emissions'!Q33</f>
        <v>0.19812357150146748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382"/>
      <c r="B53" s="293"/>
      <c r="C53" s="293"/>
      <c r="D53" s="293"/>
      <c r="E53" s="293"/>
      <c r="F53" s="293"/>
      <c r="G53" s="293"/>
      <c r="H53" s="293"/>
      <c r="I53" s="293"/>
      <c r="J53" s="386"/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5" t="s">
        <v>283</v>
      </c>
      <c r="B54" s="293"/>
      <c r="C54" s="293"/>
      <c r="D54" s="293"/>
      <c r="E54" s="293"/>
      <c r="F54" s="293"/>
      <c r="G54" s="293"/>
      <c r="H54" s="293"/>
      <c r="I54" s="293"/>
      <c r="J54" s="386"/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382"/>
      <c r="B55" s="293">
        <f>[8]input_NEWAGE!B1</f>
        <v>2011</v>
      </c>
      <c r="C55" s="293">
        <f>[8]input_NEWAGE!C1</f>
        <v>2015</v>
      </c>
      <c r="D55" s="293">
        <f>[8]input_NEWAGE!D1</f>
        <v>2020</v>
      </c>
      <c r="E55" s="293">
        <f>[8]input_NEWAGE!E1</f>
        <v>2025</v>
      </c>
      <c r="F55" s="293">
        <f>[8]input_NEWAGE!F1</f>
        <v>2030</v>
      </c>
      <c r="G55" s="293">
        <f>[8]input_NEWAGE!G1</f>
        <v>2035</v>
      </c>
      <c r="H55" s="293">
        <f>[8]input_NEWAGE!H1</f>
        <v>2040</v>
      </c>
      <c r="I55" s="293">
        <f>[8]input_NEWAGE!I1</f>
        <v>2045</v>
      </c>
      <c r="J55" s="386">
        <f>[8]input_NEWAGE!J1</f>
        <v>2050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2" t="str">
        <f>[8]input_NEWAGE!A2</f>
        <v>DEU</v>
      </c>
      <c r="B56" s="293">
        <f>[8]input_NEWAGE!B2</f>
        <v>1</v>
      </c>
      <c r="C56" s="293">
        <f>[8]input_NEWAGE!C2</f>
        <v>1.0108350415606064</v>
      </c>
      <c r="D56" s="293">
        <f>[8]input_NEWAGE!D2</f>
        <v>0.90748181019530105</v>
      </c>
      <c r="E56" s="293">
        <f>[8]input_NEWAGE!E2</f>
        <v>0.78085644133084042</v>
      </c>
      <c r="F56" s="293">
        <f>[8]input_NEWAGE!F2</f>
        <v>0.65423107246637979</v>
      </c>
      <c r="G56" s="293">
        <f>[8]input_NEWAGE!G2</f>
        <v>0.54343387470997684</v>
      </c>
      <c r="H56" s="293">
        <f>[8]input_NEWAGE!H2</f>
        <v>0.43263667695357377</v>
      </c>
      <c r="I56" s="293">
        <f>[8]input_NEWAGE!I2</f>
        <v>0.32183947919717071</v>
      </c>
      <c r="J56" s="386">
        <f>[8]input_NEWAGE!J2</f>
        <v>0.21104228144076762</v>
      </c>
      <c r="K56" s="293"/>
      <c r="L56" s="293"/>
      <c r="M56" s="293"/>
      <c r="N56" s="293"/>
      <c r="O56" s="293"/>
      <c r="P56" s="293"/>
      <c r="Q56" s="293"/>
      <c r="R56" s="293"/>
      <c r="S56" s="293"/>
      <c r="T56" s="113"/>
    </row>
    <row r="57" spans="1:20" x14ac:dyDescent="0.25">
      <c r="A57" s="402" t="str">
        <f>[8]input_NEWAGE!A3</f>
        <v>FRA</v>
      </c>
      <c r="B57" s="293">
        <f>[8]input_NEWAGE!B3</f>
        <v>1</v>
      </c>
      <c r="C57" s="293">
        <f>[8]input_NEWAGE!C3</f>
        <v>1.0001643655489809</v>
      </c>
      <c r="D57" s="293">
        <f>[8]input_NEWAGE!D3</f>
        <v>0.93197293447293428</v>
      </c>
      <c r="E57" s="293">
        <f>[8]input_NEWAGE!E3</f>
        <v>0.80734864672364659</v>
      </c>
      <c r="F57" s="293">
        <f>[8]input_NEWAGE!F3</f>
        <v>0.6827243589743589</v>
      </c>
      <c r="G57" s="293">
        <f>[8]input_NEWAGE!G3</f>
        <v>0.56622774216524208</v>
      </c>
      <c r="H57" s="293">
        <f>[8]input_NEWAGE!H3</f>
        <v>0.44973112535612531</v>
      </c>
      <c r="I57" s="293">
        <f>[8]input_NEWAGE!I3</f>
        <v>0.33323450854700853</v>
      </c>
      <c r="J57" s="386">
        <f>[8]input_NEWAGE!J3</f>
        <v>0.21673789173789168</v>
      </c>
      <c r="K57" s="293"/>
      <c r="L57" s="293"/>
      <c r="M57" s="293"/>
      <c r="N57" s="293"/>
      <c r="O57" s="293"/>
      <c r="P57" s="293"/>
      <c r="Q57" s="293"/>
      <c r="R57" s="293"/>
      <c r="S57" s="293"/>
      <c r="T57" s="113"/>
    </row>
    <row r="58" spans="1:20" x14ac:dyDescent="0.25">
      <c r="A58" s="402" t="str">
        <f>[8]input_NEWAGE!A4</f>
        <v>ITA</v>
      </c>
      <c r="B58" s="293">
        <f>[8]input_NEWAGE!B4</f>
        <v>1</v>
      </c>
      <c r="C58" s="293">
        <f>[8]input_NEWAGE!C4</f>
        <v>0.92295704024935621</v>
      </c>
      <c r="D58" s="293">
        <f>[8]input_NEWAGE!D4</f>
        <v>0.95900664046618755</v>
      </c>
      <c r="E58" s="293">
        <f>[8]input_NEWAGE!E4</f>
        <v>0.85306986041469013</v>
      </c>
      <c r="F58" s="293">
        <f>[8]input_NEWAGE!F4</f>
        <v>0.7471330803631927</v>
      </c>
      <c r="G58" s="293">
        <f>[8]input_NEWAGE!G4</f>
        <v>0.61610601029949852</v>
      </c>
      <c r="H58" s="293">
        <f>[8]input_NEWAGE!H4</f>
        <v>0.48507894023580433</v>
      </c>
      <c r="I58" s="293">
        <f>[8]input_NEWAGE!I4</f>
        <v>0.35405187017210998</v>
      </c>
      <c r="J58" s="386">
        <f>[8]input_NEWAGE!J4</f>
        <v>0.22302480010841572</v>
      </c>
      <c r="K58" s="293"/>
      <c r="L58" s="293"/>
      <c r="M58" s="293"/>
      <c r="N58" s="293"/>
      <c r="O58" s="293"/>
      <c r="P58" s="293"/>
      <c r="Q58" s="293"/>
      <c r="R58" s="293"/>
      <c r="S58" s="293"/>
      <c r="T58" s="113"/>
    </row>
    <row r="59" spans="1:20" x14ac:dyDescent="0.25">
      <c r="A59" s="402" t="str">
        <f>[8]input_NEWAGE!A5</f>
        <v>POL</v>
      </c>
      <c r="B59" s="293">
        <f>[8]input_NEWAGE!B5</f>
        <v>1</v>
      </c>
      <c r="C59" s="293">
        <f>[8]input_NEWAGE!C5</f>
        <v>0.94899132434409961</v>
      </c>
      <c r="D59" s="293">
        <f>[8]input_NEWAGE!D5</f>
        <v>1.0486641580432738</v>
      </c>
      <c r="E59" s="293">
        <f>[8]input_NEWAGE!E5</f>
        <v>0.95207666980244576</v>
      </c>
      <c r="F59" s="293">
        <f>[8]input_NEWAGE!F5</f>
        <v>0.85548918156161791</v>
      </c>
      <c r="G59" s="293">
        <f>[8]input_NEWAGE!G5</f>
        <v>0.75660199121981808</v>
      </c>
      <c r="H59" s="293">
        <f>[8]input_NEWAGE!H5</f>
        <v>0.65771480087801826</v>
      </c>
      <c r="I59" s="293">
        <f>[8]input_NEWAGE!I5</f>
        <v>0.55882761053621821</v>
      </c>
      <c r="J59" s="386">
        <f>[8]input_NEWAGE!J5</f>
        <v>0.45994042019441828</v>
      </c>
      <c r="K59" s="293"/>
      <c r="L59" s="293"/>
      <c r="M59" s="293"/>
      <c r="N59" s="293"/>
      <c r="O59" s="293"/>
      <c r="P59" s="293"/>
      <c r="Q59" s="293"/>
      <c r="R59" s="293"/>
      <c r="S59" s="293"/>
      <c r="T59" s="113"/>
    </row>
    <row r="60" spans="1:20" x14ac:dyDescent="0.25">
      <c r="A60" s="402" t="str">
        <f>[8]input_NEWAGE!A6</f>
        <v>UKI</v>
      </c>
      <c r="B60" s="293">
        <f>[8]input_NEWAGE!B6</f>
        <v>1</v>
      </c>
      <c r="C60" s="293">
        <f>[8]input_NEWAGE!C6</f>
        <v>0.96924029727497929</v>
      </c>
      <c r="D60" s="293">
        <f>[8]input_NEWAGE!D6</f>
        <v>1.0273575557390586</v>
      </c>
      <c r="E60" s="293">
        <f>[8]input_NEWAGE!E6</f>
        <v>0.89893786127167619</v>
      </c>
      <c r="F60" s="293">
        <f>[8]input_NEWAGE!F6</f>
        <v>0.77051816680429397</v>
      </c>
      <c r="G60" s="293">
        <f>[8]input_NEWAGE!G6</f>
        <v>0.63904086056387877</v>
      </c>
      <c r="H60" s="293">
        <f>[8]input_NEWAGE!H6</f>
        <v>0.50756355432346345</v>
      </c>
      <c r="I60" s="293">
        <f>[8]input_NEWAGE!I6</f>
        <v>0.37608624808304825</v>
      </c>
      <c r="J60" s="386">
        <f>[8]input_NEWAGE!J6</f>
        <v>0.24460894184263296</v>
      </c>
      <c r="K60" s="293"/>
      <c r="L60" s="293"/>
      <c r="M60" s="293"/>
      <c r="N60" s="293"/>
      <c r="O60" s="293"/>
      <c r="P60" s="293"/>
      <c r="Q60" s="293"/>
      <c r="R60" s="293"/>
      <c r="S60" s="293"/>
      <c r="T60" s="113"/>
    </row>
    <row r="61" spans="1:20" x14ac:dyDescent="0.25">
      <c r="A61" s="402" t="str">
        <f>[8]input_NEWAGE!A7</f>
        <v>ESP</v>
      </c>
      <c r="B61" s="293">
        <f>[8]input_NEWAGE!B7</f>
        <v>1</v>
      </c>
      <c r="C61" s="293">
        <f>[8]input_NEWAGE!C7</f>
        <v>0.92070246015782142</v>
      </c>
      <c r="D61" s="293">
        <f>[8]input_NEWAGE!D7</f>
        <v>1.0075866470679253</v>
      </c>
      <c r="E61" s="293">
        <f>[8]input_NEWAGE!E7</f>
        <v>0.91798081386353103</v>
      </c>
      <c r="F61" s="293">
        <f>[8]input_NEWAGE!F7</f>
        <v>0.82837498065913673</v>
      </c>
      <c r="G61" s="293">
        <f>[8]input_NEWAGE!G7</f>
        <v>0.67608744004332366</v>
      </c>
      <c r="H61" s="293">
        <f>[8]input_NEWAGE!H7</f>
        <v>0.52379989942751048</v>
      </c>
      <c r="I61" s="293">
        <f>[8]input_NEWAGE!I7</f>
        <v>0.37151235881169736</v>
      </c>
      <c r="J61" s="386">
        <f>[8]input_NEWAGE!J7</f>
        <v>0.21922481819588424</v>
      </c>
      <c r="K61" s="293"/>
      <c r="L61" s="293"/>
      <c r="M61" s="293"/>
      <c r="N61" s="293"/>
      <c r="O61" s="293"/>
      <c r="P61" s="293"/>
      <c r="Q61" s="293"/>
      <c r="R61" s="293"/>
      <c r="S61" s="293"/>
      <c r="T61" s="113"/>
    </row>
    <row r="62" spans="1:20" x14ac:dyDescent="0.25">
      <c r="A62" s="402" t="str">
        <f>[8]input_NEWAGE!A8</f>
        <v>BNL</v>
      </c>
      <c r="B62" s="293">
        <f>[8]input_NEWAGE!B8</f>
        <v>1</v>
      </c>
      <c r="C62" s="293">
        <f>[8]input_NEWAGE!C8</f>
        <v>0.91278434488924209</v>
      </c>
      <c r="D62" s="293">
        <f>[8]input_NEWAGE!D8</f>
        <v>0.88304956789510269</v>
      </c>
      <c r="E62" s="293">
        <f>[8]input_NEWAGE!E8</f>
        <v>0.77814741233733964</v>
      </c>
      <c r="F62" s="293">
        <f>[8]input_NEWAGE!F8</f>
        <v>0.67324525677957681</v>
      </c>
      <c r="G62" s="293">
        <f>[8]input_NEWAGE!G8</f>
        <v>0.55738502036356419</v>
      </c>
      <c r="H62" s="293">
        <f>[8]input_NEWAGE!H8</f>
        <v>0.44152478394755151</v>
      </c>
      <c r="I62" s="293">
        <f>[8]input_NEWAGE!I8</f>
        <v>0.32566454753153867</v>
      </c>
      <c r="J62" s="386">
        <f>[8]input_NEWAGE!J8</f>
        <v>0.20980431111552592</v>
      </c>
      <c r="K62" s="293"/>
      <c r="L62" s="293"/>
      <c r="M62" s="293"/>
      <c r="N62" s="293"/>
      <c r="O62" s="293"/>
      <c r="P62" s="293"/>
      <c r="Q62" s="293"/>
      <c r="R62" s="293"/>
      <c r="S62" s="293"/>
      <c r="T62" s="113"/>
    </row>
    <row r="63" spans="1:20" x14ac:dyDescent="0.25">
      <c r="A63" s="402" t="str">
        <f>[8]input_NEWAGE!A9</f>
        <v>EUN</v>
      </c>
      <c r="B63" s="293">
        <f>[8]input_NEWAGE!B9</f>
        <v>1</v>
      </c>
      <c r="C63" s="293">
        <f>[8]input_NEWAGE!C9</f>
        <v>0.94918433467856533</v>
      </c>
      <c r="D63" s="293">
        <f>[8]input_NEWAGE!D9</f>
        <v>0.92254703575285635</v>
      </c>
      <c r="E63" s="293">
        <f>[8]input_NEWAGE!E9</f>
        <v>0.82076735065082707</v>
      </c>
      <c r="F63" s="293">
        <f>[8]input_NEWAGE!F9</f>
        <v>0.71898766554879767</v>
      </c>
      <c r="G63" s="293">
        <f>[8]input_NEWAGE!G9</f>
        <v>0.59993534360256917</v>
      </c>
      <c r="H63" s="293">
        <f>[8]input_NEWAGE!H9</f>
        <v>0.48088302165634056</v>
      </c>
      <c r="I63" s="293">
        <f>[8]input_NEWAGE!I9</f>
        <v>0.36183069971011195</v>
      </c>
      <c r="J63" s="386">
        <f>[8]input_NEWAGE!J9</f>
        <v>0.24277837776388334</v>
      </c>
      <c r="K63" s="293"/>
      <c r="L63" s="293"/>
      <c r="M63" s="293"/>
      <c r="N63" s="293"/>
      <c r="O63" s="293"/>
      <c r="P63" s="293"/>
      <c r="Q63" s="293"/>
      <c r="R63" s="293"/>
      <c r="S63" s="293"/>
      <c r="T63" s="113"/>
    </row>
    <row r="64" spans="1:20" ht="15.75" thickBot="1" x14ac:dyDescent="0.3">
      <c r="A64" s="401" t="str">
        <f>[8]input_NEWAGE!A10</f>
        <v>EUS</v>
      </c>
      <c r="B64" s="88">
        <f>[8]input_NEWAGE!B10</f>
        <v>1</v>
      </c>
      <c r="C64" s="88">
        <f>[8]input_NEWAGE!C10</f>
        <v>0.95053995068167008</v>
      </c>
      <c r="D64" s="88">
        <f>[8]input_NEWAGE!D10</f>
        <v>1.1457983050367055</v>
      </c>
      <c r="E64" s="88">
        <f>[8]input_NEWAGE!E10</f>
        <v>1.0413949434539838</v>
      </c>
      <c r="F64" s="88">
        <f>[8]input_NEWAGE!F10</f>
        <v>0.93699158187126208</v>
      </c>
      <c r="G64" s="88">
        <f>[8]input_NEWAGE!G10</f>
        <v>0.80718021031149922</v>
      </c>
      <c r="H64" s="88">
        <f>[8]input_NEWAGE!H10</f>
        <v>0.67736883875173626</v>
      </c>
      <c r="I64" s="88">
        <f>[8]input_NEWAGE!I10</f>
        <v>0.54755746719197307</v>
      </c>
      <c r="J64" s="388">
        <f>[8]input_NEWAGE!J10</f>
        <v>0.41774609563220999</v>
      </c>
      <c r="K64" s="38"/>
      <c r="L64" s="38"/>
      <c r="M64" s="38"/>
      <c r="N64" s="38"/>
      <c r="O64" s="38"/>
      <c r="P64" s="38"/>
      <c r="Q64" s="38"/>
      <c r="R64" s="38"/>
      <c r="S64" s="38"/>
      <c r="T64" s="195"/>
    </row>
  </sheetData>
  <mergeCells count="2">
    <mergeCell ref="A28:J28"/>
    <mergeCell ref="A49:J49"/>
  </mergeCells>
  <hyperlinks>
    <hyperlink ref="E3" r:id="rId1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S33"/>
  <sheetViews>
    <sheetView workbookViewId="0">
      <selection activeCell="S12" sqref="S12"/>
    </sheetView>
  </sheetViews>
  <sheetFormatPr baseColWidth="10" defaultRowHeight="15" x14ac:dyDescent="0.25"/>
  <sheetData>
    <row r="1" spans="1:19" x14ac:dyDescent="0.25">
      <c r="A1" t="s">
        <v>282</v>
      </c>
      <c r="F1">
        <v>2000</v>
      </c>
      <c r="G1">
        <v>2005</v>
      </c>
      <c r="H1">
        <v>2010</v>
      </c>
      <c r="I1">
        <v>2011</v>
      </c>
      <c r="J1">
        <v>2015</v>
      </c>
      <c r="K1">
        <v>2020</v>
      </c>
      <c r="L1">
        <v>2025</v>
      </c>
      <c r="M1">
        <v>2030</v>
      </c>
      <c r="N1">
        <v>2035</v>
      </c>
      <c r="O1">
        <v>2040</v>
      </c>
      <c r="P1">
        <v>2045</v>
      </c>
      <c r="Q1">
        <v>2050</v>
      </c>
    </row>
    <row r="2" spans="1:19" x14ac:dyDescent="0.25">
      <c r="B2" t="s">
        <v>89</v>
      </c>
      <c r="F2">
        <v>488.91820002711893</v>
      </c>
      <c r="G2">
        <v>486.48388875822275</v>
      </c>
      <c r="H2">
        <v>463.3738824095135</v>
      </c>
      <c r="I2">
        <f>((J2-H2)/4)+H2</f>
        <v>461.55702699358528</v>
      </c>
      <c r="J2">
        <v>456.10646074580069</v>
      </c>
      <c r="K2">
        <v>442.26652391554785</v>
      </c>
      <c r="L2">
        <v>436.90256087013887</v>
      </c>
      <c r="M2">
        <v>385.42383338251597</v>
      </c>
      <c r="N2">
        <v>330.99252730216068</v>
      </c>
      <c r="O2">
        <v>293.45762788285134</v>
      </c>
      <c r="P2">
        <v>244.19368533092873</v>
      </c>
      <c r="Q2">
        <v>184.81828439634086</v>
      </c>
    </row>
    <row r="3" spans="1:19" x14ac:dyDescent="0.25">
      <c r="B3" t="s">
        <v>71</v>
      </c>
      <c r="F3">
        <v>141.13842754867071</v>
      </c>
      <c r="G3">
        <v>136.96329688088758</v>
      </c>
      <c r="H3">
        <v>117.23985890726397</v>
      </c>
      <c r="I3">
        <f t="shared" ref="I3:I11" si="0">((J3-H3)/4)+H3</f>
        <v>112.97337786499926</v>
      </c>
      <c r="J3">
        <v>100.17393473820515</v>
      </c>
      <c r="K3">
        <v>91.301972850770056</v>
      </c>
      <c r="L3">
        <v>77.068893485345214</v>
      </c>
      <c r="M3">
        <v>65.700797635235389</v>
      </c>
      <c r="N3">
        <v>57.337228996633826</v>
      </c>
      <c r="O3">
        <v>64.269632779331118</v>
      </c>
      <c r="P3">
        <v>61.112213244801865</v>
      </c>
      <c r="Q3">
        <v>53.267947733264918</v>
      </c>
    </row>
    <row r="4" spans="1:19" x14ac:dyDescent="0.25">
      <c r="B4" t="s">
        <v>261</v>
      </c>
      <c r="F4">
        <v>231.04274234766692</v>
      </c>
      <c r="G4">
        <v>249.39983412189059</v>
      </c>
      <c r="H4">
        <v>201.76059488578264</v>
      </c>
      <c r="I4">
        <f t="shared" si="0"/>
        <v>192.12914418519935</v>
      </c>
      <c r="J4">
        <v>163.23479208344949</v>
      </c>
      <c r="K4">
        <v>177.64551991098381</v>
      </c>
      <c r="L4">
        <v>147.38037425215498</v>
      </c>
      <c r="M4">
        <v>134.23745668021002</v>
      </c>
      <c r="N4">
        <v>123.8991766666489</v>
      </c>
      <c r="O4">
        <v>105.97027368886343</v>
      </c>
      <c r="P4">
        <v>96.108630127694383</v>
      </c>
      <c r="Q4">
        <v>85.66121394731438</v>
      </c>
    </row>
    <row r="5" spans="1:19" x14ac:dyDescent="0.25">
      <c r="B5" t="s">
        <v>262</v>
      </c>
      <c r="F5">
        <v>229.4952579912586</v>
      </c>
      <c r="G5">
        <v>215.53817687929265</v>
      </c>
      <c r="H5">
        <v>204.5287738595392</v>
      </c>
      <c r="I5">
        <f t="shared" si="0"/>
        <v>204.01104643828651</v>
      </c>
      <c r="J5">
        <v>202.45786417452842</v>
      </c>
      <c r="K5">
        <v>198.98712532892287</v>
      </c>
      <c r="L5">
        <v>192.13271378107578</v>
      </c>
      <c r="M5">
        <v>186.06482399965626</v>
      </c>
      <c r="N5">
        <v>154.67691898992777</v>
      </c>
      <c r="O5">
        <v>126.1203725400871</v>
      </c>
      <c r="P5">
        <v>87.795183452855369</v>
      </c>
      <c r="Q5">
        <v>60.499510118646064</v>
      </c>
    </row>
    <row r="6" spans="1:19" x14ac:dyDescent="0.25">
      <c r="B6" t="s">
        <v>263</v>
      </c>
      <c r="F6">
        <v>302.92928030144441</v>
      </c>
      <c r="G6">
        <v>302.28670923173541</v>
      </c>
      <c r="H6">
        <v>259.7938832438482</v>
      </c>
      <c r="I6">
        <f t="shared" si="0"/>
        <v>251.32691667462282</v>
      </c>
      <c r="J6">
        <v>225.92601696694666</v>
      </c>
      <c r="K6">
        <v>140.93158805526608</v>
      </c>
      <c r="L6">
        <v>120.0296978724646</v>
      </c>
      <c r="M6">
        <v>89.136345927282179</v>
      </c>
      <c r="N6">
        <v>81.952968319659306</v>
      </c>
      <c r="O6">
        <v>81.620791217275084</v>
      </c>
      <c r="P6">
        <v>79.792754289135075</v>
      </c>
      <c r="Q6">
        <v>67.640936345091021</v>
      </c>
    </row>
    <row r="7" spans="1:19" x14ac:dyDescent="0.25">
      <c r="B7" t="s">
        <v>264</v>
      </c>
      <c r="F7">
        <v>198.32630353778518</v>
      </c>
      <c r="G7">
        <v>226.66907263973206</v>
      </c>
      <c r="H7">
        <v>152.51948586979279</v>
      </c>
      <c r="I7">
        <f t="shared" si="0"/>
        <v>155.35220414925755</v>
      </c>
      <c r="J7">
        <v>163.85035898765187</v>
      </c>
      <c r="K7">
        <v>148.95612605323024</v>
      </c>
      <c r="L7">
        <v>121.72461944432661</v>
      </c>
      <c r="M7">
        <v>90.727591186146626</v>
      </c>
      <c r="N7">
        <v>74.676957278128839</v>
      </c>
      <c r="O7">
        <v>70.552182051491826</v>
      </c>
      <c r="P7">
        <v>66.402900768181041</v>
      </c>
      <c r="Q7">
        <v>57.095036556541679</v>
      </c>
    </row>
    <row r="8" spans="1:19" x14ac:dyDescent="0.25">
      <c r="B8" t="s">
        <v>265</v>
      </c>
      <c r="F8">
        <v>155.55010813336861</v>
      </c>
      <c r="G8">
        <v>149.84843036550777</v>
      </c>
      <c r="H8">
        <v>137.98585137115342</v>
      </c>
      <c r="I8">
        <f t="shared" si="0"/>
        <v>136.75403488387275</v>
      </c>
      <c r="J8">
        <v>133.05858542203069</v>
      </c>
      <c r="K8">
        <v>113.87490893708164</v>
      </c>
      <c r="L8">
        <v>118.97463329386686</v>
      </c>
      <c r="M8">
        <v>105.34555806192131</v>
      </c>
      <c r="N8">
        <v>98.704328823158207</v>
      </c>
      <c r="O8">
        <v>95.13095680614245</v>
      </c>
      <c r="P8">
        <v>91.294512807131028</v>
      </c>
      <c r="Q8">
        <v>85.265954382368307</v>
      </c>
    </row>
    <row r="9" spans="1:19" x14ac:dyDescent="0.25">
      <c r="B9" t="s">
        <v>66</v>
      </c>
      <c r="F9">
        <v>135.57712109881277</v>
      </c>
      <c r="G9">
        <v>132.88834639973263</v>
      </c>
      <c r="H9">
        <v>135.41107208426203</v>
      </c>
      <c r="I9">
        <f t="shared" si="0"/>
        <v>125.89438431958624</v>
      </c>
      <c r="J9">
        <v>97.344321025558855</v>
      </c>
      <c r="K9">
        <v>94.161967902106838</v>
      </c>
      <c r="L9">
        <v>90.26616760959007</v>
      </c>
      <c r="M9">
        <v>76.857697251065758</v>
      </c>
      <c r="N9">
        <v>66.721407884727043</v>
      </c>
      <c r="O9">
        <v>52.73097369982235</v>
      </c>
      <c r="P9">
        <v>43.535689925767798</v>
      </c>
      <c r="Q9">
        <v>39.97694195834567</v>
      </c>
    </row>
    <row r="10" spans="1:19" x14ac:dyDescent="0.25">
      <c r="B10" t="s">
        <v>70</v>
      </c>
      <c r="F10">
        <v>381.60163704440595</v>
      </c>
      <c r="G10">
        <v>391.47034745315034</v>
      </c>
      <c r="H10">
        <v>338.37814030571838</v>
      </c>
      <c r="I10">
        <f t="shared" si="0"/>
        <v>326.26551758267283</v>
      </c>
      <c r="J10">
        <v>289.92764941353619</v>
      </c>
      <c r="K10">
        <v>284.72713528647506</v>
      </c>
      <c r="L10">
        <v>253.4192400212379</v>
      </c>
      <c r="M10">
        <v>219.86942940945659</v>
      </c>
      <c r="N10">
        <v>190.78727869673457</v>
      </c>
      <c r="O10">
        <v>155.39909830378573</v>
      </c>
      <c r="P10">
        <v>126.01543654017749</v>
      </c>
      <c r="Q10">
        <v>103.19249585998952</v>
      </c>
    </row>
    <row r="11" spans="1:19" x14ac:dyDescent="0.25">
      <c r="B11" t="s">
        <v>190</v>
      </c>
      <c r="F11">
        <v>2264.5790780305319</v>
      </c>
      <c r="G11">
        <v>2291.5481027301516</v>
      </c>
      <c r="H11">
        <v>2010.9915429368743</v>
      </c>
      <c r="I11">
        <f t="shared" si="0"/>
        <v>1966.2636530920827</v>
      </c>
      <c r="J11">
        <v>1832.0799835577081</v>
      </c>
      <c r="K11">
        <v>1692.8528682403846</v>
      </c>
      <c r="L11">
        <v>1557.8989006302008</v>
      </c>
      <c r="M11">
        <v>1353.36353353349</v>
      </c>
      <c r="N11">
        <v>1179.7487929577792</v>
      </c>
      <c r="O11">
        <v>1045.2519089696505</v>
      </c>
      <c r="P11">
        <v>896.25100648667274</v>
      </c>
      <c r="Q11">
        <v>737.41832129790248</v>
      </c>
      <c r="S11">
        <f>Q11/I11</f>
        <v>0.37503532150343227</v>
      </c>
    </row>
    <row r="14" spans="1:19" x14ac:dyDescent="0.25">
      <c r="A14" t="s">
        <v>283</v>
      </c>
      <c r="F14">
        <v>2000</v>
      </c>
      <c r="G14">
        <v>2005</v>
      </c>
      <c r="H14">
        <v>2010</v>
      </c>
      <c r="I14">
        <v>2011</v>
      </c>
      <c r="J14">
        <v>2015</v>
      </c>
      <c r="K14">
        <v>2020</v>
      </c>
      <c r="L14">
        <v>2025</v>
      </c>
      <c r="M14">
        <v>2030</v>
      </c>
      <c r="N14">
        <v>2035</v>
      </c>
      <c r="O14">
        <v>2040</v>
      </c>
      <c r="P14">
        <v>2045</v>
      </c>
      <c r="Q14">
        <v>2050</v>
      </c>
    </row>
    <row r="15" spans="1:19" x14ac:dyDescent="0.25">
      <c r="B15" t="s">
        <v>89</v>
      </c>
      <c r="F15">
        <v>363.19003914032862</v>
      </c>
      <c r="G15">
        <v>338.76372295093802</v>
      </c>
      <c r="H15">
        <v>324.43346484088443</v>
      </c>
      <c r="I15">
        <f>((J15-H15)/4)+H15</f>
        <v>323.71743319316772</v>
      </c>
      <c r="J15">
        <v>321.56933825001761</v>
      </c>
      <c r="K15">
        <v>291.81302058724117</v>
      </c>
      <c r="L15">
        <v>277.33697705242082</v>
      </c>
      <c r="M15">
        <v>258.52298763065187</v>
      </c>
      <c r="N15">
        <v>248.94943523932304</v>
      </c>
      <c r="O15">
        <v>242.51923157589843</v>
      </c>
      <c r="P15">
        <v>238.45863766196038</v>
      </c>
      <c r="Q15">
        <v>234.01511787280947</v>
      </c>
    </row>
    <row r="16" spans="1:19" x14ac:dyDescent="0.25">
      <c r="B16" t="s">
        <v>71</v>
      </c>
      <c r="F16">
        <v>247.12609809914568</v>
      </c>
      <c r="G16">
        <v>257.3978702205535</v>
      </c>
      <c r="H16">
        <v>242.710331607916</v>
      </c>
      <c r="I16">
        <f t="shared" ref="I16:I23" si="1">((J16-H16)/4)+H16</f>
        <v>240.10913845947755</v>
      </c>
      <c r="J16">
        <v>232.30555901416224</v>
      </c>
      <c r="K16">
        <v>216.5503612489652</v>
      </c>
      <c r="L16">
        <v>211.09389348443452</v>
      </c>
      <c r="M16">
        <v>204.73806194798652</v>
      </c>
      <c r="N16">
        <v>200.56874086076598</v>
      </c>
      <c r="O16">
        <v>197.98236394644758</v>
      </c>
      <c r="P16">
        <v>194.58095490915605</v>
      </c>
      <c r="Q16">
        <v>191.69480903744017</v>
      </c>
    </row>
    <row r="17" spans="1:19" x14ac:dyDescent="0.25">
      <c r="B17" t="s">
        <v>261</v>
      </c>
      <c r="F17">
        <v>201.4952260902611</v>
      </c>
      <c r="G17">
        <v>221.02037806096394</v>
      </c>
      <c r="H17">
        <v>202.42680042950434</v>
      </c>
      <c r="I17">
        <f t="shared" si="1"/>
        <v>199.68372640707375</v>
      </c>
      <c r="J17">
        <v>191.45450433978198</v>
      </c>
      <c r="K17">
        <v>184.03006815259602</v>
      </c>
      <c r="L17">
        <v>178.75731984596223</v>
      </c>
      <c r="M17">
        <v>174.3832662181799</v>
      </c>
      <c r="N17">
        <v>168.82750965995933</v>
      </c>
      <c r="O17">
        <v>164.82280860212074</v>
      </c>
      <c r="P17">
        <v>164.91098170014058</v>
      </c>
      <c r="Q17">
        <v>162.22883503980341</v>
      </c>
    </row>
    <row r="18" spans="1:19" x14ac:dyDescent="0.25">
      <c r="B18" t="s">
        <v>262</v>
      </c>
      <c r="F18">
        <v>73.78726096449077</v>
      </c>
      <c r="G18">
        <v>92.002429139983789</v>
      </c>
      <c r="H18">
        <v>116.16039670755603</v>
      </c>
      <c r="I18">
        <f t="shared" si="1"/>
        <v>114.44868950053666</v>
      </c>
      <c r="J18">
        <v>109.31356787947854</v>
      </c>
      <c r="K18">
        <v>107.45875730727505</v>
      </c>
      <c r="L18">
        <v>104.16420820186524</v>
      </c>
      <c r="M18">
        <v>101.14292826288637</v>
      </c>
      <c r="N18">
        <v>98.298734217044526</v>
      </c>
      <c r="O18">
        <v>96.256080409029778</v>
      </c>
      <c r="P18">
        <v>95.567978209267068</v>
      </c>
      <c r="Q18">
        <v>94.687728655357887</v>
      </c>
    </row>
    <row r="19" spans="1:19" x14ac:dyDescent="0.25">
      <c r="B19" t="s">
        <v>263</v>
      </c>
      <c r="F19">
        <v>265.23051901144999</v>
      </c>
      <c r="G19">
        <v>271.14517170392389</v>
      </c>
      <c r="H19">
        <v>258.48590870909436</v>
      </c>
      <c r="I19">
        <f t="shared" si="1"/>
        <v>256.78831537450947</v>
      </c>
      <c r="J19">
        <v>251.69553537075475</v>
      </c>
      <c r="K19">
        <v>232.89003508099472</v>
      </c>
      <c r="L19">
        <v>225.44819876049121</v>
      </c>
      <c r="M19">
        <v>216.05466175888182</v>
      </c>
      <c r="N19">
        <v>213.29293658467873</v>
      </c>
      <c r="O19">
        <v>212.05756472541069</v>
      </c>
      <c r="P19">
        <v>212.10523368743128</v>
      </c>
      <c r="Q19">
        <v>213.8231003643599</v>
      </c>
    </row>
    <row r="20" spans="1:19" x14ac:dyDescent="0.25">
      <c r="B20" t="s">
        <v>264</v>
      </c>
      <c r="F20">
        <v>154.24678052993687</v>
      </c>
      <c r="G20">
        <v>185.18824450849652</v>
      </c>
      <c r="H20">
        <v>169.67442112387275</v>
      </c>
      <c r="I20">
        <f t="shared" si="1"/>
        <v>166.57582704689324</v>
      </c>
      <c r="J20">
        <v>157.28004481595468</v>
      </c>
      <c r="K20">
        <v>147.79980273115621</v>
      </c>
      <c r="L20">
        <v>145.44591166010667</v>
      </c>
      <c r="M20">
        <v>144.6538955952829</v>
      </c>
      <c r="N20">
        <v>146.33958855060979</v>
      </c>
      <c r="O20">
        <v>147.32111836330671</v>
      </c>
      <c r="P20">
        <v>146.55440896854952</v>
      </c>
      <c r="Q20">
        <v>147.33904310565509</v>
      </c>
    </row>
    <row r="21" spans="1:19" x14ac:dyDescent="0.25">
      <c r="B21" t="s">
        <v>265</v>
      </c>
      <c r="F21">
        <v>144.44151059309155</v>
      </c>
      <c r="G21">
        <v>152.62203516501074</v>
      </c>
      <c r="H21">
        <v>155.17806335393158</v>
      </c>
      <c r="I21">
        <f t="shared" si="1"/>
        <v>153.24260608872177</v>
      </c>
      <c r="J21">
        <v>147.43623429309238</v>
      </c>
      <c r="K21">
        <v>137.61174693476903</v>
      </c>
      <c r="L21">
        <v>134.53423869354796</v>
      </c>
      <c r="M21">
        <v>131.61198643751629</v>
      </c>
      <c r="N21">
        <v>131.06652264741936</v>
      </c>
      <c r="O21">
        <v>131.88472362277182</v>
      </c>
      <c r="P21">
        <v>132.57284014723865</v>
      </c>
      <c r="Q21">
        <v>132.95785377740847</v>
      </c>
    </row>
    <row r="22" spans="1:19" x14ac:dyDescent="0.25">
      <c r="B22" t="s">
        <v>66</v>
      </c>
      <c r="F22">
        <v>102.40170507459747</v>
      </c>
      <c r="G22">
        <v>109.92190106765914</v>
      </c>
      <c r="H22">
        <v>106.78858652169323</v>
      </c>
      <c r="I22">
        <f t="shared" si="1"/>
        <v>104.41411817081944</v>
      </c>
      <c r="J22">
        <v>97.290713118198056</v>
      </c>
      <c r="K22">
        <v>92.235627337129472</v>
      </c>
      <c r="L22">
        <v>89.774485280350206</v>
      </c>
      <c r="M22">
        <v>87.140321439872807</v>
      </c>
      <c r="N22">
        <v>86.370966596691005</v>
      </c>
      <c r="O22">
        <v>86.5576882587971</v>
      </c>
      <c r="P22">
        <v>86.912964148540354</v>
      </c>
      <c r="Q22">
        <v>87.495533159798512</v>
      </c>
    </row>
    <row r="23" spans="1:19" x14ac:dyDescent="0.25">
      <c r="B23" t="s">
        <v>70</v>
      </c>
      <c r="F23">
        <v>175.65299071192658</v>
      </c>
      <c r="G23">
        <v>207.52385890951729</v>
      </c>
      <c r="H23">
        <v>195.48132352457904</v>
      </c>
      <c r="I23">
        <f t="shared" si="1"/>
        <v>192.52293065699499</v>
      </c>
      <c r="J23">
        <v>183.64775205424283</v>
      </c>
      <c r="K23">
        <v>178.05594967067674</v>
      </c>
      <c r="L23">
        <v>174.92949238561309</v>
      </c>
      <c r="M23">
        <v>172.66690269210673</v>
      </c>
      <c r="N23">
        <v>173.72690711191962</v>
      </c>
      <c r="O23">
        <v>174.17633027377281</v>
      </c>
      <c r="P23">
        <v>173.6758908928023</v>
      </c>
      <c r="Q23">
        <v>173.82790288907529</v>
      </c>
    </row>
    <row r="27" spans="1:19" x14ac:dyDescent="0.25">
      <c r="A27" t="s">
        <v>284</v>
      </c>
      <c r="B27" t="s">
        <v>285</v>
      </c>
      <c r="I27">
        <f>(I15+I2)/$I$28</f>
        <v>1</v>
      </c>
      <c r="J27">
        <f t="shared" ref="J27:Q27" si="2">(J15+J2)/$I$28</f>
        <v>0.99032356000839805</v>
      </c>
      <c r="K27">
        <f t="shared" si="2"/>
        <v>0.93480634061142287</v>
      </c>
      <c r="L27">
        <f t="shared" si="2"/>
        <v>0.90954128032216941</v>
      </c>
      <c r="M27">
        <f t="shared" si="2"/>
        <v>0.82002771471776281</v>
      </c>
      <c r="N27">
        <f t="shared" si="2"/>
        <v>0.73852136029428816</v>
      </c>
      <c r="O27">
        <f t="shared" si="2"/>
        <v>0.68253443430629901</v>
      </c>
      <c r="P27">
        <f t="shared" si="2"/>
        <v>0.61462883038129801</v>
      </c>
      <c r="Q27">
        <f t="shared" si="2"/>
        <v>0.53335925654521332</v>
      </c>
    </row>
    <row r="28" spans="1:19" x14ac:dyDescent="0.25">
      <c r="I28">
        <f>I2+I15</f>
        <v>785.274460186753</v>
      </c>
    </row>
    <row r="29" spans="1:19" x14ac:dyDescent="0.25">
      <c r="H29" s="438">
        <f>SUM(H15:H23)+H11</f>
        <v>3782.3308397559058</v>
      </c>
      <c r="I29" s="438">
        <f>SUM(I15:I23)</f>
        <v>1751.5027848981945</v>
      </c>
      <c r="Q29">
        <f>SUM(Q15:Q23)</f>
        <v>1438.0699239017081</v>
      </c>
      <c r="R29">
        <f>Q29/H29</f>
        <v>0.38020733373882082</v>
      </c>
      <c r="S29">
        <f>Q29/I29</f>
        <v>0.8210491791968777</v>
      </c>
    </row>
    <row r="32" spans="1:19" x14ac:dyDescent="0.25">
      <c r="F32" s="477" t="s">
        <v>370</v>
      </c>
      <c r="G32" s="376">
        <v>1</v>
      </c>
      <c r="H32" s="376"/>
      <c r="I32" s="376">
        <f>I11/$G$11</f>
        <v>0.85805035065573143</v>
      </c>
      <c r="J32" s="376">
        <f>J11/$G$11</f>
        <v>0.79949444717087415</v>
      </c>
      <c r="K32" s="376">
        <f>1-0.21</f>
        <v>0.79</v>
      </c>
      <c r="L32" s="376">
        <f>(K32+M32)/2</f>
        <v>0.68</v>
      </c>
      <c r="M32" s="376">
        <f>1-0.43</f>
        <v>0.57000000000000006</v>
      </c>
      <c r="N32" s="376">
        <f>(M32+O32)/2</f>
        <v>0.47000000000000008</v>
      </c>
      <c r="O32" s="376">
        <f>(M32+Q32)/2</f>
        <v>0.37000000000000005</v>
      </c>
      <c r="P32" s="376">
        <f>(Q32+O32)/2</f>
        <v>0.27</v>
      </c>
      <c r="Q32" s="392">
        <f>1-0.83</f>
        <v>0.17000000000000004</v>
      </c>
    </row>
    <row r="33" spans="6:17" x14ac:dyDescent="0.25">
      <c r="F33" s="476"/>
      <c r="G33" s="38"/>
      <c r="H33" s="38"/>
      <c r="I33" s="38">
        <f>I32/$I$32</f>
        <v>1</v>
      </c>
      <c r="J33" s="38">
        <f>J32/$I$32</f>
        <v>0.93175703099461682</v>
      </c>
      <c r="K33" s="38">
        <f t="shared" ref="K33:Q33" si="3">K32/$I$32</f>
        <v>0.92069189109505456</v>
      </c>
      <c r="L33" s="38">
        <f t="shared" si="3"/>
        <v>0.7924942860058698</v>
      </c>
      <c r="M33" s="38">
        <f t="shared" si="3"/>
        <v>0.66429668091668492</v>
      </c>
      <c r="N33" s="38">
        <f t="shared" si="3"/>
        <v>0.5477534035628806</v>
      </c>
      <c r="O33" s="38">
        <f t="shared" si="3"/>
        <v>0.43121012620907623</v>
      </c>
      <c r="P33" s="38">
        <f t="shared" si="3"/>
        <v>0.3146668488552718</v>
      </c>
      <c r="Q33" s="195">
        <f t="shared" si="3"/>
        <v>0.19812357150146748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U26"/>
  <sheetViews>
    <sheetView workbookViewId="0">
      <selection activeCell="D26" sqref="D26"/>
    </sheetView>
  </sheetViews>
  <sheetFormatPr baseColWidth="10" defaultRowHeight="15" x14ac:dyDescent="0.25"/>
  <sheetData>
    <row r="2" spans="1:21" x14ac:dyDescent="0.25">
      <c r="B2">
        <v>2011</v>
      </c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  <c r="P2">
        <v>2011</v>
      </c>
      <c r="Q2">
        <v>0</v>
      </c>
      <c r="S2" t="s">
        <v>293</v>
      </c>
      <c r="T2" t="s">
        <v>294</v>
      </c>
      <c r="U2" t="s">
        <v>295</v>
      </c>
    </row>
    <row r="3" spans="1:21" x14ac:dyDescent="0.25">
      <c r="A3" t="s">
        <v>89</v>
      </c>
      <c r="B3">
        <v>0</v>
      </c>
      <c r="C3">
        <v>0</v>
      </c>
      <c r="D3">
        <f>0.01*(((1-$L3)*($J$2-D$2)/($J$2-$C$2))+$L3)</f>
        <v>71428.58</v>
      </c>
      <c r="E3">
        <f t="shared" ref="E3:J3" si="0">0.01*(((1-$L3)*($J$2-E$2)/($J$2-$C$2))+$L3)</f>
        <v>142857.15</v>
      </c>
      <c r="F3">
        <f t="shared" si="0"/>
        <v>214285.72</v>
      </c>
      <c r="G3">
        <f t="shared" si="0"/>
        <v>285714.28999999998</v>
      </c>
      <c r="H3">
        <f t="shared" si="0"/>
        <v>357142.86</v>
      </c>
      <c r="I3">
        <f t="shared" si="0"/>
        <v>428571.43</v>
      </c>
      <c r="J3">
        <f t="shared" si="0"/>
        <v>500000</v>
      </c>
      <c r="L3">
        <v>50000000</v>
      </c>
      <c r="P3">
        <v>2015</v>
      </c>
      <c r="Q3">
        <v>0</v>
      </c>
      <c r="S3" t="s">
        <v>293</v>
      </c>
      <c r="T3" t="s">
        <v>294</v>
      </c>
      <c r="U3" t="s">
        <v>295</v>
      </c>
    </row>
    <row r="4" spans="1:21" x14ac:dyDescent="0.25">
      <c r="P4">
        <v>2020</v>
      </c>
      <c r="Q4">
        <f>0.01*(((1-$L3)*($P$10-$P4)/($P$10-$P$3))+$L3)</f>
        <v>71428.58</v>
      </c>
      <c r="S4" t="s">
        <v>293</v>
      </c>
      <c r="T4" t="s">
        <v>294</v>
      </c>
      <c r="U4" t="s">
        <v>295</v>
      </c>
    </row>
    <row r="5" spans="1:21" x14ac:dyDescent="0.25">
      <c r="A5" t="s">
        <v>291</v>
      </c>
      <c r="B5" t="s">
        <v>290</v>
      </c>
      <c r="C5" t="s">
        <v>292</v>
      </c>
      <c r="P5">
        <v>2025</v>
      </c>
      <c r="Q5">
        <f>0.01*(((1-$L3)*($P$10-$P5)/($P$10-$P$3))+$L3)</f>
        <v>142857.15</v>
      </c>
      <c r="S5" t="s">
        <v>293</v>
      </c>
      <c r="T5" t="s">
        <v>294</v>
      </c>
      <c r="U5" t="s">
        <v>295</v>
      </c>
    </row>
    <row r="6" spans="1:21" x14ac:dyDescent="0.25">
      <c r="A6">
        <v>1</v>
      </c>
      <c r="B6">
        <v>0</v>
      </c>
      <c r="C6" s="411">
        <f>0.4295/0.6909</f>
        <v>0.62165291648574328</v>
      </c>
      <c r="P6">
        <v>2030</v>
      </c>
      <c r="Q6">
        <f>0.01*(((1-$L3)*($P$10-$P6)/($P$10-$P$3))+$L3)</f>
        <v>214285.72</v>
      </c>
      <c r="S6" t="s">
        <v>293</v>
      </c>
      <c r="T6" t="s">
        <v>294</v>
      </c>
      <c r="U6" t="s">
        <v>295</v>
      </c>
    </row>
    <row r="7" spans="1:21" x14ac:dyDescent="0.25">
      <c r="A7">
        <v>2</v>
      </c>
      <c r="B7">
        <v>0.01</v>
      </c>
      <c r="C7" s="411">
        <f>0.4378/0.6984</f>
        <v>0.62686139747995417</v>
      </c>
      <c r="F7">
        <v>2011</v>
      </c>
      <c r="G7">
        <v>2015</v>
      </c>
      <c r="H7">
        <v>2020</v>
      </c>
      <c r="I7">
        <v>2025</v>
      </c>
      <c r="J7">
        <v>2030</v>
      </c>
      <c r="K7">
        <v>2035</v>
      </c>
      <c r="L7">
        <v>2040</v>
      </c>
      <c r="M7">
        <v>2045</v>
      </c>
      <c r="N7">
        <v>2050</v>
      </c>
      <c r="P7">
        <v>2035</v>
      </c>
      <c r="Q7">
        <f>0.01*(((1-$L3)*($P$10-$P7)/($P$10-$P$3))+$L3)</f>
        <v>285714.28999999998</v>
      </c>
      <c r="S7" t="s">
        <v>293</v>
      </c>
      <c r="T7" t="s">
        <v>294</v>
      </c>
      <c r="U7" t="s">
        <v>295</v>
      </c>
    </row>
    <row r="8" spans="1:21" x14ac:dyDescent="0.25">
      <c r="A8">
        <v>3</v>
      </c>
      <c r="B8">
        <v>0.5</v>
      </c>
      <c r="C8" s="411">
        <f>N8/F8</f>
        <v>0.62106865585251791</v>
      </c>
      <c r="E8" t="s">
        <v>89</v>
      </c>
      <c r="F8">
        <v>0.69099808064819301</v>
      </c>
      <c r="G8">
        <v>0.67648394582382698</v>
      </c>
      <c r="H8">
        <v>0.70232466562198403</v>
      </c>
      <c r="I8">
        <v>0.61721564054539901</v>
      </c>
      <c r="J8">
        <v>0.56071184811999997</v>
      </c>
      <c r="K8">
        <v>0.52288857782095399</v>
      </c>
      <c r="L8">
        <v>0.49261790185411602</v>
      </c>
      <c r="M8">
        <v>0.46279625830777799</v>
      </c>
      <c r="N8">
        <v>0.42915724914484299</v>
      </c>
      <c r="P8">
        <v>2040</v>
      </c>
      <c r="Q8">
        <f>0.01*(((1-$L3)*($P$10-$P8)/($P$10-$P$3))+$L3)</f>
        <v>357142.86</v>
      </c>
      <c r="S8" t="s">
        <v>293</v>
      </c>
      <c r="T8" t="s">
        <v>294</v>
      </c>
      <c r="U8" t="s">
        <v>295</v>
      </c>
    </row>
    <row r="9" spans="1:21" x14ac:dyDescent="0.25">
      <c r="A9">
        <v>4</v>
      </c>
      <c r="B9">
        <v>1000</v>
      </c>
      <c r="C9" s="411">
        <f t="shared" ref="C9:C15" si="1">N9/F9</f>
        <v>0.61239582263597359</v>
      </c>
      <c r="E9" t="s">
        <v>89</v>
      </c>
      <c r="F9">
        <v>0.69099808064819301</v>
      </c>
      <c r="G9">
        <v>0.67648394582382698</v>
      </c>
      <c r="H9">
        <v>0.70232466562198403</v>
      </c>
      <c r="I9">
        <v>0.61671728311493701</v>
      </c>
      <c r="J9">
        <v>0.55601123282687603</v>
      </c>
      <c r="K9">
        <v>0.51634073197188501</v>
      </c>
      <c r="L9">
        <v>0.48354004194285799</v>
      </c>
      <c r="M9">
        <v>0.45316429453914497</v>
      </c>
      <c r="N9">
        <v>0.42316433803842901</v>
      </c>
      <c r="P9">
        <v>2045</v>
      </c>
      <c r="Q9">
        <f>0.01*(((1-$L3)*($P$10-$P9)/($P$10-$P$3))+$L3)</f>
        <v>428571.43</v>
      </c>
      <c r="S9" t="s">
        <v>293</v>
      </c>
      <c r="T9" t="s">
        <v>294</v>
      </c>
      <c r="U9" t="s">
        <v>295</v>
      </c>
    </row>
    <row r="10" spans="1:21" x14ac:dyDescent="0.25">
      <c r="A10">
        <v>5</v>
      </c>
      <c r="B10">
        <v>20000</v>
      </c>
      <c r="C10" s="411">
        <f t="shared" si="1"/>
        <v>0.58621923480213256</v>
      </c>
      <c r="E10" t="s">
        <v>89</v>
      </c>
      <c r="F10">
        <v>0.69099808064819301</v>
      </c>
      <c r="G10">
        <v>0.67648394582382698</v>
      </c>
      <c r="H10">
        <v>0.70232466562198403</v>
      </c>
      <c r="I10">
        <v>0.59586756138703001</v>
      </c>
      <c r="J10">
        <v>0.52064551786828595</v>
      </c>
      <c r="K10">
        <v>0.481832458180187</v>
      </c>
      <c r="L10">
        <v>0.45267370144826602</v>
      </c>
      <c r="M10">
        <v>0.42912620008359598</v>
      </c>
      <c r="N10">
        <v>0.405076366087326</v>
      </c>
      <c r="P10">
        <v>2050</v>
      </c>
      <c r="Q10">
        <f>0.01*(((1-$L3)*($P$10-$P10)/($P$10-$P$3))+$L3)</f>
        <v>500000</v>
      </c>
      <c r="S10" t="s">
        <v>293</v>
      </c>
      <c r="T10" t="s">
        <v>294</v>
      </c>
      <c r="U10" t="s">
        <v>295</v>
      </c>
    </row>
    <row r="11" spans="1:21" x14ac:dyDescent="0.25">
      <c r="A11">
        <v>6</v>
      </c>
      <c r="B11">
        <v>500000</v>
      </c>
      <c r="C11" s="411">
        <f t="shared" si="1"/>
        <v>0.40210701498144547</v>
      </c>
      <c r="E11" t="s">
        <v>89</v>
      </c>
      <c r="F11">
        <v>0.69099808064819301</v>
      </c>
      <c r="G11">
        <v>0.67648394582382698</v>
      </c>
      <c r="H11">
        <v>0.70232466562198403</v>
      </c>
      <c r="I11">
        <v>0.537996633639371</v>
      </c>
      <c r="J11">
        <v>0.473887209563709</v>
      </c>
      <c r="K11">
        <v>0.45073930196858603</v>
      </c>
      <c r="L11">
        <v>0.38900920556424901</v>
      </c>
      <c r="M11">
        <v>0.33216772052934601</v>
      </c>
      <c r="N11">
        <v>0.27785517556735301</v>
      </c>
    </row>
    <row r="12" spans="1:21" x14ac:dyDescent="0.25">
      <c r="A12">
        <v>7</v>
      </c>
      <c r="B12">
        <v>2000000</v>
      </c>
      <c r="C12" s="411">
        <f t="shared" si="1"/>
        <v>0.38504323863736445</v>
      </c>
      <c r="E12" t="s">
        <v>89</v>
      </c>
      <c r="F12">
        <v>0.69099808064819301</v>
      </c>
      <c r="G12">
        <v>0.67648394582382698</v>
      </c>
      <c r="H12">
        <v>0.70232466562198403</v>
      </c>
      <c r="I12">
        <v>0.52123500195481398</v>
      </c>
      <c r="J12">
        <v>0.42927342199888702</v>
      </c>
      <c r="K12">
        <v>0.33333807525260201</v>
      </c>
      <c r="L12">
        <v>0.29326764991784599</v>
      </c>
      <c r="M12">
        <v>0.27758626964069399</v>
      </c>
      <c r="N12">
        <v>0.26606413886498298</v>
      </c>
    </row>
    <row r="13" spans="1:21" x14ac:dyDescent="0.25">
      <c r="A13">
        <v>8</v>
      </c>
      <c r="B13">
        <v>50000000</v>
      </c>
      <c r="C13" s="411">
        <f t="shared" si="1"/>
        <v>0.32333844194330796</v>
      </c>
      <c r="E13" t="s">
        <v>89</v>
      </c>
      <c r="F13">
        <v>0.69099808064819301</v>
      </c>
      <c r="G13">
        <v>0.67648394582382698</v>
      </c>
      <c r="H13">
        <v>0.45443509395524501</v>
      </c>
      <c r="I13">
        <v>0.390996996653458</v>
      </c>
      <c r="J13">
        <v>0.299817187247572</v>
      </c>
      <c r="K13">
        <v>0.27162629731929899</v>
      </c>
      <c r="L13">
        <v>0.25796284625086002</v>
      </c>
      <c r="M13">
        <v>0.23538302891535801</v>
      </c>
      <c r="N13">
        <v>0.22342624278260301</v>
      </c>
      <c r="Q13" t="str">
        <f t="shared" ref="Q13:Q21" si="2">S2&amp;P2&amp;T2&amp;Q2&amp;U2</f>
        <v>carbon_tax_yr("DEU","2011") =0;</v>
      </c>
    </row>
    <row r="14" spans="1:21" x14ac:dyDescent="0.25">
      <c r="A14">
        <v>9</v>
      </c>
      <c r="B14">
        <v>500000000</v>
      </c>
      <c r="C14" s="411" t="e">
        <f t="shared" si="1"/>
        <v>#DIV/0!</v>
      </c>
      <c r="Q14" t="str">
        <f t="shared" si="2"/>
        <v>carbon_tax_yr("DEU","2015") =0;</v>
      </c>
    </row>
    <row r="15" spans="1:21" x14ac:dyDescent="0.25">
      <c r="A15">
        <v>10</v>
      </c>
      <c r="C15" s="411" t="e">
        <f t="shared" si="1"/>
        <v>#DIV/0!</v>
      </c>
      <c r="Q15" t="str">
        <f t="shared" si="2"/>
        <v>carbon_tax_yr("DEU","2020") =71428,58;</v>
      </c>
    </row>
    <row r="16" spans="1:21" x14ac:dyDescent="0.25">
      <c r="C16" s="131"/>
      <c r="Q16" t="str">
        <f t="shared" si="2"/>
        <v>carbon_tax_yr("DEU","2025") =142857,15;</v>
      </c>
    </row>
    <row r="17" spans="3:17" x14ac:dyDescent="0.25">
      <c r="C17" s="131"/>
      <c r="Q17" t="str">
        <f t="shared" si="2"/>
        <v>carbon_tax_yr("DEU","2030") =214285,72;</v>
      </c>
    </row>
    <row r="18" spans="3:17" x14ac:dyDescent="0.25">
      <c r="C18" s="131"/>
      <c r="Q18" t="str">
        <f t="shared" si="2"/>
        <v>carbon_tax_yr("DEU","2035") =285714,29;</v>
      </c>
    </row>
    <row r="19" spans="3:17" x14ac:dyDescent="0.25">
      <c r="Q19" t="str">
        <f t="shared" si="2"/>
        <v>carbon_tax_yr("DEU","2040") =357142,86;</v>
      </c>
    </row>
    <row r="20" spans="3:17" x14ac:dyDescent="0.25">
      <c r="Q20" t="str">
        <f t="shared" si="2"/>
        <v>carbon_tax_yr("DEU","2045") =428571,43;</v>
      </c>
    </row>
    <row r="21" spans="3:17" x14ac:dyDescent="0.25">
      <c r="Q21" t="str">
        <f t="shared" si="2"/>
        <v>carbon_tax_yr("DEU","2050") =500000;</v>
      </c>
    </row>
    <row r="25" spans="3:17" x14ac:dyDescent="0.25">
      <c r="F25">
        <v>2011</v>
      </c>
      <c r="G25">
        <v>2015</v>
      </c>
      <c r="H25">
        <v>2020</v>
      </c>
      <c r="I25">
        <v>2025</v>
      </c>
      <c r="J25">
        <v>2030</v>
      </c>
      <c r="K25">
        <v>2035</v>
      </c>
      <c r="L25">
        <v>2040</v>
      </c>
      <c r="M25">
        <v>2045</v>
      </c>
      <c r="N25">
        <v>2050</v>
      </c>
    </row>
    <row r="26" spans="3:17" x14ac:dyDescent="0.25">
      <c r="E26" t="s">
        <v>89</v>
      </c>
      <c r="F26">
        <v>0.69099808064819301</v>
      </c>
      <c r="G26">
        <v>0.67648394582382698</v>
      </c>
      <c r="H26">
        <v>0.45443509395524501</v>
      </c>
      <c r="I26">
        <v>0.390996996653458</v>
      </c>
      <c r="J26">
        <v>0.299817187247572</v>
      </c>
      <c r="K26">
        <v>0.27162629731929899</v>
      </c>
      <c r="L26">
        <v>0.25796284625086002</v>
      </c>
      <c r="M26">
        <v>0.23538302891535801</v>
      </c>
      <c r="N26">
        <v>0.22342624278260301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X102"/>
  <sheetViews>
    <sheetView topLeftCell="A76" workbookViewId="0">
      <selection activeCell="L100" sqref="L100"/>
    </sheetView>
  </sheetViews>
  <sheetFormatPr baseColWidth="10" defaultRowHeight="15" x14ac:dyDescent="0.25"/>
  <cols>
    <col min="1" max="1" width="16.28515625" customWidth="1"/>
  </cols>
  <sheetData>
    <row r="1" spans="1:14" x14ac:dyDescent="0.25">
      <c r="A1" s="414" t="s">
        <v>298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</row>
    <row r="3" spans="1:14" x14ac:dyDescent="0.25">
      <c r="A3" s="414" t="s">
        <v>299</v>
      </c>
      <c r="B3" s="414"/>
      <c r="C3" s="414"/>
      <c r="D3" s="414">
        <v>1990</v>
      </c>
      <c r="E3" s="414">
        <v>2005</v>
      </c>
      <c r="F3" s="414"/>
      <c r="G3" s="414">
        <v>2014</v>
      </c>
      <c r="H3" s="414"/>
      <c r="I3" s="414">
        <v>2030</v>
      </c>
      <c r="J3" s="414"/>
      <c r="K3" s="414">
        <v>2040</v>
      </c>
      <c r="L3" s="414"/>
      <c r="M3" s="414">
        <v>2050</v>
      </c>
      <c r="N3" s="414"/>
    </row>
    <row r="4" spans="1:14" x14ac:dyDescent="0.25">
      <c r="A4" s="414" t="s">
        <v>300</v>
      </c>
      <c r="B4" s="414" t="s">
        <v>301</v>
      </c>
      <c r="C4" s="414"/>
      <c r="D4" s="414" t="s">
        <v>302</v>
      </c>
      <c r="E4" s="414" t="s">
        <v>302</v>
      </c>
      <c r="F4" s="418" t="s">
        <v>303</v>
      </c>
      <c r="G4" s="414" t="s">
        <v>302</v>
      </c>
      <c r="H4" s="418" t="s">
        <v>303</v>
      </c>
      <c r="I4" s="414" t="s">
        <v>302</v>
      </c>
      <c r="J4" s="418" t="s">
        <v>303</v>
      </c>
      <c r="K4" s="414" t="s">
        <v>302</v>
      </c>
      <c r="L4" s="418" t="s">
        <v>303</v>
      </c>
      <c r="M4" s="414" t="s">
        <v>302</v>
      </c>
      <c r="N4" s="418" t="s">
        <v>303</v>
      </c>
    </row>
    <row r="5" spans="1:14" x14ac:dyDescent="0.25">
      <c r="A5" s="414" t="s">
        <v>304</v>
      </c>
      <c r="B5" s="414" t="s">
        <v>305</v>
      </c>
      <c r="C5" s="414" t="s">
        <v>306</v>
      </c>
      <c r="D5" s="414">
        <v>428</v>
      </c>
      <c r="E5" s="414">
        <v>378</v>
      </c>
      <c r="F5" s="418">
        <v>0.11682242990654206</v>
      </c>
      <c r="G5" s="414">
        <v>344</v>
      </c>
      <c r="H5" s="418">
        <v>0.19626168224299065</v>
      </c>
      <c r="I5" s="414">
        <v>176</v>
      </c>
      <c r="J5" s="418">
        <v>0.58878504672897192</v>
      </c>
      <c r="K5" s="414">
        <v>111.4</v>
      </c>
      <c r="L5" s="418">
        <v>0.7397196261682244</v>
      </c>
      <c r="M5" s="414">
        <v>39.1</v>
      </c>
      <c r="N5" s="418">
        <v>0.90864485981308407</v>
      </c>
    </row>
    <row r="6" spans="1:14" x14ac:dyDescent="0.25">
      <c r="A6" s="414"/>
      <c r="B6" s="414"/>
      <c r="C6" s="414" t="s">
        <v>307</v>
      </c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</row>
    <row r="7" spans="1:14" x14ac:dyDescent="0.25">
      <c r="A7" s="414"/>
      <c r="B7" s="414"/>
      <c r="C7" s="414" t="s">
        <v>308</v>
      </c>
      <c r="D7" s="414"/>
      <c r="E7" s="414"/>
      <c r="F7" s="414"/>
      <c r="G7" s="414"/>
      <c r="H7" s="414"/>
      <c r="I7" s="414"/>
      <c r="J7" s="414"/>
      <c r="K7" s="414"/>
      <c r="L7" s="414"/>
      <c r="M7" s="414"/>
      <c r="N7" s="414"/>
    </row>
    <row r="8" spans="1:14" x14ac:dyDescent="0.25">
      <c r="A8" s="414"/>
      <c r="B8" s="414"/>
      <c r="C8" s="414" t="s">
        <v>309</v>
      </c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</row>
    <row r="9" spans="1:14" x14ac:dyDescent="0.25">
      <c r="A9" s="414"/>
      <c r="B9" s="414"/>
      <c r="C9" s="414" t="s">
        <v>310</v>
      </c>
      <c r="D9" s="414"/>
      <c r="E9" s="414"/>
      <c r="F9" s="414"/>
      <c r="G9" s="414"/>
      <c r="H9" s="414"/>
      <c r="I9" s="414"/>
      <c r="J9" s="414"/>
      <c r="K9" s="414"/>
      <c r="L9" s="414"/>
      <c r="M9" s="414"/>
      <c r="N9" s="414"/>
    </row>
    <row r="10" spans="1:14" x14ac:dyDescent="0.25">
      <c r="A10" s="414" t="s">
        <v>311</v>
      </c>
      <c r="B10" s="414" t="s">
        <v>312</v>
      </c>
      <c r="C10" s="414" t="s">
        <v>313</v>
      </c>
      <c r="D10" s="414">
        <v>203</v>
      </c>
      <c r="E10" s="414">
        <v>157</v>
      </c>
      <c r="F10" s="418">
        <v>0.22660098522167488</v>
      </c>
      <c r="G10" s="414">
        <v>122</v>
      </c>
      <c r="H10" s="418">
        <v>0.39901477832512317</v>
      </c>
      <c r="I10" s="414">
        <v>71</v>
      </c>
      <c r="J10" s="418">
        <v>0.65024630541871919</v>
      </c>
      <c r="K10" s="414">
        <v>45</v>
      </c>
      <c r="L10" s="418">
        <v>0.77832512315270941</v>
      </c>
      <c r="M10" s="414">
        <v>15.8</v>
      </c>
      <c r="N10" s="418">
        <v>0.922167487684729</v>
      </c>
    </row>
    <row r="11" spans="1:14" x14ac:dyDescent="0.25">
      <c r="A11" s="414" t="s">
        <v>314</v>
      </c>
      <c r="B11" s="414" t="s">
        <v>315</v>
      </c>
      <c r="C11" s="414" t="s">
        <v>316</v>
      </c>
      <c r="D11" s="414">
        <v>162</v>
      </c>
      <c r="E11" s="414">
        <v>160</v>
      </c>
      <c r="F11" s="418">
        <v>1.2345679012345678E-2</v>
      </c>
      <c r="G11" s="414">
        <v>159</v>
      </c>
      <c r="H11" s="418">
        <v>1.8518518518518517E-2</v>
      </c>
      <c r="I11" s="414">
        <v>96.8</v>
      </c>
      <c r="J11" s="418">
        <v>0.40246913580246918</v>
      </c>
      <c r="K11" s="414">
        <v>61.3</v>
      </c>
      <c r="L11" s="418">
        <v>0.6216049382716049</v>
      </c>
      <c r="M11" s="414">
        <v>21.5</v>
      </c>
      <c r="N11" s="418">
        <v>0.86728395061728392</v>
      </c>
    </row>
    <row r="12" spans="1:14" x14ac:dyDescent="0.25">
      <c r="A12" s="414" t="s">
        <v>317</v>
      </c>
      <c r="B12" s="414" t="s">
        <v>318</v>
      </c>
      <c r="C12" s="414" t="s">
        <v>319</v>
      </c>
      <c r="D12" s="414">
        <v>244</v>
      </c>
      <c r="E12" s="414">
        <v>167</v>
      </c>
      <c r="F12" s="418">
        <v>0.3155737704918033</v>
      </c>
      <c r="G12" s="414">
        <v>163</v>
      </c>
      <c r="H12" s="418">
        <v>0.33196721311475408</v>
      </c>
      <c r="I12" s="414">
        <v>129.1</v>
      </c>
      <c r="J12" s="418">
        <v>0.47090163934426232</v>
      </c>
      <c r="K12" s="414">
        <v>81.7</v>
      </c>
      <c r="L12" s="418">
        <v>0.66516393442622956</v>
      </c>
      <c r="M12" s="414">
        <v>28.7</v>
      </c>
      <c r="N12" s="418">
        <v>0.88237704918032789</v>
      </c>
    </row>
    <row r="13" spans="1:14" x14ac:dyDescent="0.25">
      <c r="A13" s="414"/>
      <c r="B13" s="414"/>
      <c r="C13" s="414" t="s">
        <v>320</v>
      </c>
      <c r="D13" s="414"/>
      <c r="E13" s="414"/>
      <c r="F13" s="414"/>
      <c r="G13" s="414"/>
      <c r="H13" s="414"/>
      <c r="I13" s="414"/>
      <c r="J13" s="414"/>
      <c r="K13" s="414"/>
      <c r="L13" s="414"/>
      <c r="M13" s="414"/>
      <c r="N13" s="414"/>
    </row>
    <row r="14" spans="1:14" x14ac:dyDescent="0.25">
      <c r="A14" s="414"/>
      <c r="B14" s="414"/>
      <c r="C14" s="414" t="s">
        <v>321</v>
      </c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</row>
    <row r="15" spans="1:14" x14ac:dyDescent="0.25">
      <c r="A15" s="414"/>
      <c r="B15" s="414"/>
      <c r="C15" s="414" t="s">
        <v>322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</row>
    <row r="16" spans="1:14" x14ac:dyDescent="0.25">
      <c r="A16" s="414"/>
      <c r="B16" s="414"/>
      <c r="C16" s="414" t="s">
        <v>323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</row>
    <row r="17" spans="1:16" x14ac:dyDescent="0.25">
      <c r="A17" s="414"/>
      <c r="B17" s="414"/>
      <c r="C17" s="414" t="s">
        <v>324</v>
      </c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/>
    </row>
    <row r="18" spans="1:16" x14ac:dyDescent="0.25">
      <c r="A18" s="414"/>
      <c r="B18" s="414"/>
      <c r="C18" s="414" t="s">
        <v>325</v>
      </c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/>
    </row>
    <row r="19" spans="1:16" x14ac:dyDescent="0.25">
      <c r="A19" s="414"/>
      <c r="B19" s="414"/>
      <c r="C19" s="414" t="s">
        <v>326</v>
      </c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/>
    </row>
    <row r="20" spans="1:16" x14ac:dyDescent="0.25">
      <c r="A20" s="414"/>
      <c r="B20" s="414"/>
      <c r="C20" s="414" t="s">
        <v>327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</row>
    <row r="21" spans="1:16" x14ac:dyDescent="0.25">
      <c r="A21" s="414" t="s">
        <v>328</v>
      </c>
      <c r="B21" s="414" t="s">
        <v>329</v>
      </c>
      <c r="C21" s="414" t="s">
        <v>330</v>
      </c>
      <c r="D21" s="414">
        <v>14</v>
      </c>
      <c r="E21" s="414">
        <v>4</v>
      </c>
      <c r="F21" s="418">
        <v>0.7142857142857143</v>
      </c>
      <c r="G21" s="414">
        <v>4</v>
      </c>
      <c r="H21" s="418">
        <v>0.7142857142857143</v>
      </c>
      <c r="I21" s="414">
        <v>3.5</v>
      </c>
      <c r="J21" s="418">
        <v>0.75</v>
      </c>
      <c r="K21" s="414">
        <v>2.2000000000000002</v>
      </c>
      <c r="L21" s="418">
        <v>0.84285714285714286</v>
      </c>
      <c r="M21" s="414">
        <v>0.8</v>
      </c>
      <c r="N21" s="418">
        <v>0.94285714285714284</v>
      </c>
      <c r="O21" s="414"/>
      <c r="P21" s="414"/>
    </row>
    <row r="22" spans="1:16" x14ac:dyDescent="0.25">
      <c r="A22" s="414" t="s">
        <v>331</v>
      </c>
      <c r="B22" s="414"/>
      <c r="C22" s="414"/>
      <c r="D22" s="414">
        <v>1051</v>
      </c>
      <c r="E22" s="414">
        <v>866</v>
      </c>
      <c r="F22" s="418">
        <v>0.17602283539486205</v>
      </c>
      <c r="G22" s="414">
        <v>792</v>
      </c>
      <c r="H22" s="418">
        <v>0.24643196955280686</v>
      </c>
      <c r="I22" s="414">
        <v>476.4</v>
      </c>
      <c r="J22" s="418">
        <v>0.54671741198858237</v>
      </c>
      <c r="K22" s="414">
        <v>301.59999999999997</v>
      </c>
      <c r="L22" s="418">
        <v>0.71303520456707903</v>
      </c>
      <c r="M22" s="414">
        <v>105.9</v>
      </c>
      <c r="N22" s="418">
        <v>0.89923882017126544</v>
      </c>
      <c r="O22" s="414"/>
      <c r="P22" s="414"/>
    </row>
    <row r="23" spans="1:16" x14ac:dyDescent="0.25">
      <c r="A23" s="414" t="s">
        <v>332</v>
      </c>
      <c r="B23" s="414" t="s">
        <v>333</v>
      </c>
      <c r="C23" s="414" t="s">
        <v>334</v>
      </c>
      <c r="D23" s="414">
        <v>0</v>
      </c>
      <c r="E23" s="414">
        <v>0</v>
      </c>
      <c r="F23" s="414"/>
      <c r="G23" s="414">
        <v>0</v>
      </c>
      <c r="H23" s="414"/>
      <c r="I23" s="414">
        <v>0</v>
      </c>
      <c r="J23" s="414"/>
      <c r="K23" s="414">
        <v>0</v>
      </c>
      <c r="L23" s="414"/>
      <c r="M23" s="414">
        <v>0</v>
      </c>
      <c r="N23" s="414"/>
      <c r="O23" s="414"/>
      <c r="P23" s="414"/>
    </row>
    <row r="24" spans="1:16" x14ac:dyDescent="0.25">
      <c r="A24" s="414" t="s">
        <v>335</v>
      </c>
      <c r="B24" s="414"/>
      <c r="C24" s="414"/>
      <c r="D24" s="414">
        <v>1051</v>
      </c>
      <c r="E24" s="414">
        <v>866</v>
      </c>
      <c r="F24" s="418">
        <v>0.17602283539486205</v>
      </c>
      <c r="G24" s="414">
        <v>792</v>
      </c>
      <c r="H24" s="418">
        <v>0.24643196955280686</v>
      </c>
      <c r="I24" s="414">
        <v>476.4</v>
      </c>
      <c r="J24" s="418">
        <v>0.54671741198858237</v>
      </c>
      <c r="K24" s="414">
        <v>301.59999999999997</v>
      </c>
      <c r="L24" s="418">
        <v>0.71303520456707903</v>
      </c>
      <c r="M24" s="414">
        <v>105.9</v>
      </c>
      <c r="N24" s="418">
        <v>0.89923882017126544</v>
      </c>
      <c r="O24" s="414"/>
      <c r="P24" s="414"/>
    </row>
    <row r="27" spans="1:16" x14ac:dyDescent="0.25">
      <c r="A27" s="421" t="s">
        <v>336</v>
      </c>
      <c r="B27" s="421"/>
      <c r="C27" s="422"/>
      <c r="D27" s="421"/>
      <c r="E27" s="422"/>
      <c r="F27" s="421"/>
      <c r="G27" s="414"/>
      <c r="H27" s="414"/>
      <c r="I27" s="414"/>
      <c r="J27" s="423"/>
      <c r="K27" s="416"/>
      <c r="L27" s="414"/>
      <c r="M27" s="414"/>
      <c r="N27" s="414"/>
      <c r="O27" s="414"/>
      <c r="P27" s="414"/>
    </row>
    <row r="28" spans="1:16" x14ac:dyDescent="0.25">
      <c r="A28" s="424"/>
      <c r="B28" s="424">
        <v>2005</v>
      </c>
      <c r="C28" s="425">
        <v>2011</v>
      </c>
      <c r="D28" s="424">
        <v>2014</v>
      </c>
      <c r="E28" s="425">
        <v>2015</v>
      </c>
      <c r="F28" s="425">
        <v>2020</v>
      </c>
      <c r="G28" s="425">
        <v>2025</v>
      </c>
      <c r="H28" s="426">
        <v>2030</v>
      </c>
      <c r="I28" s="425">
        <v>2035</v>
      </c>
      <c r="J28" s="427">
        <v>2040</v>
      </c>
      <c r="K28" s="425">
        <v>2045</v>
      </c>
      <c r="L28" s="427">
        <v>2050</v>
      </c>
      <c r="M28" s="415"/>
      <c r="N28" s="428"/>
      <c r="O28" s="415"/>
      <c r="P28" s="428"/>
    </row>
    <row r="29" spans="1:16" x14ac:dyDescent="0.25">
      <c r="A29" s="414" t="s">
        <v>337</v>
      </c>
      <c r="B29" s="419">
        <v>378</v>
      </c>
      <c r="C29" s="420">
        <v>355.33333333333331</v>
      </c>
      <c r="D29" s="419">
        <v>344</v>
      </c>
      <c r="E29" s="420">
        <v>333.5</v>
      </c>
      <c r="F29" s="420">
        <v>281</v>
      </c>
      <c r="G29" s="420">
        <v>228.5</v>
      </c>
      <c r="H29" s="419">
        <v>176</v>
      </c>
      <c r="I29" s="420">
        <v>143.69999999999999</v>
      </c>
      <c r="J29" s="419">
        <v>111.4</v>
      </c>
      <c r="K29" s="420">
        <v>75.25</v>
      </c>
      <c r="L29" s="419">
        <v>39.1</v>
      </c>
      <c r="M29" s="414"/>
      <c r="N29" s="414"/>
      <c r="O29" s="414"/>
      <c r="P29" s="418"/>
    </row>
    <row r="30" spans="1:16" x14ac:dyDescent="0.25">
      <c r="A30" s="414" t="s">
        <v>338</v>
      </c>
      <c r="B30" s="419">
        <v>157</v>
      </c>
      <c r="C30" s="420">
        <v>133.66666666666666</v>
      </c>
      <c r="D30" s="419">
        <v>122</v>
      </c>
      <c r="E30" s="420">
        <v>118.8125</v>
      </c>
      <c r="F30" s="420">
        <v>102.875</v>
      </c>
      <c r="G30" s="420">
        <v>86.9375</v>
      </c>
      <c r="H30" s="419">
        <v>71</v>
      </c>
      <c r="I30" s="420">
        <v>58</v>
      </c>
      <c r="J30" s="419">
        <v>45</v>
      </c>
      <c r="K30" s="420">
        <v>30.4</v>
      </c>
      <c r="L30" s="419">
        <v>15.8</v>
      </c>
      <c r="M30" s="414"/>
      <c r="N30" s="414"/>
      <c r="O30" s="414"/>
      <c r="P30" s="418"/>
    </row>
    <row r="31" spans="1:16" x14ac:dyDescent="0.25">
      <c r="A31" s="414" t="s">
        <v>339</v>
      </c>
      <c r="B31" s="419">
        <v>160</v>
      </c>
      <c r="C31" s="420">
        <v>159.33333333333334</v>
      </c>
      <c r="D31" s="419">
        <v>159</v>
      </c>
      <c r="E31" s="420">
        <v>155.11250000000001</v>
      </c>
      <c r="F31" s="420">
        <v>135.67500000000001</v>
      </c>
      <c r="G31" s="420">
        <v>116.2375</v>
      </c>
      <c r="H31" s="419">
        <v>96.8</v>
      </c>
      <c r="I31" s="420">
        <v>79.05</v>
      </c>
      <c r="J31" s="419">
        <v>61.3</v>
      </c>
      <c r="K31" s="420">
        <v>41.4</v>
      </c>
      <c r="L31" s="419">
        <v>21.5</v>
      </c>
      <c r="M31" s="414"/>
      <c r="N31" s="414"/>
      <c r="O31" s="414"/>
      <c r="P31" s="418"/>
    </row>
    <row r="32" spans="1:16" x14ac:dyDescent="0.25">
      <c r="A32" s="414" t="s">
        <v>340</v>
      </c>
      <c r="B32" s="419">
        <v>167</v>
      </c>
      <c r="C32" s="420">
        <v>164.33333333333334</v>
      </c>
      <c r="D32" s="419">
        <v>163</v>
      </c>
      <c r="E32" s="420">
        <v>160.88124999999999</v>
      </c>
      <c r="F32" s="420">
        <v>150.28749999999999</v>
      </c>
      <c r="G32" s="420">
        <v>139.69374999999999</v>
      </c>
      <c r="H32" s="419">
        <v>129.1</v>
      </c>
      <c r="I32" s="420">
        <v>105.4</v>
      </c>
      <c r="J32" s="419">
        <v>81.7</v>
      </c>
      <c r="K32" s="420">
        <v>55.2</v>
      </c>
      <c r="L32" s="419">
        <v>28.7</v>
      </c>
      <c r="M32" s="414"/>
      <c r="N32" s="414"/>
      <c r="O32" s="414"/>
      <c r="P32" s="418"/>
    </row>
    <row r="33" spans="1:24" x14ac:dyDescent="0.25">
      <c r="A33" s="414" t="s">
        <v>341</v>
      </c>
      <c r="B33" s="419">
        <v>4</v>
      </c>
      <c r="C33" s="420">
        <v>4</v>
      </c>
      <c r="D33" s="419">
        <v>4</v>
      </c>
      <c r="E33" s="420">
        <v>3.96875</v>
      </c>
      <c r="F33" s="420">
        <v>3.8125</v>
      </c>
      <c r="G33" s="420">
        <v>3.65625</v>
      </c>
      <c r="H33" s="419">
        <v>3.5</v>
      </c>
      <c r="I33" s="420">
        <v>2.85</v>
      </c>
      <c r="J33" s="419">
        <v>2.2000000000000002</v>
      </c>
      <c r="K33" s="420">
        <v>1.5</v>
      </c>
      <c r="L33" s="419">
        <v>0.8</v>
      </c>
      <c r="M33" s="414"/>
      <c r="N33" s="414"/>
      <c r="O33" s="414"/>
      <c r="P33" s="418"/>
    </row>
    <row r="34" spans="1:24" x14ac:dyDescent="0.25">
      <c r="A34" s="414" t="s">
        <v>342</v>
      </c>
      <c r="B34" s="418">
        <v>0</v>
      </c>
      <c r="C34" s="420">
        <v>0</v>
      </c>
      <c r="D34" s="419">
        <v>0</v>
      </c>
      <c r="E34" s="420">
        <v>0</v>
      </c>
      <c r="F34" s="420">
        <v>0</v>
      </c>
      <c r="G34" s="420">
        <v>0</v>
      </c>
      <c r="H34" s="419">
        <v>0</v>
      </c>
      <c r="I34" s="420">
        <v>0</v>
      </c>
      <c r="J34" s="419">
        <v>0</v>
      </c>
      <c r="K34" s="420">
        <v>0</v>
      </c>
      <c r="L34" s="419">
        <v>0</v>
      </c>
      <c r="M34" s="414"/>
      <c r="N34" s="414"/>
      <c r="O34" s="414"/>
      <c r="P34" s="418"/>
    </row>
    <row r="35" spans="1:24" x14ac:dyDescent="0.25">
      <c r="A35" s="417" t="s">
        <v>343</v>
      </c>
      <c r="B35" s="429">
        <v>866</v>
      </c>
      <c r="C35" s="430">
        <v>816.66666666666674</v>
      </c>
      <c r="D35" s="429">
        <v>792</v>
      </c>
      <c r="E35" s="430">
        <v>772.27499999999998</v>
      </c>
      <c r="F35" s="430">
        <v>673.65</v>
      </c>
      <c r="G35" s="430">
        <v>575.02499999999998</v>
      </c>
      <c r="H35" s="429">
        <v>476.4</v>
      </c>
      <c r="I35" s="430">
        <v>389</v>
      </c>
      <c r="J35" s="429">
        <v>301.59999999999997</v>
      </c>
      <c r="K35" s="430">
        <v>203.75</v>
      </c>
      <c r="L35" s="429">
        <v>105.9</v>
      </c>
      <c r="M35" s="415"/>
      <c r="N35" s="428"/>
      <c r="O35" s="415"/>
      <c r="P35" s="428"/>
    </row>
    <row r="36" spans="1:24" x14ac:dyDescent="0.25">
      <c r="A36" s="414"/>
      <c r="B36" s="414"/>
      <c r="C36" s="420"/>
      <c r="D36" s="414"/>
      <c r="E36" s="414"/>
      <c r="F36" s="414"/>
      <c r="G36" s="414"/>
      <c r="H36" s="414"/>
      <c r="I36" s="414"/>
      <c r="J36" s="414"/>
      <c r="K36" s="414"/>
      <c r="L36" s="414"/>
      <c r="M36" s="414"/>
      <c r="N36" s="414"/>
      <c r="O36" s="414" t="s">
        <v>347</v>
      </c>
      <c r="P36" s="418"/>
    </row>
    <row r="37" spans="1:24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14"/>
      <c r="L37" s="414"/>
      <c r="M37" s="414"/>
      <c r="N37" s="414"/>
      <c r="O37" s="445" t="s">
        <v>344</v>
      </c>
      <c r="P37" s="445"/>
      <c r="Q37" s="446"/>
      <c r="R37" s="445"/>
      <c r="S37" s="446"/>
      <c r="T37" s="445"/>
      <c r="U37" s="446"/>
      <c r="V37" s="445"/>
      <c r="W37" s="447"/>
      <c r="X37" s="438"/>
    </row>
    <row r="38" spans="1:24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24"/>
      <c r="L38" s="427"/>
      <c r="M38" s="424"/>
      <c r="N38" s="427"/>
      <c r="O38" s="448"/>
      <c r="P38" s="449">
        <v>2011</v>
      </c>
      <c r="Q38" s="449">
        <v>2015</v>
      </c>
      <c r="R38" s="449">
        <v>2020</v>
      </c>
      <c r="S38" s="449">
        <v>2025</v>
      </c>
      <c r="T38" s="450">
        <v>2030</v>
      </c>
      <c r="U38" s="449">
        <v>2035</v>
      </c>
      <c r="V38" s="451">
        <v>2040</v>
      </c>
      <c r="W38" s="449">
        <v>2045</v>
      </c>
      <c r="X38" s="451">
        <v>2050</v>
      </c>
    </row>
    <row r="39" spans="1:24" x14ac:dyDescent="0.25">
      <c r="A39" s="438" t="s">
        <v>337</v>
      </c>
      <c r="B39" s="446">
        <v>1</v>
      </c>
      <c r="C39" s="446">
        <v>0.93855534709193256</v>
      </c>
      <c r="D39" s="446">
        <v>0.79080675422138846</v>
      </c>
      <c r="E39" s="446">
        <v>0.64305816135084426</v>
      </c>
      <c r="F39" s="442">
        <v>0.49530956848030022</v>
      </c>
      <c r="G39" s="446">
        <v>0.40440900562851784</v>
      </c>
      <c r="H39" s="442">
        <v>0.31350844277673551</v>
      </c>
      <c r="I39" s="446">
        <v>0.21177298311444653</v>
      </c>
      <c r="J39" s="442">
        <v>0.11003752345215762</v>
      </c>
      <c r="K39" s="414"/>
      <c r="L39" s="414"/>
      <c r="M39" s="414"/>
      <c r="N39" s="414"/>
      <c r="O39" s="438" t="s">
        <v>337</v>
      </c>
      <c r="P39" s="446">
        <v>1</v>
      </c>
      <c r="Q39" s="446">
        <v>0.93855534709193256</v>
      </c>
      <c r="R39" s="446">
        <v>0.79080675422138846</v>
      </c>
      <c r="S39" s="446">
        <v>0.64305816135084426</v>
      </c>
      <c r="T39" s="442">
        <v>0.49530956848030022</v>
      </c>
      <c r="U39" s="446">
        <v>0.40440900562851784</v>
      </c>
      <c r="V39" s="442">
        <v>0.31350844277673551</v>
      </c>
      <c r="W39" s="446">
        <v>0.21177298311444653</v>
      </c>
      <c r="X39" s="442">
        <v>0.11003752345215762</v>
      </c>
    </row>
    <row r="40" spans="1:24" x14ac:dyDescent="0.25">
      <c r="A40" s="438" t="s">
        <v>338</v>
      </c>
      <c r="B40" s="446">
        <v>1</v>
      </c>
      <c r="C40" s="446">
        <v>0.88887157107231929</v>
      </c>
      <c r="D40" s="446">
        <v>0.76963840399002503</v>
      </c>
      <c r="E40" s="446">
        <v>0.65040523690773067</v>
      </c>
      <c r="F40" s="442">
        <v>0.53117206982543641</v>
      </c>
      <c r="G40" s="446">
        <v>0.43391521197007482</v>
      </c>
      <c r="H40" s="442">
        <v>0.33665835411471323</v>
      </c>
      <c r="I40" s="446">
        <v>0.22743142144638404</v>
      </c>
      <c r="J40" s="442">
        <v>0.11820448877805488</v>
      </c>
      <c r="K40" s="414"/>
      <c r="L40" s="414"/>
      <c r="M40" s="414"/>
      <c r="N40" s="414"/>
      <c r="O40" s="438" t="s">
        <v>338</v>
      </c>
      <c r="P40" s="446">
        <v>1</v>
      </c>
      <c r="Q40" s="446">
        <v>0.88887157107231929</v>
      </c>
      <c r="R40" s="446">
        <v>0.76963840399002503</v>
      </c>
      <c r="S40" s="446">
        <v>0.65040523690773067</v>
      </c>
      <c r="T40" s="442">
        <v>0.53117206982543641</v>
      </c>
      <c r="U40" s="446">
        <v>0.43391521197007482</v>
      </c>
      <c r="V40" s="442">
        <v>0.33665835411471323</v>
      </c>
      <c r="W40" s="446">
        <v>0.22743142144638404</v>
      </c>
      <c r="X40" s="442">
        <v>0.11820448877805488</v>
      </c>
    </row>
    <row r="41" spans="1:24" x14ac:dyDescent="0.25">
      <c r="A41" s="438" t="s">
        <v>339</v>
      </c>
      <c r="B41" s="446">
        <v>1</v>
      </c>
      <c r="C41" s="446">
        <v>0.97350941422594139</v>
      </c>
      <c r="D41" s="446">
        <v>0.85151673640167369</v>
      </c>
      <c r="E41" s="446">
        <v>0.72952405857740577</v>
      </c>
      <c r="F41" s="442">
        <v>0.60753138075313806</v>
      </c>
      <c r="G41" s="446">
        <v>0.49612970711297066</v>
      </c>
      <c r="H41" s="442">
        <v>0.38472803347280332</v>
      </c>
      <c r="I41" s="446">
        <v>0.25983263598326356</v>
      </c>
      <c r="J41" s="442">
        <v>0.13493723849372385</v>
      </c>
      <c r="K41" s="414"/>
      <c r="L41" s="414"/>
      <c r="M41" s="414"/>
      <c r="N41" s="414"/>
      <c r="O41" s="438" t="s">
        <v>339</v>
      </c>
      <c r="P41" s="446">
        <v>1</v>
      </c>
      <c r="Q41" s="446">
        <v>0.97350941422594139</v>
      </c>
      <c r="R41" s="446">
        <v>0.85151673640167369</v>
      </c>
      <c r="S41" s="446">
        <v>0.72952405857740577</v>
      </c>
      <c r="T41" s="442">
        <v>0.60753138075313806</v>
      </c>
      <c r="U41" s="446">
        <v>0.49612970711297066</v>
      </c>
      <c r="V41" s="442">
        <v>0.38472803347280332</v>
      </c>
      <c r="W41" s="446">
        <v>0.25983263598326356</v>
      </c>
      <c r="X41" s="442">
        <v>0.13493723849372385</v>
      </c>
    </row>
    <row r="42" spans="1:24" x14ac:dyDescent="0.25">
      <c r="A42" s="438" t="s">
        <v>340</v>
      </c>
      <c r="B42" s="446">
        <v>1</v>
      </c>
      <c r="C42" s="446">
        <v>0.97899340770791066</v>
      </c>
      <c r="D42" s="446">
        <v>0.91452839756592286</v>
      </c>
      <c r="E42" s="446">
        <v>0.85006338742393506</v>
      </c>
      <c r="F42" s="442">
        <v>0.78559837728194715</v>
      </c>
      <c r="G42" s="446">
        <v>0.64137931034482754</v>
      </c>
      <c r="H42" s="442">
        <v>0.49716024340770792</v>
      </c>
      <c r="I42" s="446">
        <v>0.3359026369168357</v>
      </c>
      <c r="J42" s="442">
        <v>0.17464503042596347</v>
      </c>
      <c r="K42" s="414"/>
      <c r="L42" s="414"/>
      <c r="M42" s="414"/>
      <c r="N42" s="414"/>
      <c r="O42" s="438" t="s">
        <v>340</v>
      </c>
      <c r="P42" s="446">
        <v>1</v>
      </c>
      <c r="Q42" s="446">
        <v>0.97899340770791066</v>
      </c>
      <c r="R42" s="446">
        <v>0.91452839756592286</v>
      </c>
      <c r="S42" s="446">
        <v>0.85006338742393506</v>
      </c>
      <c r="T42" s="442">
        <v>0.78559837728194715</v>
      </c>
      <c r="U42" s="446">
        <v>0.64137931034482754</v>
      </c>
      <c r="V42" s="442">
        <v>0.49716024340770792</v>
      </c>
      <c r="W42" s="446">
        <v>0.3359026369168357</v>
      </c>
      <c r="X42" s="442">
        <v>0.17464503042596347</v>
      </c>
    </row>
    <row r="43" spans="1:24" x14ac:dyDescent="0.25">
      <c r="A43" s="438" t="s">
        <v>341</v>
      </c>
      <c r="B43" s="446">
        <v>1</v>
      </c>
      <c r="C43" s="446">
        <v>0.9921875</v>
      </c>
      <c r="D43" s="446">
        <v>0.953125</v>
      </c>
      <c r="E43" s="446">
        <v>0.9140625</v>
      </c>
      <c r="F43" s="442">
        <v>0.875</v>
      </c>
      <c r="G43" s="446">
        <v>0.71250000000000002</v>
      </c>
      <c r="H43" s="442">
        <v>0.55000000000000004</v>
      </c>
      <c r="I43" s="446">
        <v>0.375</v>
      </c>
      <c r="J43" s="442">
        <v>0.2</v>
      </c>
      <c r="K43" s="414"/>
      <c r="L43" s="414"/>
      <c r="M43" s="414"/>
      <c r="N43" s="414"/>
      <c r="O43" s="438" t="s">
        <v>341</v>
      </c>
      <c r="P43" s="446">
        <v>1</v>
      </c>
      <c r="Q43" s="446">
        <v>0.9921875</v>
      </c>
      <c r="R43" s="446">
        <v>0.953125</v>
      </c>
      <c r="S43" s="446">
        <v>0.9140625</v>
      </c>
      <c r="T43" s="442">
        <v>0.875</v>
      </c>
      <c r="U43" s="446">
        <v>0.71250000000000002</v>
      </c>
      <c r="V43" s="442">
        <v>0.55000000000000004</v>
      </c>
      <c r="W43" s="446">
        <v>0.375</v>
      </c>
      <c r="X43" s="442">
        <v>0.2</v>
      </c>
    </row>
    <row r="44" spans="1:24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14"/>
      <c r="L44" s="414"/>
      <c r="M44" s="414"/>
      <c r="N44" s="414"/>
      <c r="O44" s="438" t="s">
        <v>342</v>
      </c>
      <c r="P44" s="446">
        <v>1</v>
      </c>
      <c r="Q44" s="446">
        <v>1</v>
      </c>
      <c r="R44" s="446">
        <v>1</v>
      </c>
      <c r="S44" s="446">
        <v>1</v>
      </c>
      <c r="T44" s="442">
        <v>1</v>
      </c>
      <c r="U44" s="446">
        <v>1</v>
      </c>
      <c r="V44" s="442">
        <v>1</v>
      </c>
      <c r="W44" s="446">
        <v>1</v>
      </c>
      <c r="X44" s="442">
        <v>1</v>
      </c>
    </row>
    <row r="45" spans="1:24" x14ac:dyDescent="0.25">
      <c r="A45" s="441" t="s">
        <v>343</v>
      </c>
      <c r="B45" s="453">
        <f>C35/$C$35</f>
        <v>1</v>
      </c>
      <c r="C45" s="453">
        <f>E35/$C$35</f>
        <v>0.94564285714285701</v>
      </c>
      <c r="D45" s="453">
        <f t="shared" ref="D45:J45" si="0">F35/$C$35</f>
        <v>0.82487755102040805</v>
      </c>
      <c r="E45" s="453">
        <f t="shared" si="0"/>
        <v>0.70411224489795909</v>
      </c>
      <c r="F45" s="453">
        <f t="shared" si="0"/>
        <v>0.58334693877551014</v>
      </c>
      <c r="G45" s="453">
        <f t="shared" si="0"/>
        <v>0.47632653061224484</v>
      </c>
      <c r="H45" s="453">
        <f t="shared" si="0"/>
        <v>0.36930612244897953</v>
      </c>
      <c r="I45" s="453">
        <f t="shared" si="0"/>
        <v>0.24948979591836731</v>
      </c>
      <c r="J45" s="453">
        <f t="shared" si="0"/>
        <v>0.12967346938775509</v>
      </c>
      <c r="K45" s="415"/>
      <c r="L45" s="428"/>
      <c r="M45" s="415"/>
      <c r="N45" s="415"/>
      <c r="O45" s="441" t="s">
        <v>343</v>
      </c>
      <c r="P45" s="453">
        <v>1</v>
      </c>
      <c r="Q45" s="453">
        <v>0.94564285714285701</v>
      </c>
      <c r="R45" s="453">
        <v>0.82487755102040805</v>
      </c>
      <c r="S45" s="453">
        <v>0.70411224489795909</v>
      </c>
      <c r="T45" s="453">
        <v>0.58334693877551014</v>
      </c>
      <c r="U45" s="453">
        <v>0.47632653061224484</v>
      </c>
      <c r="V45" s="453">
        <v>0.36930612244897953</v>
      </c>
      <c r="W45" s="453">
        <v>0.24948979591836731</v>
      </c>
      <c r="X45" s="453">
        <v>0.12967346938775509</v>
      </c>
    </row>
    <row r="47" spans="1:24" x14ac:dyDescent="0.25">
      <c r="A47" s="414" t="s">
        <v>345</v>
      </c>
      <c r="B47" s="414"/>
      <c r="C47" s="414"/>
      <c r="D47" s="414"/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</row>
    <row r="48" spans="1:24" x14ac:dyDescent="0.25">
      <c r="E48" s="474">
        <f>D39-C39</f>
        <v>-0.14774859287054409</v>
      </c>
    </row>
    <row r="50" spans="1:12" x14ac:dyDescent="0.25">
      <c r="A50" t="s">
        <v>354</v>
      </c>
      <c r="B50">
        <v>1</v>
      </c>
      <c r="C50">
        <v>0.99032356000839805</v>
      </c>
      <c r="D50">
        <v>0.86722383327687946</v>
      </c>
      <c r="E50">
        <v>0.74412410654536087</v>
      </c>
      <c r="F50">
        <v>0.62102437981384229</v>
      </c>
      <c r="G50">
        <v>0.4979246530823237</v>
      </c>
      <c r="H50">
        <v>0.37482492635080511</v>
      </c>
      <c r="I50">
        <v>0.25172519961928652</v>
      </c>
      <c r="J50">
        <v>0.12862547288776796</v>
      </c>
    </row>
    <row r="54" spans="1:12" x14ac:dyDescent="0.25">
      <c r="A54" s="445" t="s">
        <v>336</v>
      </c>
      <c r="B54" s="445"/>
      <c r="C54" s="446"/>
      <c r="D54" s="445"/>
      <c r="E54" s="446"/>
      <c r="F54" s="445"/>
      <c r="G54" s="438"/>
      <c r="H54" s="438"/>
      <c r="I54" s="438"/>
      <c r="J54" s="447"/>
      <c r="K54" s="440"/>
      <c r="L54" s="438"/>
    </row>
    <row r="55" spans="1:12" x14ac:dyDescent="0.25">
      <c r="A55" s="448"/>
      <c r="B55" s="448">
        <v>2005</v>
      </c>
      <c r="C55" s="449">
        <v>2011</v>
      </c>
      <c r="D55" s="448">
        <v>2014</v>
      </c>
      <c r="E55" s="449">
        <v>2015</v>
      </c>
      <c r="F55" s="449">
        <v>2020</v>
      </c>
      <c r="G55" s="449">
        <v>2025</v>
      </c>
      <c r="H55" s="450">
        <v>2030</v>
      </c>
      <c r="I55" s="449">
        <v>2035</v>
      </c>
      <c r="J55" s="451">
        <v>2040</v>
      </c>
      <c r="K55" s="449">
        <v>2045</v>
      </c>
      <c r="L55" s="451">
        <v>2050</v>
      </c>
    </row>
    <row r="56" spans="1:12" x14ac:dyDescent="0.25">
      <c r="A56" s="438" t="s">
        <v>337</v>
      </c>
      <c r="B56" s="443">
        <v>378</v>
      </c>
      <c r="C56" s="444">
        <v>355.33333333333331</v>
      </c>
      <c r="D56" s="443">
        <v>344</v>
      </c>
      <c r="E56" s="444">
        <v>333.5</v>
      </c>
      <c r="F56" s="444">
        <v>281</v>
      </c>
      <c r="G56" s="444">
        <v>228.5</v>
      </c>
      <c r="H56" s="443">
        <v>176</v>
      </c>
      <c r="I56" s="444">
        <v>143.69999999999999</v>
      </c>
      <c r="J56" s="443">
        <v>111.4</v>
      </c>
      <c r="K56" s="444">
        <v>75.25</v>
      </c>
      <c r="L56" s="443">
        <v>39.1</v>
      </c>
    </row>
    <row r="57" spans="1:12" x14ac:dyDescent="0.25">
      <c r="A57" s="438" t="s">
        <v>338</v>
      </c>
      <c r="B57" s="443">
        <v>157</v>
      </c>
      <c r="C57" s="444">
        <v>133.66666666666666</v>
      </c>
      <c r="D57" s="443">
        <v>122</v>
      </c>
      <c r="E57" s="444">
        <v>118.8125</v>
      </c>
      <c r="F57" s="444">
        <v>102.875</v>
      </c>
      <c r="G57" s="444">
        <v>86.9375</v>
      </c>
      <c r="H57" s="443">
        <v>71</v>
      </c>
      <c r="I57" s="444">
        <v>58</v>
      </c>
      <c r="J57" s="443">
        <v>45</v>
      </c>
      <c r="K57" s="444">
        <v>30.4</v>
      </c>
      <c r="L57" s="443">
        <v>15.8</v>
      </c>
    </row>
    <row r="58" spans="1:12" x14ac:dyDescent="0.25">
      <c r="A58" s="438" t="s">
        <v>339</v>
      </c>
      <c r="B58" s="443">
        <v>160</v>
      </c>
      <c r="C58" s="444">
        <v>159.33333333333334</v>
      </c>
      <c r="D58" s="443">
        <v>159</v>
      </c>
      <c r="E58" s="444">
        <v>155.11250000000001</v>
      </c>
      <c r="F58" s="444">
        <v>135.67500000000001</v>
      </c>
      <c r="G58" s="444">
        <v>116.2375</v>
      </c>
      <c r="H58" s="443">
        <v>96.8</v>
      </c>
      <c r="I58" s="444">
        <v>79.05</v>
      </c>
      <c r="J58" s="443">
        <v>61.3</v>
      </c>
      <c r="K58" s="444">
        <v>41.4</v>
      </c>
      <c r="L58" s="443">
        <v>21.5</v>
      </c>
    </row>
    <row r="59" spans="1:12" x14ac:dyDescent="0.25">
      <c r="A59" s="438" t="s">
        <v>340</v>
      </c>
      <c r="B59" s="443">
        <v>167</v>
      </c>
      <c r="C59" s="444">
        <v>164.33333333333334</v>
      </c>
      <c r="D59" s="443">
        <v>163</v>
      </c>
      <c r="E59" s="444">
        <v>160.88124999999999</v>
      </c>
      <c r="F59" s="444">
        <v>150.28749999999999</v>
      </c>
      <c r="G59" s="444">
        <v>139.69374999999999</v>
      </c>
      <c r="H59" s="443">
        <v>129.1</v>
      </c>
      <c r="I59" s="444">
        <v>105.4</v>
      </c>
      <c r="J59" s="443">
        <v>81.7</v>
      </c>
      <c r="K59" s="444">
        <v>55.2</v>
      </c>
      <c r="L59" s="443">
        <v>28.7</v>
      </c>
    </row>
    <row r="60" spans="1:12" x14ac:dyDescent="0.25">
      <c r="A60" s="438" t="s">
        <v>341</v>
      </c>
      <c r="B60" s="470">
        <v>4</v>
      </c>
      <c r="C60" s="471">
        <v>4</v>
      </c>
      <c r="D60" s="470">
        <v>4</v>
      </c>
      <c r="E60" s="471">
        <v>3.96875</v>
      </c>
      <c r="F60" s="471">
        <v>3.8125</v>
      </c>
      <c r="G60" s="471">
        <v>3.65625</v>
      </c>
      <c r="H60" s="470">
        <v>3.5</v>
      </c>
      <c r="I60" s="471">
        <v>2.85</v>
      </c>
      <c r="J60" s="470">
        <v>2.2000000000000002</v>
      </c>
      <c r="K60" s="471">
        <v>1.5</v>
      </c>
      <c r="L60" s="470">
        <v>0.8</v>
      </c>
    </row>
    <row r="61" spans="1:12" x14ac:dyDescent="0.25">
      <c r="A61" s="438" t="s">
        <v>342</v>
      </c>
      <c r="B61" s="442">
        <v>0</v>
      </c>
      <c r="C61" s="444">
        <v>0</v>
      </c>
      <c r="D61" s="443">
        <v>0</v>
      </c>
      <c r="E61" s="444">
        <v>0</v>
      </c>
      <c r="F61" s="444">
        <v>0</v>
      </c>
      <c r="G61" s="444">
        <v>0</v>
      </c>
      <c r="H61" s="443">
        <v>0</v>
      </c>
      <c r="I61" s="444">
        <v>0</v>
      </c>
      <c r="J61" s="443">
        <v>0</v>
      </c>
      <c r="K61" s="444">
        <v>0</v>
      </c>
      <c r="L61" s="443">
        <v>0</v>
      </c>
    </row>
    <row r="62" spans="1:12" x14ac:dyDescent="0.25">
      <c r="A62" s="441" t="s">
        <v>343</v>
      </c>
      <c r="B62" s="453">
        <v>866</v>
      </c>
      <c r="C62" s="454">
        <v>816.66666666666674</v>
      </c>
      <c r="D62" s="453">
        <v>792</v>
      </c>
      <c r="E62" s="454">
        <v>772.27499999999998</v>
      </c>
      <c r="F62" s="454">
        <v>673.65</v>
      </c>
      <c r="G62" s="454">
        <v>575.02499999999998</v>
      </c>
      <c r="H62" s="453">
        <v>476.4</v>
      </c>
      <c r="I62" s="454">
        <v>389</v>
      </c>
      <c r="J62" s="453">
        <v>301.59999999999997</v>
      </c>
      <c r="K62" s="454">
        <v>203.75</v>
      </c>
      <c r="L62" s="453">
        <v>105.9</v>
      </c>
    </row>
    <row r="63" spans="1:12" x14ac:dyDescent="0.25">
      <c r="A63" s="440"/>
      <c r="B63" s="440"/>
      <c r="C63" s="458"/>
      <c r="D63" s="440"/>
      <c r="E63" s="440"/>
      <c r="F63" s="440"/>
      <c r="G63" s="440"/>
      <c r="H63" s="440"/>
      <c r="I63" s="440"/>
      <c r="J63" s="440"/>
      <c r="K63" s="440"/>
      <c r="L63" s="440"/>
    </row>
    <row r="64" spans="1:12" x14ac:dyDescent="0.25">
      <c r="A64" s="448"/>
      <c r="B64" s="448">
        <v>2005</v>
      </c>
      <c r="C64" s="462">
        <v>2011</v>
      </c>
      <c r="D64" s="448">
        <v>2014</v>
      </c>
      <c r="E64" s="462">
        <v>2015</v>
      </c>
      <c r="F64" s="462">
        <v>2020</v>
      </c>
      <c r="G64" s="462">
        <v>2025</v>
      </c>
      <c r="H64" s="450">
        <v>2030</v>
      </c>
      <c r="I64" s="462">
        <v>2035</v>
      </c>
      <c r="J64" s="451">
        <v>2040</v>
      </c>
      <c r="K64" s="462">
        <v>2045</v>
      </c>
      <c r="L64" s="451">
        <v>2050</v>
      </c>
    </row>
    <row r="65" spans="1:12" x14ac:dyDescent="0.25">
      <c r="A65" s="438" t="s">
        <v>337</v>
      </c>
      <c r="B65" s="434">
        <f>B56/B$62</f>
        <v>0.43648960739030024</v>
      </c>
      <c r="C65" s="463">
        <f t="shared" ref="C65:L65" si="1">C56/C$62</f>
        <v>0.43510204081632647</v>
      </c>
      <c r="D65" s="434">
        <f t="shared" si="1"/>
        <v>0.43434343434343436</v>
      </c>
      <c r="E65" s="463">
        <f t="shared" si="1"/>
        <v>0.431840989284905</v>
      </c>
      <c r="F65" s="463">
        <f t="shared" si="1"/>
        <v>0.41713055741111854</v>
      </c>
      <c r="G65" s="463">
        <f t="shared" si="1"/>
        <v>0.39737402721620801</v>
      </c>
      <c r="H65" s="434">
        <f t="shared" si="1"/>
        <v>0.36943744752308988</v>
      </c>
      <c r="I65" s="463">
        <f t="shared" si="1"/>
        <v>0.36940874035989713</v>
      </c>
      <c r="J65" s="434">
        <f t="shared" si="1"/>
        <v>0.36936339522546424</v>
      </c>
      <c r="K65" s="463">
        <f t="shared" si="1"/>
        <v>0.36932515337423311</v>
      </c>
      <c r="L65" s="434">
        <f t="shared" si="1"/>
        <v>0.36921624173748818</v>
      </c>
    </row>
    <row r="66" spans="1:12" x14ac:dyDescent="0.25">
      <c r="A66" s="438" t="s">
        <v>338</v>
      </c>
      <c r="B66" s="434">
        <f t="shared" ref="B66:L71" si="2">B57/B$62</f>
        <v>0.1812933025404157</v>
      </c>
      <c r="C66" s="463">
        <f t="shared" si="2"/>
        <v>0.16367346938775507</v>
      </c>
      <c r="D66" s="434">
        <f t="shared" si="2"/>
        <v>0.15404040404040403</v>
      </c>
      <c r="E66" s="463">
        <f t="shared" si="2"/>
        <v>0.15384739891877894</v>
      </c>
      <c r="F66" s="463">
        <f t="shared" si="2"/>
        <v>0.15271283307355452</v>
      </c>
      <c r="G66" s="463">
        <f t="shared" si="2"/>
        <v>0.15118907873570714</v>
      </c>
      <c r="H66" s="434">
        <f t="shared" si="2"/>
        <v>0.14903442485306465</v>
      </c>
      <c r="I66" s="463">
        <f t="shared" si="2"/>
        <v>0.14910025706940874</v>
      </c>
      <c r="J66" s="434">
        <f t="shared" si="2"/>
        <v>0.14920424403183025</v>
      </c>
      <c r="K66" s="463">
        <f t="shared" si="2"/>
        <v>0.14920245398773005</v>
      </c>
      <c r="L66" s="434">
        <f t="shared" si="2"/>
        <v>0.14919735599622286</v>
      </c>
    </row>
    <row r="67" spans="1:12" x14ac:dyDescent="0.25">
      <c r="A67" s="438" t="s">
        <v>339</v>
      </c>
      <c r="B67" s="434">
        <f t="shared" si="2"/>
        <v>0.18475750577367206</v>
      </c>
      <c r="C67" s="463">
        <f t="shared" si="2"/>
        <v>0.19510204081632651</v>
      </c>
      <c r="D67" s="434">
        <f t="shared" si="2"/>
        <v>0.20075757575757575</v>
      </c>
      <c r="E67" s="463">
        <f t="shared" si="2"/>
        <v>0.20085138066103397</v>
      </c>
      <c r="F67" s="463">
        <f t="shared" si="2"/>
        <v>0.20140280561122248</v>
      </c>
      <c r="G67" s="463">
        <f t="shared" si="2"/>
        <v>0.20214338507021434</v>
      </c>
      <c r="H67" s="434">
        <f t="shared" si="2"/>
        <v>0.20319059613769941</v>
      </c>
      <c r="I67" s="463">
        <f t="shared" si="2"/>
        <v>0.20321336760925449</v>
      </c>
      <c r="J67" s="434">
        <f t="shared" si="2"/>
        <v>0.20324933687002653</v>
      </c>
      <c r="K67" s="463">
        <f t="shared" si="2"/>
        <v>0.20319018404907974</v>
      </c>
      <c r="L67" s="434">
        <f t="shared" si="2"/>
        <v>0.20302171860245513</v>
      </c>
    </row>
    <row r="68" spans="1:12" x14ac:dyDescent="0.25">
      <c r="A68" s="438" t="s">
        <v>340</v>
      </c>
      <c r="B68" s="434">
        <f t="shared" si="2"/>
        <v>0.19284064665127021</v>
      </c>
      <c r="C68" s="463">
        <f t="shared" si="2"/>
        <v>0.20122448979591837</v>
      </c>
      <c r="D68" s="434">
        <f t="shared" si="2"/>
        <v>0.2058080808080808</v>
      </c>
      <c r="E68" s="463">
        <f t="shared" si="2"/>
        <v>0.20832119387523873</v>
      </c>
      <c r="F68" s="463">
        <f t="shared" si="2"/>
        <v>0.22309433682179172</v>
      </c>
      <c r="G68" s="463">
        <f t="shared" si="2"/>
        <v>0.24293508977870526</v>
      </c>
      <c r="H68" s="434">
        <f t="shared" si="2"/>
        <v>0.27099076406381195</v>
      </c>
      <c r="I68" s="463">
        <f t="shared" si="2"/>
        <v>0.27095115681233933</v>
      </c>
      <c r="J68" s="434">
        <f t="shared" si="2"/>
        <v>0.27088859416445626</v>
      </c>
      <c r="K68" s="463">
        <f t="shared" si="2"/>
        <v>0.27092024539877302</v>
      </c>
      <c r="L68" s="434">
        <f t="shared" si="2"/>
        <v>0.27101038715769593</v>
      </c>
    </row>
    <row r="69" spans="1:12" x14ac:dyDescent="0.25">
      <c r="A69" s="438" t="s">
        <v>341</v>
      </c>
      <c r="B69" s="434">
        <f t="shared" si="2"/>
        <v>4.6189376443418013E-3</v>
      </c>
      <c r="C69" s="463">
        <f t="shared" si="2"/>
        <v>4.8979591836734691E-3</v>
      </c>
      <c r="D69" s="434">
        <f t="shared" si="2"/>
        <v>5.0505050505050509E-3</v>
      </c>
      <c r="E69" s="463">
        <f t="shared" si="2"/>
        <v>5.1390372600433783E-3</v>
      </c>
      <c r="F69" s="463">
        <f t="shared" si="2"/>
        <v>5.6594670823127743E-3</v>
      </c>
      <c r="G69" s="463">
        <f t="shared" si="2"/>
        <v>6.3584191991652543E-3</v>
      </c>
      <c r="H69" s="434">
        <f t="shared" si="2"/>
        <v>7.3467674223341734E-3</v>
      </c>
      <c r="I69" s="463">
        <f t="shared" si="2"/>
        <v>7.3264781491002573E-3</v>
      </c>
      <c r="J69" s="434">
        <f t="shared" si="2"/>
        <v>7.2944297082228127E-3</v>
      </c>
      <c r="K69" s="463">
        <f t="shared" si="2"/>
        <v>7.3619631901840491E-3</v>
      </c>
      <c r="L69" s="434">
        <f t="shared" si="2"/>
        <v>7.5542965061378663E-3</v>
      </c>
    </row>
    <row r="70" spans="1:12" x14ac:dyDescent="0.25">
      <c r="A70" s="438" t="s">
        <v>342</v>
      </c>
      <c r="B70" s="434">
        <f t="shared" si="2"/>
        <v>0</v>
      </c>
      <c r="C70" s="463">
        <f t="shared" si="2"/>
        <v>0</v>
      </c>
      <c r="D70" s="434">
        <f t="shared" si="2"/>
        <v>0</v>
      </c>
      <c r="E70" s="463">
        <f t="shared" si="2"/>
        <v>0</v>
      </c>
      <c r="F70" s="463">
        <f t="shared" si="2"/>
        <v>0</v>
      </c>
      <c r="G70" s="463">
        <f t="shared" si="2"/>
        <v>0</v>
      </c>
      <c r="H70" s="434">
        <f t="shared" si="2"/>
        <v>0</v>
      </c>
      <c r="I70" s="463">
        <f t="shared" si="2"/>
        <v>0</v>
      </c>
      <c r="J70" s="434">
        <f t="shared" si="2"/>
        <v>0</v>
      </c>
      <c r="K70" s="463">
        <f t="shared" si="2"/>
        <v>0</v>
      </c>
      <c r="L70" s="434">
        <f t="shared" si="2"/>
        <v>0</v>
      </c>
    </row>
    <row r="71" spans="1:12" x14ac:dyDescent="0.25">
      <c r="A71" s="460" t="s">
        <v>343</v>
      </c>
      <c r="B71" s="461">
        <f t="shared" si="2"/>
        <v>1</v>
      </c>
      <c r="C71" s="464">
        <f t="shared" si="2"/>
        <v>1</v>
      </c>
      <c r="D71" s="461">
        <f t="shared" si="2"/>
        <v>1</v>
      </c>
      <c r="E71" s="464">
        <f t="shared" si="2"/>
        <v>1</v>
      </c>
      <c r="F71" s="464">
        <f t="shared" si="2"/>
        <v>1</v>
      </c>
      <c r="G71" s="464">
        <f t="shared" si="2"/>
        <v>1</v>
      </c>
      <c r="H71" s="461">
        <f t="shared" si="2"/>
        <v>1</v>
      </c>
      <c r="I71" s="464">
        <f t="shared" si="2"/>
        <v>1</v>
      </c>
      <c r="J71" s="461">
        <f t="shared" si="2"/>
        <v>1</v>
      </c>
      <c r="K71" s="464">
        <f t="shared" si="2"/>
        <v>1</v>
      </c>
      <c r="L71" s="461">
        <f t="shared" si="2"/>
        <v>1</v>
      </c>
    </row>
    <row r="72" spans="1:12" x14ac:dyDescent="0.25">
      <c r="A72" s="404"/>
      <c r="B72" s="459"/>
      <c r="C72" s="459"/>
      <c r="D72" s="459"/>
      <c r="E72" s="459"/>
      <c r="F72" s="459"/>
      <c r="G72" s="459"/>
      <c r="H72" s="459"/>
      <c r="I72" s="459"/>
      <c r="J72" s="459"/>
      <c r="K72" s="439"/>
      <c r="L72" s="452"/>
    </row>
    <row r="74" spans="1:12" x14ac:dyDescent="0.25">
      <c r="A74" s="466" t="s">
        <v>355</v>
      </c>
      <c r="B74" s="445" t="s">
        <v>359</v>
      </c>
      <c r="C74" s="445"/>
      <c r="D74" s="445"/>
      <c r="E74" s="445"/>
    </row>
    <row r="75" spans="1:12" x14ac:dyDescent="0.25">
      <c r="A75" s="376"/>
      <c r="B75" s="441">
        <v>1990</v>
      </c>
      <c r="C75" s="441">
        <v>2005</v>
      </c>
      <c r="D75" s="441">
        <v>2011</v>
      </c>
      <c r="E75" s="441">
        <v>2015</v>
      </c>
    </row>
    <row r="76" spans="1:12" x14ac:dyDescent="0.25">
      <c r="A76" s="404" t="s">
        <v>356</v>
      </c>
      <c r="B76" s="293">
        <v>1250.915</v>
      </c>
      <c r="C76" s="293">
        <v>991.93299999999999</v>
      </c>
      <c r="D76" s="293">
        <v>922.36300000000006</v>
      </c>
      <c r="E76" s="293">
        <v>901.93200000000002</v>
      </c>
    </row>
    <row r="77" spans="1:12" x14ac:dyDescent="0.25">
      <c r="A77" s="404" t="s">
        <v>357</v>
      </c>
      <c r="B77" s="293">
        <v>84.12</v>
      </c>
      <c r="C77" s="293">
        <v>87.29</v>
      </c>
      <c r="D77" s="293">
        <v>88.1</v>
      </c>
      <c r="E77" s="293">
        <v>87.82</v>
      </c>
    </row>
    <row r="78" spans="1:12" x14ac:dyDescent="0.25">
      <c r="A78" s="460" t="s">
        <v>358</v>
      </c>
      <c r="B78" s="465">
        <f>B76*B77/100</f>
        <v>1052.2696980000001</v>
      </c>
      <c r="C78" s="465">
        <f>C76*C77/100</f>
        <v>865.85831570000005</v>
      </c>
      <c r="D78" s="465">
        <f t="shared" ref="D78:E78" si="3">D76*D77/100</f>
        <v>812.6018029999999</v>
      </c>
      <c r="E78" s="465">
        <f t="shared" si="3"/>
        <v>792.07668239999998</v>
      </c>
      <c r="K78">
        <f>D92-C92</f>
        <v>-0.14748486004154038</v>
      </c>
    </row>
    <row r="79" spans="1:12" x14ac:dyDescent="0.25">
      <c r="A79" s="475" t="s">
        <v>363</v>
      </c>
      <c r="B79" s="438">
        <f>B78/D78*D79</f>
        <v>894.86759173933353</v>
      </c>
      <c r="D79" s="438">
        <v>691.05004152048696</v>
      </c>
      <c r="G79">
        <v>1000</v>
      </c>
    </row>
    <row r="81" spans="1:13" x14ac:dyDescent="0.25">
      <c r="A81" s="448"/>
      <c r="B81">
        <v>2011</v>
      </c>
      <c r="C81">
        <v>2015</v>
      </c>
      <c r="D81">
        <v>2020</v>
      </c>
      <c r="E81" s="438">
        <v>2025</v>
      </c>
      <c r="F81" s="438">
        <v>2030</v>
      </c>
      <c r="G81" s="438">
        <v>2035</v>
      </c>
      <c r="H81" s="438">
        <v>2040</v>
      </c>
      <c r="I81" s="438">
        <v>2045</v>
      </c>
      <c r="J81" s="438">
        <v>2050</v>
      </c>
    </row>
    <row r="82" spans="1:13" x14ac:dyDescent="0.25">
      <c r="A82" s="438" t="s">
        <v>337</v>
      </c>
      <c r="B82" s="68">
        <f>B$88*C65</f>
        <v>353.56470285632645</v>
      </c>
      <c r="C82" s="68">
        <f>C$88*E65</f>
        <v>342.05117811712148</v>
      </c>
      <c r="D82" s="68">
        <f>D$88*F65</f>
        <v>289.90573740072739</v>
      </c>
      <c r="E82" s="68">
        <f>E$88*G65</f>
        <v>231.12289142698145</v>
      </c>
      <c r="F82" s="468">
        <f>H56</f>
        <v>176</v>
      </c>
      <c r="G82">
        <f>I65*$G$88</f>
        <v>143.69999999999999</v>
      </c>
      <c r="H82" s="468">
        <f>J56</f>
        <v>111.4</v>
      </c>
      <c r="I82" s="68">
        <f>K65*$I$88</f>
        <v>75.25</v>
      </c>
      <c r="J82" s="468">
        <f>L56</f>
        <v>39.1</v>
      </c>
    </row>
    <row r="83" spans="1:13" x14ac:dyDescent="0.25">
      <c r="A83" s="438" t="s">
        <v>338</v>
      </c>
      <c r="B83" s="68">
        <f t="shared" ref="B83:B87" si="4">B$88*C66</f>
        <v>133.00135632775505</v>
      </c>
      <c r="C83" s="68">
        <f t="shared" ref="C83:E87" si="5">C$88*E66</f>
        <v>121.85893733145576</v>
      </c>
      <c r="D83" s="68">
        <f t="shared" si="5"/>
        <v>106.13541898612038</v>
      </c>
      <c r="E83" s="68">
        <f t="shared" si="5"/>
        <v>87.935432706491028</v>
      </c>
      <c r="F83" s="468">
        <f t="shared" ref="F83:F88" si="6">H57</f>
        <v>71</v>
      </c>
      <c r="G83" s="438">
        <f t="shared" ref="G83:G86" si="7">I66*$G$88</f>
        <v>58</v>
      </c>
      <c r="H83" s="468">
        <f t="shared" ref="H83:H88" si="8">J57</f>
        <v>45</v>
      </c>
      <c r="I83" s="68">
        <f t="shared" ref="I83:I86" si="9">K66*$I$88</f>
        <v>30.4</v>
      </c>
      <c r="J83" s="468">
        <f t="shared" ref="J83:J88" si="10">L57</f>
        <v>15.8</v>
      </c>
    </row>
    <row r="84" spans="1:13" x14ac:dyDescent="0.25">
      <c r="A84" s="438" t="s">
        <v>339</v>
      </c>
      <c r="B84" s="68">
        <f t="shared" si="4"/>
        <v>158.54027013632648</v>
      </c>
      <c r="C84" s="68">
        <f t="shared" si="5"/>
        <v>159.0896952494513</v>
      </c>
      <c r="D84" s="68">
        <f t="shared" si="5"/>
        <v>139.97494989979961</v>
      </c>
      <c r="E84" s="68">
        <f t="shared" si="5"/>
        <v>117.57175970347377</v>
      </c>
      <c r="F84" s="468">
        <f t="shared" si="6"/>
        <v>96.8</v>
      </c>
      <c r="G84" s="438">
        <f t="shared" si="7"/>
        <v>79.05</v>
      </c>
      <c r="H84" s="468">
        <f t="shared" si="8"/>
        <v>61.3</v>
      </c>
      <c r="I84" s="68">
        <f t="shared" si="9"/>
        <v>41.4</v>
      </c>
      <c r="J84" s="468">
        <f t="shared" si="10"/>
        <v>21.5</v>
      </c>
    </row>
    <row r="85" spans="1:13" x14ac:dyDescent="0.25">
      <c r="A85" s="438" t="s">
        <v>340</v>
      </c>
      <c r="B85" s="68">
        <f t="shared" si="4"/>
        <v>163.51538321591835</v>
      </c>
      <c r="C85" s="68">
        <f t="shared" si="5"/>
        <v>165.00636011830628</v>
      </c>
      <c r="D85" s="68">
        <f t="shared" si="5"/>
        <v>155.05056409114525</v>
      </c>
      <c r="E85" s="68">
        <f t="shared" si="5"/>
        <v>141.2972578305378</v>
      </c>
      <c r="F85" s="468">
        <f t="shared" si="6"/>
        <v>129.1</v>
      </c>
      <c r="G85" s="438">
        <f t="shared" si="7"/>
        <v>105.4</v>
      </c>
      <c r="H85" s="468">
        <f t="shared" si="8"/>
        <v>81.7</v>
      </c>
      <c r="I85" s="68">
        <f t="shared" si="9"/>
        <v>55.2</v>
      </c>
      <c r="J85" s="468">
        <f t="shared" si="10"/>
        <v>28.7</v>
      </c>
    </row>
    <row r="86" spans="1:13" x14ac:dyDescent="0.25">
      <c r="A86" s="438" t="s">
        <v>341</v>
      </c>
      <c r="B86" s="68">
        <f t="shared" si="4"/>
        <v>3.9800904636734686</v>
      </c>
      <c r="C86" s="68">
        <f t="shared" si="5"/>
        <v>4.0705115836651453</v>
      </c>
      <c r="D86" s="68">
        <f t="shared" si="5"/>
        <v>3.9333296222073781</v>
      </c>
      <c r="E86" s="68">
        <f t="shared" si="5"/>
        <v>3.6982191325159781</v>
      </c>
      <c r="F86" s="468">
        <f t="shared" si="6"/>
        <v>3.5</v>
      </c>
      <c r="G86" s="438">
        <f t="shared" si="7"/>
        <v>2.85</v>
      </c>
      <c r="H86" s="468">
        <f t="shared" si="8"/>
        <v>2.2000000000000002</v>
      </c>
      <c r="I86" s="68">
        <f t="shared" si="9"/>
        <v>1.5</v>
      </c>
      <c r="J86" s="468">
        <f t="shared" si="10"/>
        <v>0.8</v>
      </c>
    </row>
    <row r="87" spans="1:13" x14ac:dyDescent="0.25">
      <c r="A87" s="438" t="s">
        <v>342</v>
      </c>
      <c r="B87" s="68">
        <f t="shared" si="4"/>
        <v>0</v>
      </c>
      <c r="C87" s="68">
        <f t="shared" si="5"/>
        <v>0</v>
      </c>
      <c r="D87" s="68">
        <f t="shared" si="5"/>
        <v>0</v>
      </c>
      <c r="E87" s="68">
        <f t="shared" si="5"/>
        <v>0</v>
      </c>
      <c r="F87" s="468">
        <v>0</v>
      </c>
      <c r="G87" s="438">
        <v>0</v>
      </c>
      <c r="H87" s="468">
        <v>0</v>
      </c>
      <c r="I87" s="68">
        <v>0</v>
      </c>
      <c r="J87" s="468">
        <v>0</v>
      </c>
    </row>
    <row r="88" spans="1:13" x14ac:dyDescent="0.25">
      <c r="A88" s="460" t="s">
        <v>343</v>
      </c>
      <c r="B88" s="467">
        <f>D78</f>
        <v>812.6018029999999</v>
      </c>
      <c r="C88" s="467">
        <f>E78</f>
        <v>792.07668239999998</v>
      </c>
      <c r="D88" s="467">
        <v>695</v>
      </c>
      <c r="E88" s="467">
        <f>$C$88-($C$88-$F$88)/($F$81-$C$81)*(E81-$C$81)</f>
        <v>581.62556080000002</v>
      </c>
      <c r="F88" s="469">
        <f t="shared" si="6"/>
        <v>476.4</v>
      </c>
      <c r="G88" s="467">
        <f>AVERAGE(F88,H88)</f>
        <v>389</v>
      </c>
      <c r="H88" s="469">
        <f t="shared" si="8"/>
        <v>301.59999999999997</v>
      </c>
      <c r="I88" s="467">
        <f>AVERAGE(H88,J88)</f>
        <v>203.75</v>
      </c>
      <c r="J88" s="469">
        <f t="shared" si="10"/>
        <v>105.9</v>
      </c>
      <c r="M88" s="472">
        <f>J88/B78</f>
        <v>0.10063959857561156</v>
      </c>
    </row>
    <row r="89" spans="1:13" ht="15.75" thickBot="1" x14ac:dyDescent="0.3"/>
    <row r="90" spans="1:13" ht="15.75" thickBot="1" x14ac:dyDescent="0.3">
      <c r="A90" s="542" t="s">
        <v>360</v>
      </c>
      <c r="B90" s="543"/>
      <c r="C90" s="378"/>
      <c r="D90" s="378"/>
      <c r="E90" s="378"/>
      <c r="F90" s="378"/>
      <c r="G90" s="378"/>
      <c r="H90" s="378"/>
      <c r="I90" s="378"/>
      <c r="J90" s="379"/>
    </row>
    <row r="91" spans="1:13" x14ac:dyDescent="0.25">
      <c r="A91" s="377"/>
      <c r="B91" s="399">
        <v>2011</v>
      </c>
      <c r="C91" s="399">
        <v>2015</v>
      </c>
      <c r="D91" s="399">
        <v>2020</v>
      </c>
      <c r="E91" s="399">
        <v>2025</v>
      </c>
      <c r="F91" s="399">
        <v>2030</v>
      </c>
      <c r="G91" s="399">
        <v>2035</v>
      </c>
      <c r="H91" s="399">
        <v>2040</v>
      </c>
      <c r="I91" s="399">
        <v>2045</v>
      </c>
      <c r="J91" s="400">
        <v>2050</v>
      </c>
    </row>
    <row r="92" spans="1:13" x14ac:dyDescent="0.25">
      <c r="A92" s="402" t="s">
        <v>337</v>
      </c>
      <c r="B92" s="293">
        <f>B82/$B82</f>
        <v>1</v>
      </c>
      <c r="C92" s="293">
        <f t="shared" ref="C92:J92" si="11">C82/$B82</f>
        <v>0.96743587624502336</v>
      </c>
      <c r="D92" s="293">
        <f t="shared" si="11"/>
        <v>0.81995101620348299</v>
      </c>
      <c r="E92" s="293">
        <f t="shared" si="11"/>
        <v>0.65369333974749144</v>
      </c>
      <c r="F92" s="293">
        <f t="shared" si="11"/>
        <v>0.49778724679855518</v>
      </c>
      <c r="G92" s="293">
        <f t="shared" si="11"/>
        <v>0.40643197366450212</v>
      </c>
      <c r="H92" s="293">
        <f t="shared" si="11"/>
        <v>0.31507670053044917</v>
      </c>
      <c r="I92" s="293">
        <f t="shared" si="11"/>
        <v>0.21283233137267771</v>
      </c>
      <c r="J92" s="386">
        <f t="shared" si="11"/>
        <v>0.1105879622149063</v>
      </c>
    </row>
    <row r="93" spans="1:13" x14ac:dyDescent="0.25">
      <c r="A93" s="402" t="s">
        <v>338</v>
      </c>
      <c r="B93" s="293">
        <f t="shared" ref="B93:J96" si="12">B83/$B83</f>
        <v>1</v>
      </c>
      <c r="C93" s="293">
        <f t="shared" si="12"/>
        <v>0.9162232679128397</v>
      </c>
      <c r="D93" s="293">
        <f t="shared" si="12"/>
        <v>0.7980025310762322</v>
      </c>
      <c r="E93" s="293">
        <f t="shared" si="12"/>
        <v>0.66116192446783673</v>
      </c>
      <c r="F93" s="293">
        <f t="shared" si="12"/>
        <v>0.53382914250163593</v>
      </c>
      <c r="G93" s="293">
        <f t="shared" si="12"/>
        <v>0.43608577838161805</v>
      </c>
      <c r="H93" s="293">
        <f t="shared" si="12"/>
        <v>0.33834241426160022</v>
      </c>
      <c r="I93" s="293">
        <f t="shared" si="12"/>
        <v>0.22856909763450323</v>
      </c>
      <c r="J93" s="386">
        <f t="shared" si="12"/>
        <v>0.1187957810074063</v>
      </c>
    </row>
    <row r="94" spans="1:13" x14ac:dyDescent="0.25">
      <c r="A94" s="402" t="s">
        <v>339</v>
      </c>
      <c r="B94" s="293">
        <f t="shared" si="12"/>
        <v>1</v>
      </c>
      <c r="C94" s="293">
        <f t="shared" si="12"/>
        <v>1.0034655240126207</v>
      </c>
      <c r="D94" s="293">
        <f t="shared" si="12"/>
        <v>0.88289839407638937</v>
      </c>
      <c r="E94" s="293">
        <f t="shared" si="12"/>
        <v>0.7415892479707239</v>
      </c>
      <c r="F94" s="293">
        <f t="shared" si="12"/>
        <v>0.61057042426358354</v>
      </c>
      <c r="G94" s="293">
        <f t="shared" si="12"/>
        <v>0.4986114879962425</v>
      </c>
      <c r="H94" s="293">
        <f t="shared" si="12"/>
        <v>0.38665255172890151</v>
      </c>
      <c r="I94" s="293">
        <f t="shared" si="12"/>
        <v>0.2611323921953756</v>
      </c>
      <c r="J94" s="386">
        <f t="shared" si="12"/>
        <v>0.13561223266184963</v>
      </c>
    </row>
    <row r="95" spans="1:13" x14ac:dyDescent="0.25">
      <c r="A95" s="402" t="s">
        <v>340</v>
      </c>
      <c r="B95" s="293">
        <f t="shared" si="12"/>
        <v>1</v>
      </c>
      <c r="C95" s="293">
        <f t="shared" si="12"/>
        <v>1.0091182668753504</v>
      </c>
      <c r="D95" s="293">
        <f t="shared" si="12"/>
        <v>0.94823227663176191</v>
      </c>
      <c r="E95" s="293">
        <f t="shared" si="12"/>
        <v>0.86412210919603805</v>
      </c>
      <c r="F95" s="293">
        <f t="shared" si="12"/>
        <v>0.7895281621884247</v>
      </c>
      <c r="G95" s="293">
        <f t="shared" si="12"/>
        <v>0.64458767075646761</v>
      </c>
      <c r="H95" s="293">
        <f t="shared" si="12"/>
        <v>0.49964717932451047</v>
      </c>
      <c r="I95" s="293">
        <f t="shared" si="12"/>
        <v>0.33758291675291285</v>
      </c>
      <c r="J95" s="386">
        <f t="shared" si="12"/>
        <v>0.17551865418131518</v>
      </c>
    </row>
    <row r="96" spans="1:13" x14ac:dyDescent="0.25">
      <c r="A96" s="402" t="s">
        <v>341</v>
      </c>
      <c r="B96" s="293">
        <f t="shared" si="12"/>
        <v>1</v>
      </c>
      <c r="C96" s="293">
        <f t="shared" si="12"/>
        <v>1.0227183579913461</v>
      </c>
      <c r="D96" s="293">
        <f t="shared" si="12"/>
        <v>0.98825131190035009</v>
      </c>
      <c r="E96" s="293">
        <f t="shared" si="12"/>
        <v>0.92917966721356016</v>
      </c>
      <c r="F96" s="293">
        <f t="shared" si="12"/>
        <v>0.87937699706695516</v>
      </c>
      <c r="G96" s="293">
        <f t="shared" si="12"/>
        <v>0.71606412618309212</v>
      </c>
      <c r="H96" s="293">
        <f t="shared" si="12"/>
        <v>0.55275125529922897</v>
      </c>
      <c r="I96" s="293">
        <f t="shared" si="12"/>
        <v>0.37687585588583794</v>
      </c>
      <c r="J96" s="386">
        <f t="shared" si="12"/>
        <v>0.20100045647244691</v>
      </c>
    </row>
    <row r="97" spans="1:10" ht="15.75" thickBot="1" x14ac:dyDescent="0.3">
      <c r="A97" s="401" t="s">
        <v>342</v>
      </c>
      <c r="B97" s="88">
        <v>1</v>
      </c>
      <c r="C97" s="88">
        <v>1</v>
      </c>
      <c r="D97" s="88">
        <v>1</v>
      </c>
      <c r="E97" s="88">
        <v>1</v>
      </c>
      <c r="F97" s="88">
        <v>1</v>
      </c>
      <c r="G97" s="88">
        <v>1</v>
      </c>
      <c r="H97" s="88">
        <v>1</v>
      </c>
      <c r="I97" s="88">
        <v>1</v>
      </c>
      <c r="J97" s="388">
        <v>1</v>
      </c>
    </row>
    <row r="98" spans="1:10" x14ac:dyDescent="0.25">
      <c r="A98" s="382"/>
      <c r="B98" s="293"/>
      <c r="C98" s="293"/>
      <c r="D98" s="293"/>
      <c r="E98" s="293"/>
      <c r="F98" s="293"/>
      <c r="G98" s="293"/>
      <c r="H98" s="293"/>
      <c r="I98" s="293"/>
      <c r="J98" s="386"/>
    </row>
    <row r="99" spans="1:10" x14ac:dyDescent="0.25">
      <c r="A99" s="382"/>
      <c r="B99" s="293"/>
      <c r="C99" s="293"/>
      <c r="D99" s="293"/>
      <c r="E99" s="293"/>
      <c r="F99" s="293"/>
      <c r="G99" s="293"/>
      <c r="H99" s="293"/>
      <c r="I99" s="293"/>
      <c r="J99" s="386"/>
    </row>
    <row r="100" spans="1:10" ht="15.75" thickBot="1" x14ac:dyDescent="0.3">
      <c r="A100" s="544" t="s">
        <v>361</v>
      </c>
      <c r="B100" s="545"/>
      <c r="C100" s="293"/>
      <c r="D100" s="293"/>
      <c r="E100" s="293"/>
      <c r="F100" s="293"/>
      <c r="G100" s="293"/>
      <c r="H100" s="293"/>
      <c r="I100" s="293"/>
      <c r="J100" s="386"/>
    </row>
    <row r="101" spans="1:10" x14ac:dyDescent="0.25">
      <c r="A101" s="377"/>
      <c r="B101" s="399">
        <v>2011</v>
      </c>
      <c r="C101" s="399">
        <v>2015</v>
      </c>
      <c r="D101" s="399">
        <v>2020</v>
      </c>
      <c r="E101" s="399">
        <v>2025</v>
      </c>
      <c r="F101" s="399">
        <v>2030</v>
      </c>
      <c r="G101" s="399">
        <v>2035</v>
      </c>
      <c r="H101" s="399">
        <v>2040</v>
      </c>
      <c r="I101" s="399">
        <v>2045</v>
      </c>
      <c r="J101" s="400">
        <v>2050</v>
      </c>
    </row>
    <row r="102" spans="1:10" ht="15.75" thickBot="1" x14ac:dyDescent="0.3">
      <c r="A102" s="401" t="s">
        <v>89</v>
      </c>
      <c r="B102" s="88">
        <f>B88/$B$88</f>
        <v>1</v>
      </c>
      <c r="C102" s="88">
        <f t="shared" ref="C102:I102" si="13">C88/$B$88</f>
        <v>0.97474147789947752</v>
      </c>
      <c r="D102" s="88">
        <f>D88/$B$88</f>
        <v>0.85527745254092191</v>
      </c>
      <c r="E102" s="88">
        <f t="shared" si="13"/>
        <v>0.71575716255209942</v>
      </c>
      <c r="F102" s="88">
        <f t="shared" si="13"/>
        <v>0.58626500487841038</v>
      </c>
      <c r="G102" s="88">
        <f t="shared" si="13"/>
        <v>0.47870925041499085</v>
      </c>
      <c r="H102" s="88">
        <f t="shared" si="13"/>
        <v>0.37115349595157127</v>
      </c>
      <c r="I102" s="88">
        <f t="shared" si="13"/>
        <v>0.25073781432404724</v>
      </c>
      <c r="J102" s="473">
        <f>J88/$B$88</f>
        <v>0.13032213269652321</v>
      </c>
    </row>
  </sheetData>
  <mergeCells count="2">
    <mergeCell ref="A90:B90"/>
    <mergeCell ref="A100:B100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W47"/>
  <sheetViews>
    <sheetView topLeftCell="A22" workbookViewId="0">
      <selection activeCell="E48" sqref="E48"/>
    </sheetView>
  </sheetViews>
  <sheetFormatPr baseColWidth="10" defaultRowHeight="15" x14ac:dyDescent="0.25"/>
  <sheetData>
    <row r="1" spans="1:14" x14ac:dyDescent="0.25">
      <c r="A1" s="431" t="s">
        <v>346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</row>
    <row r="3" spans="1:14" x14ac:dyDescent="0.25">
      <c r="A3" s="431" t="s">
        <v>299</v>
      </c>
      <c r="B3" s="431"/>
      <c r="C3" s="431"/>
      <c r="D3" s="431">
        <v>1990</v>
      </c>
      <c r="E3" s="431">
        <v>2005</v>
      </c>
      <c r="F3" s="431"/>
      <c r="G3" s="431">
        <v>2014</v>
      </c>
      <c r="H3" s="431"/>
      <c r="I3" s="431">
        <v>2030</v>
      </c>
      <c r="J3" s="431"/>
      <c r="K3" s="431">
        <v>2040</v>
      </c>
      <c r="L3" s="431"/>
      <c r="M3" s="431">
        <v>2050</v>
      </c>
      <c r="N3" s="431"/>
    </row>
    <row r="4" spans="1:14" x14ac:dyDescent="0.25">
      <c r="A4" s="431" t="s">
        <v>300</v>
      </c>
      <c r="B4" s="431" t="s">
        <v>301</v>
      </c>
      <c r="C4" s="431"/>
      <c r="D4" s="431" t="s">
        <v>302</v>
      </c>
      <c r="E4" s="431" t="s">
        <v>302</v>
      </c>
      <c r="F4" s="435" t="s">
        <v>303</v>
      </c>
      <c r="G4" s="431" t="s">
        <v>302</v>
      </c>
      <c r="H4" s="435" t="s">
        <v>303</v>
      </c>
      <c r="I4" s="431" t="s">
        <v>302</v>
      </c>
      <c r="J4" s="435" t="s">
        <v>303</v>
      </c>
      <c r="K4" s="431" t="s">
        <v>302</v>
      </c>
      <c r="L4" s="435" t="s">
        <v>303</v>
      </c>
      <c r="M4" s="431" t="s">
        <v>302</v>
      </c>
      <c r="N4" s="435" t="s">
        <v>303</v>
      </c>
    </row>
    <row r="5" spans="1:14" x14ac:dyDescent="0.25">
      <c r="A5" s="431" t="s">
        <v>304</v>
      </c>
      <c r="B5" s="431" t="s">
        <v>305</v>
      </c>
      <c r="C5" s="431" t="s">
        <v>306</v>
      </c>
      <c r="D5" s="433">
        <v>427.97036000000003</v>
      </c>
      <c r="E5" s="433">
        <v>378.45865951654002</v>
      </c>
      <c r="F5" s="434">
        <v>0.11568955495763772</v>
      </c>
      <c r="G5" s="433">
        <v>343.81085999999999</v>
      </c>
      <c r="H5" s="434">
        <v>0.19664796412536614</v>
      </c>
      <c r="I5" s="433">
        <v>175.95944399927788</v>
      </c>
      <c r="J5" s="434">
        <v>0.58885133073403062</v>
      </c>
      <c r="K5" s="433">
        <v>106.94671821704021</v>
      </c>
      <c r="L5" s="434">
        <v>0.7501071844857663</v>
      </c>
      <c r="M5" s="433">
        <v>29.392769302751606</v>
      </c>
      <c r="N5" s="434">
        <v>0.93132054915496576</v>
      </c>
    </row>
    <row r="6" spans="1:14" x14ac:dyDescent="0.25">
      <c r="A6" s="431"/>
      <c r="B6" s="431"/>
      <c r="C6" s="431" t="s">
        <v>307</v>
      </c>
      <c r="D6" s="431"/>
      <c r="E6" s="431"/>
      <c r="F6" s="431"/>
      <c r="G6" s="431"/>
      <c r="H6" s="434"/>
      <c r="I6" s="431"/>
      <c r="J6" s="434"/>
      <c r="K6" s="431"/>
      <c r="L6" s="434"/>
      <c r="M6" s="431"/>
      <c r="N6" s="434"/>
    </row>
    <row r="7" spans="1:14" x14ac:dyDescent="0.25">
      <c r="A7" s="431"/>
      <c r="B7" s="431"/>
      <c r="C7" s="431" t="s">
        <v>308</v>
      </c>
      <c r="D7" s="431"/>
      <c r="E7" s="431"/>
      <c r="F7" s="431"/>
      <c r="G7" s="431"/>
      <c r="H7" s="434"/>
      <c r="I7" s="431"/>
      <c r="J7" s="434"/>
      <c r="K7" s="431"/>
      <c r="L7" s="434"/>
      <c r="M7" s="431"/>
      <c r="N7" s="434"/>
    </row>
    <row r="8" spans="1:14" x14ac:dyDescent="0.25">
      <c r="A8" s="431"/>
      <c r="B8" s="431"/>
      <c r="C8" s="431" t="s">
        <v>309</v>
      </c>
      <c r="D8" s="431"/>
      <c r="E8" s="431"/>
      <c r="F8" s="431"/>
      <c r="G8" s="431"/>
      <c r="H8" s="434"/>
      <c r="I8" s="431"/>
      <c r="J8" s="434"/>
      <c r="K8" s="431"/>
      <c r="L8" s="434"/>
      <c r="M8" s="431"/>
      <c r="N8" s="434"/>
    </row>
    <row r="9" spans="1:14" x14ac:dyDescent="0.25">
      <c r="A9" s="431"/>
      <c r="B9" s="431"/>
      <c r="C9" s="431" t="s">
        <v>310</v>
      </c>
      <c r="D9" s="431"/>
      <c r="E9" s="431"/>
      <c r="F9" s="434"/>
      <c r="G9" s="431"/>
      <c r="H9" s="434"/>
      <c r="I9" s="431"/>
      <c r="J9" s="434"/>
      <c r="K9" s="431"/>
      <c r="L9" s="434"/>
      <c r="M9" s="431"/>
      <c r="N9" s="434"/>
    </row>
    <row r="10" spans="1:14" x14ac:dyDescent="0.25">
      <c r="A10" s="431" t="s">
        <v>311</v>
      </c>
      <c r="B10" s="431" t="s">
        <v>312</v>
      </c>
      <c r="C10" s="431" t="s">
        <v>313</v>
      </c>
      <c r="D10" s="433">
        <v>203.03066999999999</v>
      </c>
      <c r="E10" s="433">
        <v>156.87234034560001</v>
      </c>
      <c r="F10" s="434">
        <v>0.22734658588478274</v>
      </c>
      <c r="G10" s="433">
        <v>122.21073</v>
      </c>
      <c r="H10" s="434">
        <v>0.39806764170162073</v>
      </c>
      <c r="I10" s="433">
        <v>70.991696979339949</v>
      </c>
      <c r="J10" s="434">
        <v>0.6503400349349191</v>
      </c>
      <c r="K10" s="433">
        <v>43.148175738894324</v>
      </c>
      <c r="L10" s="434">
        <v>0.78747951854321152</v>
      </c>
      <c r="M10" s="433">
        <v>11.858656314765071</v>
      </c>
      <c r="N10" s="434">
        <v>0.9415917983486678</v>
      </c>
    </row>
    <row r="11" spans="1:14" x14ac:dyDescent="0.25">
      <c r="A11" s="431" t="s">
        <v>314</v>
      </c>
      <c r="B11" s="431" t="s">
        <v>315</v>
      </c>
      <c r="C11" s="431" t="s">
        <v>316</v>
      </c>
      <c r="D11" s="433">
        <v>161.88240999999999</v>
      </c>
      <c r="E11" s="433">
        <v>160.04445636493</v>
      </c>
      <c r="F11" s="434">
        <v>1.1353634005510505E-2</v>
      </c>
      <c r="G11" s="433">
        <v>159.46931000000001</v>
      </c>
      <c r="H11" s="434">
        <v>1.4906499106357423E-2</v>
      </c>
      <c r="I11" s="433">
        <v>96.763538777690059</v>
      </c>
      <c r="J11" s="434">
        <v>0.40226032724809285</v>
      </c>
      <c r="K11" s="433">
        <v>58.81209146912132</v>
      </c>
      <c r="L11" s="434">
        <v>0.63669869092558407</v>
      </c>
      <c r="M11" s="433">
        <v>16.163658554309677</v>
      </c>
      <c r="N11" s="434">
        <v>0.90015185371709205</v>
      </c>
    </row>
    <row r="12" spans="1:14" x14ac:dyDescent="0.25">
      <c r="A12" s="431" t="s">
        <v>317</v>
      </c>
      <c r="B12" s="431" t="s">
        <v>318</v>
      </c>
      <c r="C12" s="431" t="s">
        <v>319</v>
      </c>
      <c r="D12" s="433">
        <v>244.37368000000001</v>
      </c>
      <c r="E12" s="433">
        <v>166.52787358026001</v>
      </c>
      <c r="F12" s="434">
        <v>0.31855233517676701</v>
      </c>
      <c r="G12" s="433">
        <v>163.45577</v>
      </c>
      <c r="H12" s="434">
        <v>0.3311236709288824</v>
      </c>
      <c r="I12" s="433">
        <v>129.38939128148721</v>
      </c>
      <c r="J12" s="434">
        <v>0.47052648517022289</v>
      </c>
      <c r="K12" s="433">
        <v>89.066677519016906</v>
      </c>
      <c r="L12" s="434">
        <v>0.63553080872286694</v>
      </c>
      <c r="M12" s="433">
        <v>44.135261244525999</v>
      </c>
      <c r="N12" s="434">
        <v>0.81939437485851185</v>
      </c>
    </row>
    <row r="13" spans="1:14" x14ac:dyDescent="0.25">
      <c r="A13" s="431"/>
      <c r="B13" s="431"/>
      <c r="C13" s="431" t="s">
        <v>320</v>
      </c>
      <c r="D13" s="433"/>
      <c r="E13" s="433"/>
      <c r="F13" s="434"/>
      <c r="G13" s="433"/>
      <c r="H13" s="434"/>
      <c r="I13" s="433"/>
      <c r="J13" s="434"/>
      <c r="K13" s="433"/>
      <c r="L13" s="434"/>
      <c r="M13" s="433"/>
      <c r="N13" s="434"/>
    </row>
    <row r="14" spans="1:14" x14ac:dyDescent="0.25">
      <c r="A14" s="431"/>
      <c r="B14" s="431"/>
      <c r="C14" s="431" t="s">
        <v>321</v>
      </c>
      <c r="D14" s="433"/>
      <c r="E14" s="433"/>
      <c r="F14" s="434"/>
      <c r="G14" s="433"/>
      <c r="H14" s="434"/>
      <c r="I14" s="433"/>
      <c r="J14" s="434"/>
      <c r="K14" s="433"/>
      <c r="L14" s="434"/>
      <c r="M14" s="433"/>
      <c r="N14" s="434"/>
    </row>
    <row r="15" spans="1:14" x14ac:dyDescent="0.25">
      <c r="A15" s="431"/>
      <c r="B15" s="431"/>
      <c r="C15" s="431" t="s">
        <v>322</v>
      </c>
      <c r="D15" s="433"/>
      <c r="E15" s="433"/>
      <c r="F15" s="434"/>
      <c r="G15" s="433"/>
      <c r="H15" s="434"/>
      <c r="I15" s="433"/>
      <c r="J15" s="434"/>
      <c r="K15" s="433"/>
      <c r="L15" s="434"/>
      <c r="M15" s="433"/>
      <c r="N15" s="434"/>
    </row>
    <row r="16" spans="1:14" x14ac:dyDescent="0.25">
      <c r="A16" s="431"/>
      <c r="B16" s="431"/>
      <c r="C16" s="431" t="s">
        <v>323</v>
      </c>
      <c r="D16" s="433"/>
      <c r="E16" s="433"/>
      <c r="F16" s="434"/>
      <c r="G16" s="433"/>
      <c r="H16" s="434"/>
      <c r="I16" s="433"/>
      <c r="J16" s="434"/>
      <c r="K16" s="433"/>
      <c r="L16" s="434"/>
      <c r="M16" s="433"/>
      <c r="N16" s="434"/>
    </row>
    <row r="17" spans="1:16" x14ac:dyDescent="0.25">
      <c r="A17" s="431"/>
      <c r="B17" s="431"/>
      <c r="C17" s="431" t="s">
        <v>324</v>
      </c>
      <c r="D17" s="433"/>
      <c r="E17" s="433"/>
      <c r="F17" s="434"/>
      <c r="G17" s="433"/>
      <c r="H17" s="434"/>
      <c r="I17" s="433"/>
      <c r="J17" s="434"/>
      <c r="K17" s="433"/>
      <c r="L17" s="434"/>
      <c r="M17" s="433"/>
      <c r="N17" s="434"/>
      <c r="O17" s="431"/>
      <c r="P17" s="431"/>
    </row>
    <row r="18" spans="1:16" x14ac:dyDescent="0.25">
      <c r="A18" s="431"/>
      <c r="B18" s="431"/>
      <c r="C18" s="431" t="s">
        <v>325</v>
      </c>
      <c r="D18" s="433"/>
      <c r="E18" s="433"/>
      <c r="F18" s="434"/>
      <c r="G18" s="433"/>
      <c r="H18" s="434"/>
      <c r="I18" s="433"/>
      <c r="J18" s="434"/>
      <c r="K18" s="433"/>
      <c r="L18" s="434"/>
      <c r="M18" s="433"/>
      <c r="N18" s="434"/>
      <c r="O18" s="431"/>
      <c r="P18" s="431"/>
    </row>
    <row r="19" spans="1:16" x14ac:dyDescent="0.25">
      <c r="A19" s="431"/>
      <c r="B19" s="431"/>
      <c r="C19" s="431" t="s">
        <v>326</v>
      </c>
      <c r="D19" s="433"/>
      <c r="E19" s="433"/>
      <c r="F19" s="434"/>
      <c r="G19" s="433"/>
      <c r="H19" s="434"/>
      <c r="I19" s="433"/>
      <c r="J19" s="434"/>
      <c r="K19" s="433"/>
      <c r="L19" s="434"/>
      <c r="M19" s="433"/>
      <c r="N19" s="434"/>
      <c r="O19" s="431"/>
      <c r="P19" s="431"/>
    </row>
    <row r="20" spans="1:16" x14ac:dyDescent="0.25">
      <c r="A20" s="431"/>
      <c r="B20" s="431"/>
      <c r="C20" s="431" t="s">
        <v>327</v>
      </c>
      <c r="D20" s="433"/>
      <c r="E20" s="433"/>
      <c r="F20" s="434"/>
      <c r="G20" s="433"/>
      <c r="H20" s="434"/>
      <c r="I20" s="433"/>
      <c r="J20" s="434"/>
      <c r="K20" s="433"/>
      <c r="L20" s="434"/>
      <c r="M20" s="433"/>
      <c r="N20" s="434"/>
      <c r="O20" s="431"/>
      <c r="P20" s="431"/>
    </row>
    <row r="21" spans="1:16" x14ac:dyDescent="0.25">
      <c r="A21" s="431" t="s">
        <v>328</v>
      </c>
      <c r="B21" s="431" t="s">
        <v>329</v>
      </c>
      <c r="C21" s="431" t="s">
        <v>330</v>
      </c>
      <c r="D21" s="433">
        <v>13.701890000000001</v>
      </c>
      <c r="E21" s="433">
        <v>4.0086898413999998</v>
      </c>
      <c r="F21" s="434">
        <v>0.70743526320821426</v>
      </c>
      <c r="G21" s="433">
        <v>3.9119199999999998</v>
      </c>
      <c r="H21" s="434">
        <v>0.71449778096306416</v>
      </c>
      <c r="I21" s="433">
        <v>3.54843392634859</v>
      </c>
      <c r="J21" s="434">
        <v>0.74102595143089089</v>
      </c>
      <c r="K21" s="433">
        <v>2.1567092655427218</v>
      </c>
      <c r="L21" s="434">
        <v>0.84259768064531815</v>
      </c>
      <c r="M21" s="433">
        <v>0.59274056232894912</v>
      </c>
      <c r="N21" s="434">
        <v>0.95674023347662629</v>
      </c>
      <c r="O21" s="431"/>
      <c r="P21" s="431"/>
    </row>
    <row r="22" spans="1:16" x14ac:dyDescent="0.25">
      <c r="A22" s="431" t="s">
        <v>331</v>
      </c>
      <c r="B22" s="431"/>
      <c r="C22" s="431"/>
      <c r="D22" s="433">
        <v>1050.95901</v>
      </c>
      <c r="E22" s="433">
        <v>865.91201964873017</v>
      </c>
      <c r="F22" s="434">
        <v>0.17607441259889847</v>
      </c>
      <c r="G22" s="433">
        <v>792.85859000000005</v>
      </c>
      <c r="H22" s="434">
        <v>0.24558561993773664</v>
      </c>
      <c r="I22" s="433">
        <v>476.65250496414365</v>
      </c>
      <c r="J22" s="434">
        <v>0.5464594713697315</v>
      </c>
      <c r="K22" s="433">
        <v>300.13037220961547</v>
      </c>
      <c r="L22" s="434">
        <v>0.71442238055543628</v>
      </c>
      <c r="M22" s="433">
        <v>102.1430859786813</v>
      </c>
      <c r="N22" s="434">
        <v>0.90280963861884467</v>
      </c>
      <c r="O22" s="431"/>
      <c r="P22" s="431"/>
    </row>
    <row r="23" spans="1:16" x14ac:dyDescent="0.25">
      <c r="A23" s="431" t="s">
        <v>332</v>
      </c>
      <c r="B23" s="431" t="s">
        <v>333</v>
      </c>
      <c r="C23" s="431" t="s">
        <v>334</v>
      </c>
      <c r="D23" s="433">
        <v>0</v>
      </c>
      <c r="E23" s="433">
        <v>0</v>
      </c>
      <c r="F23" s="434"/>
      <c r="G23" s="433">
        <v>0</v>
      </c>
      <c r="H23" s="434"/>
      <c r="I23" s="433">
        <v>0</v>
      </c>
      <c r="J23" s="434"/>
      <c r="K23" s="433">
        <v>0</v>
      </c>
      <c r="L23" s="434"/>
      <c r="M23" s="433">
        <v>0</v>
      </c>
      <c r="N23" s="434"/>
      <c r="O23" s="431"/>
      <c r="P23" s="431"/>
    </row>
    <row r="24" spans="1:16" x14ac:dyDescent="0.25">
      <c r="A24" s="431" t="s">
        <v>335</v>
      </c>
      <c r="B24" s="431"/>
      <c r="C24" s="431"/>
      <c r="D24" s="433">
        <v>1050.95901</v>
      </c>
      <c r="E24" s="433">
        <v>865.91201964873017</v>
      </c>
      <c r="F24" s="434">
        <v>0.17607441259889847</v>
      </c>
      <c r="G24" s="433">
        <v>792.85859000000005</v>
      </c>
      <c r="H24" s="434">
        <v>0.24558561993773664</v>
      </c>
      <c r="I24" s="433">
        <v>476.65250496414365</v>
      </c>
      <c r="J24" s="434">
        <v>0.5464594713697315</v>
      </c>
      <c r="K24" s="433">
        <v>300.13037220961547</v>
      </c>
      <c r="L24" s="434">
        <v>0.71442238055543628</v>
      </c>
      <c r="M24" s="433">
        <v>102.1430859786813</v>
      </c>
      <c r="N24" s="434">
        <v>0.90280963861884467</v>
      </c>
      <c r="O24" s="431"/>
      <c r="P24" s="431"/>
    </row>
    <row r="25" spans="1:16" x14ac:dyDescent="0.25">
      <c r="A25" s="431"/>
      <c r="B25" s="431"/>
      <c r="C25" s="431"/>
      <c r="D25" s="431"/>
      <c r="E25" s="431"/>
      <c r="F25" s="434"/>
      <c r="G25" s="431"/>
      <c r="H25" s="434"/>
      <c r="I25" s="431"/>
      <c r="J25" s="434"/>
      <c r="K25" s="433"/>
      <c r="L25" s="434"/>
      <c r="M25" s="433"/>
      <c r="N25" s="434"/>
      <c r="O25" s="431"/>
      <c r="P25" s="431"/>
    </row>
    <row r="27" spans="1:16" x14ac:dyDescent="0.25">
      <c r="A27" s="445" t="s">
        <v>336</v>
      </c>
      <c r="B27" s="445"/>
      <c r="C27" s="446"/>
      <c r="D27" s="445"/>
      <c r="E27" s="446"/>
      <c r="F27" s="445"/>
      <c r="G27" s="438"/>
      <c r="H27" s="438"/>
      <c r="I27" s="438"/>
      <c r="J27" s="447"/>
      <c r="K27" s="440"/>
      <c r="L27" s="438"/>
      <c r="M27" s="431"/>
      <c r="N27" s="431"/>
      <c r="O27" s="431"/>
      <c r="P27" s="431"/>
    </row>
    <row r="28" spans="1:16" x14ac:dyDescent="0.25">
      <c r="A28" s="448"/>
      <c r="B28" s="448">
        <v>2005</v>
      </c>
      <c r="C28" s="449">
        <v>2011</v>
      </c>
      <c r="D28" s="448">
        <v>2014</v>
      </c>
      <c r="E28" s="449">
        <v>2015</v>
      </c>
      <c r="F28" s="449">
        <v>2020</v>
      </c>
      <c r="G28" s="449">
        <v>2025</v>
      </c>
      <c r="H28" s="450">
        <v>2030</v>
      </c>
      <c r="I28" s="449">
        <v>2035</v>
      </c>
      <c r="J28" s="451">
        <v>2040</v>
      </c>
      <c r="K28" s="449">
        <v>2045</v>
      </c>
      <c r="L28" s="451">
        <v>2050</v>
      </c>
      <c r="M28" s="432"/>
      <c r="N28" s="437"/>
      <c r="O28" s="432"/>
      <c r="P28" s="437"/>
    </row>
    <row r="29" spans="1:16" x14ac:dyDescent="0.25">
      <c r="A29" s="438" t="s">
        <v>337</v>
      </c>
      <c r="B29" s="443">
        <v>378.45865951654002</v>
      </c>
      <c r="C29" s="444">
        <v>355.36012650551334</v>
      </c>
      <c r="D29" s="443">
        <v>343.81085999999999</v>
      </c>
      <c r="E29" s="444">
        <v>333.32014649995483</v>
      </c>
      <c r="F29" s="444">
        <v>280.8665789997292</v>
      </c>
      <c r="G29" s="444">
        <v>228.41301149950354</v>
      </c>
      <c r="H29" s="443">
        <v>175.95944399927788</v>
      </c>
      <c r="I29" s="444">
        <v>141.45308110815904</v>
      </c>
      <c r="J29" s="443">
        <v>106.94671821704021</v>
      </c>
      <c r="K29" s="444">
        <v>68.169743759895908</v>
      </c>
      <c r="L29" s="443">
        <v>29.392769302751606</v>
      </c>
      <c r="M29" s="431"/>
      <c r="N29" s="431"/>
      <c r="O29" s="431"/>
      <c r="P29" s="435"/>
    </row>
    <row r="30" spans="1:16" x14ac:dyDescent="0.25">
      <c r="A30" s="438" t="s">
        <v>338</v>
      </c>
      <c r="B30" s="443">
        <v>156.87234034560001</v>
      </c>
      <c r="C30" s="444">
        <v>133.76460011520001</v>
      </c>
      <c r="D30" s="443">
        <v>122.21073</v>
      </c>
      <c r="E30" s="444">
        <v>119.00954043620874</v>
      </c>
      <c r="F30" s="444">
        <v>103.00359261725248</v>
      </c>
      <c r="G30" s="444">
        <v>86.997644798296221</v>
      </c>
      <c r="H30" s="443">
        <v>70.991696979339949</v>
      </c>
      <c r="I30" s="444">
        <v>57.069936359117136</v>
      </c>
      <c r="J30" s="443">
        <v>43.148175738894324</v>
      </c>
      <c r="K30" s="444">
        <v>27.503416026829697</v>
      </c>
      <c r="L30" s="443">
        <v>11.858656314765071</v>
      </c>
      <c r="M30" s="431"/>
      <c r="N30" s="431"/>
      <c r="O30" s="431"/>
      <c r="P30" s="435"/>
    </row>
    <row r="31" spans="1:16" x14ac:dyDescent="0.25">
      <c r="A31" s="438" t="s">
        <v>339</v>
      </c>
      <c r="B31" s="443">
        <v>160.04445636493</v>
      </c>
      <c r="C31" s="444">
        <v>159.66102545497668</v>
      </c>
      <c r="D31" s="443">
        <v>159.46931000000001</v>
      </c>
      <c r="E31" s="444">
        <v>155.55019929860563</v>
      </c>
      <c r="F31" s="444">
        <v>135.95464579163377</v>
      </c>
      <c r="G31" s="444">
        <v>116.35909228466193</v>
      </c>
      <c r="H31" s="443">
        <v>96.763538777690059</v>
      </c>
      <c r="I31" s="444">
        <v>77.787815123405693</v>
      </c>
      <c r="J31" s="443">
        <v>58.81209146912132</v>
      </c>
      <c r="K31" s="444">
        <v>37.487875011715502</v>
      </c>
      <c r="L31" s="443">
        <v>16.163658554309677</v>
      </c>
      <c r="M31" s="431"/>
      <c r="N31" s="431"/>
      <c r="O31" s="431"/>
      <c r="P31" s="435"/>
    </row>
    <row r="32" spans="1:16" x14ac:dyDescent="0.25">
      <c r="A32" s="438" t="s">
        <v>340</v>
      </c>
      <c r="B32" s="443">
        <v>166.52787358026001</v>
      </c>
      <c r="C32" s="444">
        <v>164.47980452675333</v>
      </c>
      <c r="D32" s="443">
        <v>163.45577</v>
      </c>
      <c r="E32" s="444">
        <v>161.32662133009296</v>
      </c>
      <c r="F32" s="444">
        <v>150.68087798055771</v>
      </c>
      <c r="G32" s="444">
        <v>140.03513463102246</v>
      </c>
      <c r="H32" s="443">
        <v>129.38939128148721</v>
      </c>
      <c r="I32" s="444">
        <v>109.22803440025206</v>
      </c>
      <c r="J32" s="443">
        <v>89.066677519016906</v>
      </c>
      <c r="K32" s="444">
        <v>66.600969381771449</v>
      </c>
      <c r="L32" s="443">
        <v>44.135261244525999</v>
      </c>
      <c r="M32" s="431"/>
      <c r="N32" s="431"/>
      <c r="O32" s="431"/>
      <c r="P32" s="435"/>
    </row>
    <row r="33" spans="1:23" x14ac:dyDescent="0.25">
      <c r="A33" s="438" t="s">
        <v>341</v>
      </c>
      <c r="B33" s="443">
        <v>4.0086898413999998</v>
      </c>
      <c r="C33" s="444">
        <v>3.9441766137999998</v>
      </c>
      <c r="D33" s="443">
        <v>3.9119199999999998</v>
      </c>
      <c r="E33" s="444">
        <v>3.8892021203967868</v>
      </c>
      <c r="F33" s="444">
        <v>3.7756127223807212</v>
      </c>
      <c r="G33" s="444">
        <v>3.6620233243646556</v>
      </c>
      <c r="H33" s="443">
        <v>3.54843392634859</v>
      </c>
      <c r="I33" s="444">
        <v>2.8525715959456557</v>
      </c>
      <c r="J33" s="443">
        <v>2.1567092655427218</v>
      </c>
      <c r="K33" s="444">
        <v>1.3747249139358355</v>
      </c>
      <c r="L33" s="443">
        <v>0.59274056232894912</v>
      </c>
      <c r="M33" s="431"/>
      <c r="N33" s="431"/>
      <c r="O33" s="431"/>
      <c r="P33" s="435"/>
    </row>
    <row r="34" spans="1:23" x14ac:dyDescent="0.25">
      <c r="A34" s="438" t="s">
        <v>342</v>
      </c>
      <c r="B34" s="442">
        <v>0</v>
      </c>
      <c r="C34" s="444">
        <v>0</v>
      </c>
      <c r="D34" s="443">
        <v>0</v>
      </c>
      <c r="E34" s="444">
        <v>0</v>
      </c>
      <c r="F34" s="444">
        <v>0</v>
      </c>
      <c r="G34" s="444">
        <v>0</v>
      </c>
      <c r="H34" s="443">
        <v>0</v>
      </c>
      <c r="I34" s="444">
        <v>0</v>
      </c>
      <c r="J34" s="443">
        <v>0</v>
      </c>
      <c r="K34" s="444">
        <v>0</v>
      </c>
      <c r="L34" s="443">
        <v>0</v>
      </c>
      <c r="M34" s="431"/>
      <c r="N34" s="431"/>
      <c r="O34" s="431"/>
      <c r="P34" s="435"/>
    </row>
    <row r="35" spans="1:23" x14ac:dyDescent="0.25">
      <c r="A35" s="441" t="s">
        <v>343</v>
      </c>
      <c r="B35" s="453">
        <v>865.91201964873017</v>
      </c>
      <c r="C35" s="454">
        <v>817.20973321624331</v>
      </c>
      <c r="D35" s="453">
        <v>792.85859000000005</v>
      </c>
      <c r="E35" s="454">
        <v>773.09570968525895</v>
      </c>
      <c r="F35" s="454">
        <v>674.28130811155393</v>
      </c>
      <c r="G35" s="454">
        <v>575.46690653784879</v>
      </c>
      <c r="H35" s="453">
        <v>476.65250496414365</v>
      </c>
      <c r="I35" s="454">
        <v>388.39143858687964</v>
      </c>
      <c r="J35" s="453">
        <v>300.13037220961547</v>
      </c>
      <c r="K35" s="454">
        <v>201.13672909414839</v>
      </c>
      <c r="L35" s="453">
        <v>102.1430859786813</v>
      </c>
      <c r="M35" s="432"/>
      <c r="N35" s="437"/>
      <c r="O35" s="432"/>
      <c r="P35" s="437"/>
    </row>
    <row r="36" spans="1:23" x14ac:dyDescent="0.25">
      <c r="A36" s="438"/>
      <c r="B36" s="438"/>
      <c r="C36" s="444"/>
      <c r="D36" s="438"/>
      <c r="E36" s="438"/>
      <c r="F36" s="438"/>
      <c r="G36" s="438"/>
      <c r="H36" s="438"/>
      <c r="I36" s="438"/>
      <c r="J36" s="438"/>
      <c r="K36" s="438"/>
      <c r="L36" s="438"/>
      <c r="M36" s="431"/>
      <c r="N36" s="431" t="s">
        <v>347</v>
      </c>
      <c r="O36" s="431"/>
      <c r="P36" s="435"/>
    </row>
    <row r="37" spans="1:23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38"/>
      <c r="L37" s="438"/>
      <c r="M37" s="431"/>
      <c r="N37" s="445" t="s">
        <v>344</v>
      </c>
      <c r="O37" s="445"/>
      <c r="P37" s="446"/>
      <c r="Q37" s="445"/>
      <c r="R37" s="446"/>
      <c r="S37" s="445"/>
      <c r="T37" s="446"/>
      <c r="U37" s="445"/>
      <c r="V37" s="447"/>
      <c r="W37" s="438"/>
    </row>
    <row r="38" spans="1:23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48"/>
      <c r="L38" s="451"/>
      <c r="M38" s="436"/>
      <c r="N38" s="448"/>
      <c r="O38" s="449">
        <v>2011</v>
      </c>
      <c r="P38" s="449">
        <v>2015</v>
      </c>
      <c r="Q38" s="449">
        <v>2020</v>
      </c>
      <c r="R38" s="449">
        <v>2025</v>
      </c>
      <c r="S38" s="450">
        <v>2030</v>
      </c>
      <c r="T38" s="449">
        <v>2035</v>
      </c>
      <c r="U38" s="451">
        <v>2040</v>
      </c>
      <c r="V38" s="449">
        <v>2045</v>
      </c>
      <c r="W38" s="451">
        <v>2050</v>
      </c>
    </row>
    <row r="39" spans="1:23" x14ac:dyDescent="0.25">
      <c r="A39" s="438" t="s">
        <v>337</v>
      </c>
      <c r="B39" s="446">
        <v>1</v>
      </c>
      <c r="C39" s="446">
        <v>0.937978466457979</v>
      </c>
      <c r="D39" s="446">
        <v>0.79037167664721553</v>
      </c>
      <c r="E39" s="446">
        <v>0.64276488683645194</v>
      </c>
      <c r="F39" s="442">
        <v>0.49515809702568842</v>
      </c>
      <c r="G39" s="446">
        <v>0.39805557955857052</v>
      </c>
      <c r="H39" s="442">
        <v>0.30095306209145262</v>
      </c>
      <c r="I39" s="446">
        <v>0.19183284413547808</v>
      </c>
      <c r="J39" s="442">
        <v>8.2712626179503521E-2</v>
      </c>
      <c r="K39" s="438"/>
      <c r="L39" s="438"/>
      <c r="M39" s="431"/>
      <c r="N39" s="438" t="s">
        <v>337</v>
      </c>
      <c r="O39" s="446">
        <v>1</v>
      </c>
      <c r="P39" s="446">
        <v>0.937978466457979</v>
      </c>
      <c r="Q39" s="446">
        <v>0.79037167664721553</v>
      </c>
      <c r="R39" s="446">
        <v>0.64276488683645194</v>
      </c>
      <c r="S39" s="442">
        <v>0.49515809702568842</v>
      </c>
      <c r="T39" s="446">
        <v>0.39805557955857052</v>
      </c>
      <c r="U39" s="442">
        <v>0.30095306209145262</v>
      </c>
      <c r="V39" s="446">
        <v>0.19183284413547808</v>
      </c>
      <c r="W39" s="442">
        <v>8.2712626179503521E-2</v>
      </c>
    </row>
    <row r="40" spans="1:23" x14ac:dyDescent="0.25">
      <c r="A40" s="438" t="s">
        <v>338</v>
      </c>
      <c r="B40" s="446">
        <v>1</v>
      </c>
      <c r="C40" s="446">
        <v>0.8896938377845558</v>
      </c>
      <c r="D40" s="446">
        <v>0.77003626167569217</v>
      </c>
      <c r="E40" s="446">
        <v>0.65037868556682854</v>
      </c>
      <c r="F40" s="442">
        <v>0.5307211094579648</v>
      </c>
      <c r="G40" s="446">
        <v>0.42664454055832174</v>
      </c>
      <c r="H40" s="442">
        <v>0.32256797165867868</v>
      </c>
      <c r="I40" s="446">
        <v>0.20561057262641505</v>
      </c>
      <c r="J40" s="442">
        <v>8.8653173594151397E-2</v>
      </c>
      <c r="K40" s="438"/>
      <c r="L40" s="438"/>
      <c r="M40" s="431"/>
      <c r="N40" s="438" t="s">
        <v>338</v>
      </c>
      <c r="O40" s="446">
        <v>1</v>
      </c>
      <c r="P40" s="446">
        <v>0.8896938377845558</v>
      </c>
      <c r="Q40" s="446">
        <v>0.77003626167569217</v>
      </c>
      <c r="R40" s="446">
        <v>0.65037868556682854</v>
      </c>
      <c r="S40" s="442">
        <v>0.5307211094579648</v>
      </c>
      <c r="T40" s="446">
        <v>0.42664454055832174</v>
      </c>
      <c r="U40" s="442">
        <v>0.32256797165867868</v>
      </c>
      <c r="V40" s="446">
        <v>0.20561057262641505</v>
      </c>
      <c r="W40" s="442">
        <v>8.8653173594151397E-2</v>
      </c>
    </row>
    <row r="41" spans="1:23" x14ac:dyDescent="0.25">
      <c r="A41" s="438" t="s">
        <v>339</v>
      </c>
      <c r="B41" s="446">
        <v>1</v>
      </c>
      <c r="C41" s="446">
        <v>0.97425278871498744</v>
      </c>
      <c r="D41" s="446">
        <v>0.85152055991255082</v>
      </c>
      <c r="E41" s="446">
        <v>0.72878833111011421</v>
      </c>
      <c r="F41" s="442">
        <v>0.60605610230767759</v>
      </c>
      <c r="G41" s="446">
        <v>0.48720603479614583</v>
      </c>
      <c r="H41" s="442">
        <v>0.36835596728461406</v>
      </c>
      <c r="I41" s="446">
        <v>0.23479665688535131</v>
      </c>
      <c r="J41" s="442">
        <v>0.10123734648608855</v>
      </c>
      <c r="K41" s="438"/>
      <c r="L41" s="438"/>
      <c r="M41" s="431"/>
      <c r="N41" s="438" t="s">
        <v>339</v>
      </c>
      <c r="O41" s="446">
        <v>1</v>
      </c>
      <c r="P41" s="446">
        <v>0.97425278871498744</v>
      </c>
      <c r="Q41" s="446">
        <v>0.85152055991255082</v>
      </c>
      <c r="R41" s="446">
        <v>0.72878833111011421</v>
      </c>
      <c r="S41" s="442">
        <v>0.60605610230767759</v>
      </c>
      <c r="T41" s="446">
        <v>0.48720603479614583</v>
      </c>
      <c r="U41" s="442">
        <v>0.36835596728461406</v>
      </c>
      <c r="V41" s="446">
        <v>0.23479665688535131</v>
      </c>
      <c r="W41" s="442">
        <v>0.10123734648608855</v>
      </c>
    </row>
    <row r="42" spans="1:23" x14ac:dyDescent="0.25">
      <c r="A42" s="438" t="s">
        <v>340</v>
      </c>
      <c r="B42" s="446">
        <v>1</v>
      </c>
      <c r="C42" s="446">
        <v>0.98082935953302708</v>
      </c>
      <c r="D42" s="446">
        <v>0.91610564843569497</v>
      </c>
      <c r="E42" s="446">
        <v>0.85138193733836276</v>
      </c>
      <c r="F42" s="442">
        <v>0.78665822624103054</v>
      </c>
      <c r="G42" s="446">
        <v>0.66408173766090328</v>
      </c>
      <c r="H42" s="442">
        <v>0.54150524908077602</v>
      </c>
      <c r="I42" s="446">
        <v>0.40491882619509389</v>
      </c>
      <c r="J42" s="442">
        <v>0.26833240330941183</v>
      </c>
      <c r="K42" s="438"/>
      <c r="L42" s="438"/>
      <c r="M42" s="431"/>
      <c r="N42" s="438" t="s">
        <v>340</v>
      </c>
      <c r="O42" s="446">
        <v>1</v>
      </c>
      <c r="P42" s="446">
        <v>0.98082935953302708</v>
      </c>
      <c r="Q42" s="446">
        <v>0.91610564843569497</v>
      </c>
      <c r="R42" s="446">
        <v>0.85138193733836276</v>
      </c>
      <c r="S42" s="442">
        <v>0.78665822624103054</v>
      </c>
      <c r="T42" s="446">
        <v>0.66408173766090328</v>
      </c>
      <c r="U42" s="442">
        <v>0.54150524908077602</v>
      </c>
      <c r="V42" s="446">
        <v>0.40491882619509389</v>
      </c>
      <c r="W42" s="442">
        <v>0.26833240330941183</v>
      </c>
    </row>
    <row r="43" spans="1:23" x14ac:dyDescent="0.25">
      <c r="A43" s="438" t="s">
        <v>341</v>
      </c>
      <c r="B43" s="446">
        <v>1</v>
      </c>
      <c r="C43" s="446">
        <v>0.9860618580793602</v>
      </c>
      <c r="D43" s="446">
        <v>0.95726259041506856</v>
      </c>
      <c r="E43" s="446">
        <v>0.92846332275077692</v>
      </c>
      <c r="F43" s="442">
        <v>0.89966405508648528</v>
      </c>
      <c r="G43" s="446">
        <v>0.7232362734379072</v>
      </c>
      <c r="H43" s="442">
        <v>0.54680849178932933</v>
      </c>
      <c r="I43" s="446">
        <v>0.34854547565793781</v>
      </c>
      <c r="J43" s="442">
        <v>0.15028245952654634</v>
      </c>
      <c r="K43" s="438"/>
      <c r="L43" s="438"/>
      <c r="M43" s="431"/>
      <c r="N43" s="438" t="s">
        <v>341</v>
      </c>
      <c r="O43" s="446">
        <v>1</v>
      </c>
      <c r="P43" s="446">
        <v>0.9860618580793602</v>
      </c>
      <c r="Q43" s="446">
        <v>0.95726259041506856</v>
      </c>
      <c r="R43" s="446">
        <v>0.92846332275077692</v>
      </c>
      <c r="S43" s="442">
        <v>0.89966405508648528</v>
      </c>
      <c r="T43" s="446">
        <v>0.7232362734379072</v>
      </c>
      <c r="U43" s="442">
        <v>0.54680849178932933</v>
      </c>
      <c r="V43" s="446">
        <v>0.34854547565793781</v>
      </c>
      <c r="W43" s="442">
        <v>0.15028245952654634</v>
      </c>
    </row>
    <row r="44" spans="1:23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38"/>
      <c r="L44" s="438"/>
      <c r="M44" s="431"/>
      <c r="N44" s="438" t="s">
        <v>342</v>
      </c>
      <c r="O44" s="446">
        <v>1</v>
      </c>
      <c r="P44" s="446">
        <v>1</v>
      </c>
      <c r="Q44" s="446">
        <v>1</v>
      </c>
      <c r="R44" s="446">
        <v>1</v>
      </c>
      <c r="S44" s="442">
        <v>1</v>
      </c>
      <c r="T44" s="446">
        <v>1</v>
      </c>
      <c r="U44" s="442">
        <v>1</v>
      </c>
      <c r="V44" s="446">
        <v>1</v>
      </c>
      <c r="W44" s="442">
        <v>1</v>
      </c>
    </row>
    <row r="45" spans="1:23" x14ac:dyDescent="0.25">
      <c r="A45" s="441" t="s">
        <v>343</v>
      </c>
      <c r="B45" s="453">
        <v>1</v>
      </c>
      <c r="C45" s="453">
        <v>0.94601872476803794</v>
      </c>
      <c r="D45" s="453">
        <v>0.82510190555100882</v>
      </c>
      <c r="E45" s="453">
        <v>0.70418508633397969</v>
      </c>
      <c r="F45" s="453">
        <v>0.58326826711695046</v>
      </c>
      <c r="G45" s="453">
        <v>0.47526531170683783</v>
      </c>
      <c r="H45" s="453">
        <v>0.36726235629672493</v>
      </c>
      <c r="I45" s="453">
        <v>0.246126203493131</v>
      </c>
      <c r="J45" s="453">
        <v>0.12499005068953704</v>
      </c>
      <c r="K45" s="439"/>
      <c r="L45" s="452"/>
      <c r="M45" s="432"/>
      <c r="N45" s="441" t="s">
        <v>343</v>
      </c>
      <c r="O45" s="453">
        <v>1</v>
      </c>
      <c r="P45" s="453">
        <v>0.94601872476803794</v>
      </c>
      <c r="Q45" s="453">
        <v>0.82510190555100882</v>
      </c>
      <c r="R45" s="453">
        <v>0.70418508633397969</v>
      </c>
      <c r="S45" s="453">
        <v>0.58326826711695046</v>
      </c>
      <c r="T45" s="453">
        <v>0.47526531170683783</v>
      </c>
      <c r="U45" s="453">
        <v>0.36726235629672493</v>
      </c>
      <c r="V45" s="453">
        <v>0.246126203493131</v>
      </c>
      <c r="W45" s="453">
        <v>0.12499005068953704</v>
      </c>
    </row>
    <row r="47" spans="1:23" x14ac:dyDescent="0.25">
      <c r="A47" s="431" t="s">
        <v>345</v>
      </c>
      <c r="B47" s="431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Diagramme</vt:lpstr>
      </vt:variant>
      <vt:variant>
        <vt:i4>1</vt:i4>
      </vt:variant>
    </vt:vector>
  </HeadingPairs>
  <TitlesOfParts>
    <vt:vector size="20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</vt:lpstr>
      <vt:lpstr>Umlaufmenge</vt:lpstr>
      <vt:lpstr>EU-Pfad</vt:lpstr>
      <vt:lpstr>RoW-Pfad</vt:lpstr>
      <vt:lpstr>EU-Pfad_ENAVI</vt:lpstr>
      <vt:lpstr>EU-Pfad_REEEM</vt:lpstr>
      <vt:lpstr>EU-Reference CO2 emissions</vt:lpstr>
      <vt:lpstr>carbon tax</vt:lpstr>
      <vt:lpstr>DEU-Pfad</vt:lpstr>
      <vt:lpstr>DEU-Pfad-2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Roland Montenegro</cp:lastModifiedBy>
  <dcterms:created xsi:type="dcterms:W3CDTF">2014-05-27T08:14:55Z</dcterms:created>
  <dcterms:modified xsi:type="dcterms:W3CDTF">2018-01-10T12:56:58Z</dcterms:modified>
</cp:coreProperties>
</file>