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Mensual. " sheetId="2" r:id="rId5"/>
  </sheets>
  <definedNames>
    <definedName name="_xlchart.v1.3">#REF!</definedName>
    <definedName name="_xlchart.v1.5">#REF!</definedName>
    <definedName name="_xlchart.v1.7">#REF!</definedName>
    <definedName name="_xlchart.v1.1">#REF!</definedName>
    <definedName name="_xlchart.v1.8">#REF!</definedName>
    <definedName name="_xlchart.v1.4">#REF!</definedName>
    <definedName name="_xlchart.v1.0">#REF!</definedName>
    <definedName name="_xlchart.v1.6">#REF!</definedName>
    <definedName name="_xlchart.v1.2">#REF!</definedName>
  </definedNames>
  <calcPr/>
  <extLst>
    <ext uri="GoogleSheetsCustomDataVersion2">
      <go:sheetsCustomData xmlns:go="http://customooxmlschemas.google.com/" r:id="rId6" roundtripDataChecksum="jLLrJTL3EaSCl6Gftxkr+KYcM8CLx5jsCd6Cuo7NsxE="/>
    </ext>
  </extLst>
</workbook>
</file>

<file path=xl/sharedStrings.xml><?xml version="1.0" encoding="utf-8"?>
<sst xmlns="http://schemas.openxmlformats.org/spreadsheetml/2006/main" count="752" uniqueCount="39">
  <si>
    <t xml:space="preserve">REGISTRO DIARIO DE BARBEROS </t>
  </si>
  <si>
    <t>Total clientes</t>
  </si>
  <si>
    <t>Caja</t>
  </si>
  <si>
    <t>Ingresos/Egresos</t>
  </si>
  <si>
    <t>Total</t>
  </si>
  <si>
    <t>Barbero Ariel</t>
  </si>
  <si>
    <t xml:space="preserve">Barbero </t>
  </si>
  <si>
    <t>Barbero josue</t>
  </si>
  <si>
    <t>Fecha</t>
  </si>
  <si>
    <t>Clientes</t>
  </si>
  <si>
    <t>Diario</t>
  </si>
  <si>
    <t>Porcentaje % 60</t>
  </si>
  <si>
    <t>Adelanto</t>
  </si>
  <si>
    <t>Incentivos</t>
  </si>
  <si>
    <t>P: Incentivo</t>
  </si>
  <si>
    <t>Porcentaje % 30</t>
  </si>
  <si>
    <t>Inicio</t>
  </si>
  <si>
    <t>Ventas</t>
  </si>
  <si>
    <t>Gastos</t>
  </si>
  <si>
    <t>Transferencias</t>
  </si>
  <si>
    <t>Caja diaria</t>
  </si>
  <si>
    <t>Pago barberos</t>
  </si>
  <si>
    <t>Total % barbería</t>
  </si>
  <si>
    <t>TOTAL</t>
  </si>
  <si>
    <t xml:space="preserve">Total </t>
  </si>
  <si>
    <t>Acumula</t>
  </si>
  <si>
    <t xml:space="preserve"> </t>
  </si>
  <si>
    <t xml:space="preserve">     </t>
  </si>
  <si>
    <t xml:space="preserve">Barbero Carlos </t>
  </si>
  <si>
    <t>Barbero frank</t>
  </si>
  <si>
    <t xml:space="preserve">  </t>
  </si>
  <si>
    <t>Porcentaje 100 %</t>
  </si>
  <si>
    <t>M</t>
  </si>
  <si>
    <t xml:space="preserve">    </t>
  </si>
  <si>
    <t>Cobra</t>
  </si>
  <si>
    <t xml:space="preserve">Barbero Ariel </t>
  </si>
  <si>
    <t>Porcentaje 60 %</t>
  </si>
  <si>
    <t>Porcentaje 50 %</t>
  </si>
  <si>
    <t>Porcentaje % 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</si>
</sst>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.00_ ;_ &quot;$&quot;* \-#,##0.00_ ;_ &quot;$&quot;* &quot;-&quot;??_ ;_ @_ 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sz val="11.0"/>
      <color rgb="FFFF0000"/>
      <name val="Calibri"/>
    </font>
    <font>
      <color theme="1"/>
      <name val="Calibri"/>
      <scheme val="minor"/>
    </font>
    <font>
      <u/>
      <sz val="11.0"/>
      <color theme="1"/>
      <name val="Calibri"/>
    </font>
    <font>
      <i/>
      <sz val="11.0"/>
      <color theme="1"/>
      <name val="Calibri"/>
    </font>
    <font>
      <u/>
      <sz val="11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CC99FF"/>
        <bgColor rgb="FFCC99FF"/>
      </patternFill>
    </fill>
    <fill>
      <patternFill patternType="solid">
        <fgColor rgb="FFCC9900"/>
        <bgColor rgb="FFCC9900"/>
      </patternFill>
    </fill>
    <fill>
      <patternFill patternType="solid">
        <fgColor rgb="FFC5E0B3"/>
        <bgColor rgb="FFC5E0B3"/>
      </patternFill>
    </fill>
    <fill>
      <patternFill patternType="solid">
        <fgColor rgb="FFFF99FF"/>
        <bgColor rgb="FFFF99FF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BDD6EE"/>
        <bgColor rgb="FFBDD6EE"/>
      </patternFill>
    </fill>
    <fill>
      <patternFill patternType="solid">
        <fgColor rgb="FF99FF99"/>
        <bgColor rgb="FF99FF99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8EAADB"/>
        <bgColor rgb="FF8EAADB"/>
      </patternFill>
    </fill>
    <fill>
      <patternFill patternType="solid">
        <fgColor rgb="FFE7E6E6"/>
        <bgColor rgb="FFE7E6E6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7B7B7B"/>
        <bgColor rgb="FF7B7B7B"/>
      </patternFill>
    </fill>
    <fill>
      <patternFill patternType="solid">
        <fgColor rgb="FF7F7F7F"/>
        <bgColor rgb="FF7F7F7F"/>
      </patternFill>
    </fill>
  </fills>
  <borders count="7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29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/>
    </xf>
    <xf borderId="5" fillId="3" fontId="1" numFmtId="0" xfId="0" applyAlignment="1" applyBorder="1" applyFill="1" applyFont="1">
      <alignment horizontal="center" shrinkToFit="0" vertical="center" wrapText="1"/>
    </xf>
    <xf borderId="5" fillId="4" fontId="1" numFmtId="0" xfId="0" applyAlignment="1" applyBorder="1" applyFill="1" applyFont="1">
      <alignment horizontal="center" vertical="center"/>
    </xf>
    <xf borderId="6" fillId="5" fontId="1" numFmtId="0" xfId="0" applyAlignment="1" applyBorder="1" applyFill="1" applyFont="1">
      <alignment horizontal="center" vertical="center"/>
    </xf>
    <xf borderId="7" fillId="0" fontId="2" numFmtId="0" xfId="0" applyBorder="1" applyFont="1"/>
    <xf borderId="4" fillId="6" fontId="1" numFmtId="0" xfId="0" applyAlignment="1" applyBorder="1" applyFill="1" applyFont="1">
      <alignment horizontal="center" vertical="center"/>
    </xf>
    <xf borderId="6" fillId="7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8" fontId="3" numFmtId="0" xfId="0" applyBorder="1" applyFill="1" applyFont="1"/>
    <xf borderId="10" fillId="9" fontId="1" numFmtId="0" xfId="0" applyAlignment="1" applyBorder="1" applyFill="1" applyFont="1">
      <alignment horizontal="center"/>
    </xf>
    <xf borderId="11" fillId="0" fontId="2" numFmtId="0" xfId="0" applyBorder="1" applyFont="1"/>
    <xf borderId="12" fillId="0" fontId="2" numFmtId="0" xfId="0" applyBorder="1" applyFont="1"/>
    <xf borderId="13" fillId="9" fontId="1" numFmtId="0" xfId="0" applyAlignment="1" applyBorder="1" applyFont="1">
      <alignment horizontal="center"/>
    </xf>
    <xf borderId="10" fillId="6" fontId="1" numFmtId="0" xfId="0" applyAlignment="1" applyBorder="1" applyFont="1">
      <alignment horizontal="center"/>
    </xf>
    <xf borderId="13" fillId="6" fontId="1" numFmtId="0" xfId="0" applyAlignment="1" applyBorder="1" applyFont="1">
      <alignment horizontal="center"/>
    </xf>
    <xf borderId="10" fillId="10" fontId="1" numFmtId="0" xfId="0" applyAlignment="1" applyBorder="1" applyFill="1" applyFont="1">
      <alignment horizontal="center"/>
    </xf>
    <xf borderId="13" fillId="10" fontId="1" numFmtId="0" xfId="0" applyAlignment="1" applyBorder="1" applyFont="1">
      <alignment horizontal="center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6" fontId="1" numFmtId="0" xfId="0" applyAlignment="1" applyBorder="1" applyFont="1">
      <alignment horizontal="center" vertical="center"/>
    </xf>
    <xf borderId="19" fillId="0" fontId="2" numFmtId="0" xfId="0" applyBorder="1" applyFont="1"/>
    <xf borderId="20" fillId="8" fontId="3" numFmtId="0" xfId="0" applyBorder="1" applyFont="1"/>
    <xf borderId="21" fillId="9" fontId="1" numFmtId="0" xfId="0" applyAlignment="1" applyBorder="1" applyFont="1">
      <alignment horizontal="center"/>
    </xf>
    <xf borderId="22" fillId="9" fontId="1" numFmtId="164" xfId="0" applyAlignment="1" applyBorder="1" applyFont="1" applyNumberFormat="1">
      <alignment horizontal="center"/>
    </xf>
    <xf borderId="22" fillId="9" fontId="1" numFmtId="0" xfId="0" applyAlignment="1" applyBorder="1" applyFont="1">
      <alignment horizontal="center"/>
    </xf>
    <xf borderId="23" fillId="9" fontId="1" numFmtId="0" xfId="0" applyAlignment="1" applyBorder="1" applyFont="1">
      <alignment horizontal="center"/>
    </xf>
    <xf borderId="18" fillId="9" fontId="1" numFmtId="0" xfId="0" applyAlignment="1" applyBorder="1" applyFont="1">
      <alignment horizontal="center"/>
    </xf>
    <xf borderId="21" fillId="6" fontId="1" numFmtId="0" xfId="0" applyAlignment="1" applyBorder="1" applyFont="1">
      <alignment horizontal="center"/>
    </xf>
    <xf borderId="22" fillId="6" fontId="1" numFmtId="0" xfId="0" applyAlignment="1" applyBorder="1" applyFont="1">
      <alignment horizontal="center"/>
    </xf>
    <xf borderId="23" fillId="6" fontId="1" numFmtId="0" xfId="0" applyAlignment="1" applyBorder="1" applyFont="1">
      <alignment horizontal="center"/>
    </xf>
    <xf borderId="24" fillId="6" fontId="1" numFmtId="0" xfId="0" applyAlignment="1" applyBorder="1" applyFont="1">
      <alignment horizontal="center"/>
    </xf>
    <xf borderId="25" fillId="10" fontId="1" numFmtId="0" xfId="0" applyAlignment="1" applyBorder="1" applyFont="1">
      <alignment horizontal="center"/>
    </xf>
    <xf borderId="22" fillId="10" fontId="1" numFmtId="0" xfId="0" applyAlignment="1" applyBorder="1" applyFont="1">
      <alignment horizontal="center"/>
    </xf>
    <xf borderId="26" fillId="10" fontId="1" numFmtId="0" xfId="0" applyAlignment="1" applyBorder="1" applyFont="1">
      <alignment horizontal="center"/>
    </xf>
    <xf borderId="24" fillId="10" fontId="1" numFmtId="0" xfId="0" applyAlignment="1" applyBorder="1" applyFont="1">
      <alignment horizontal="center"/>
    </xf>
    <xf borderId="24" fillId="4" fontId="1" numFmtId="0" xfId="0" applyAlignment="1" applyBorder="1" applyFont="1">
      <alignment horizontal="center"/>
    </xf>
    <xf borderId="21" fillId="5" fontId="1" numFmtId="0" xfId="0" applyAlignment="1" applyBorder="1" applyFont="1">
      <alignment horizontal="center"/>
    </xf>
    <xf borderId="23" fillId="5" fontId="1" numFmtId="0" xfId="0" applyAlignment="1" applyBorder="1" applyFont="1">
      <alignment horizontal="center"/>
    </xf>
    <xf borderId="18" fillId="6" fontId="1" numFmtId="0" xfId="0" applyAlignment="1" applyBorder="1" applyFont="1">
      <alignment horizontal="center"/>
    </xf>
    <xf borderId="21" fillId="7" fontId="1" numFmtId="0" xfId="0" applyAlignment="1" applyBorder="1" applyFont="1">
      <alignment horizontal="center"/>
    </xf>
    <xf borderId="22" fillId="7" fontId="1" numFmtId="0" xfId="0" applyAlignment="1" applyBorder="1" applyFont="1">
      <alignment horizontal="center"/>
    </xf>
    <xf borderId="23" fillId="7" fontId="1" numFmtId="0" xfId="0" applyAlignment="1" applyBorder="1" applyFont="1">
      <alignment horizontal="center"/>
    </xf>
    <xf borderId="27" fillId="0" fontId="3" numFmtId="14" xfId="0" applyBorder="1" applyFont="1" applyNumberFormat="1"/>
    <xf borderId="28" fillId="9" fontId="3" numFmtId="0" xfId="0" applyAlignment="1" applyBorder="1" applyFont="1">
      <alignment horizontal="center"/>
    </xf>
    <xf borderId="29" fillId="9" fontId="3" numFmtId="164" xfId="0" applyBorder="1" applyFont="1" applyNumberFormat="1"/>
    <xf borderId="30" fillId="9" fontId="3" numFmtId="164" xfId="0" applyBorder="1" applyFont="1" applyNumberFormat="1"/>
    <xf borderId="30" fillId="9" fontId="3" numFmtId="0" xfId="0" applyBorder="1" applyFont="1"/>
    <xf borderId="31" fillId="9" fontId="3" numFmtId="0" xfId="0" applyAlignment="1" applyBorder="1" applyFont="1">
      <alignment horizontal="center"/>
    </xf>
    <xf borderId="32" fillId="9" fontId="3" numFmtId="0" xfId="0" applyAlignment="1" applyBorder="1" applyFont="1">
      <alignment horizontal="center"/>
    </xf>
    <xf borderId="28" fillId="6" fontId="3" numFmtId="0" xfId="0" applyAlignment="1" applyBorder="1" applyFont="1">
      <alignment horizontal="center"/>
    </xf>
    <xf borderId="30" fillId="6" fontId="3" numFmtId="164" xfId="0" applyBorder="1" applyFont="1" applyNumberFormat="1"/>
    <xf borderId="31" fillId="6" fontId="3" numFmtId="0" xfId="0" applyAlignment="1" applyBorder="1" applyFont="1">
      <alignment horizontal="center"/>
    </xf>
    <xf borderId="33" fillId="6" fontId="3" numFmtId="0" xfId="0" applyAlignment="1" applyBorder="1" applyFont="1">
      <alignment horizontal="center"/>
    </xf>
    <xf borderId="29" fillId="10" fontId="3" numFmtId="0" xfId="0" applyAlignment="1" applyBorder="1" applyFont="1">
      <alignment horizontal="center"/>
    </xf>
    <xf borderId="29" fillId="10" fontId="3" numFmtId="164" xfId="0" applyBorder="1" applyFont="1" applyNumberFormat="1"/>
    <xf borderId="30" fillId="10" fontId="3" numFmtId="164" xfId="0" applyBorder="1" applyFont="1" applyNumberFormat="1"/>
    <xf borderId="30" fillId="10" fontId="3" numFmtId="0" xfId="0" applyBorder="1" applyFont="1"/>
    <xf borderId="31" fillId="10" fontId="3" numFmtId="0" xfId="0" applyAlignment="1" applyBorder="1" applyFont="1">
      <alignment horizontal="center"/>
    </xf>
    <xf borderId="33" fillId="10" fontId="3" numFmtId="0" xfId="0" applyAlignment="1" applyBorder="1" applyFont="1">
      <alignment horizontal="center"/>
    </xf>
    <xf borderId="31" fillId="11" fontId="3" numFmtId="0" xfId="0" applyAlignment="1" applyBorder="1" applyFill="1" applyFont="1">
      <alignment horizontal="center"/>
    </xf>
    <xf borderId="34" fillId="0" fontId="3" numFmtId="164" xfId="0" applyBorder="1" applyFont="1" applyNumberFormat="1"/>
    <xf borderId="35" fillId="0" fontId="3" numFmtId="0" xfId="0" applyBorder="1" applyFont="1"/>
    <xf borderId="34" fillId="0" fontId="3" numFmtId="0" xfId="0" applyBorder="1" applyFont="1"/>
    <xf borderId="36" fillId="0" fontId="3" numFmtId="0" xfId="0" applyBorder="1" applyFont="1"/>
    <xf borderId="35" fillId="0" fontId="3" numFmtId="164" xfId="0" applyBorder="1" applyFont="1" applyNumberFormat="1"/>
    <xf borderId="37" fillId="0" fontId="3" numFmtId="164" xfId="0" applyBorder="1" applyFont="1" applyNumberFormat="1"/>
    <xf borderId="38" fillId="9" fontId="3" numFmtId="0" xfId="0" applyAlignment="1" applyBorder="1" applyFont="1">
      <alignment horizontal="center"/>
    </xf>
    <xf borderId="39" fillId="9" fontId="3" numFmtId="164" xfId="0" applyBorder="1" applyFont="1" applyNumberFormat="1"/>
    <xf borderId="40" fillId="9" fontId="3" numFmtId="0" xfId="0" applyBorder="1" applyFont="1"/>
    <xf borderId="41" fillId="9" fontId="3" numFmtId="0" xfId="0" applyAlignment="1" applyBorder="1" applyFont="1">
      <alignment horizontal="center"/>
    </xf>
    <xf borderId="42" fillId="9" fontId="3" numFmtId="0" xfId="0" applyAlignment="1" applyBorder="1" applyFont="1">
      <alignment horizontal="center"/>
    </xf>
    <xf borderId="38" fillId="6" fontId="3" numFmtId="0" xfId="0" applyAlignment="1" applyBorder="1" applyFont="1">
      <alignment horizontal="center"/>
    </xf>
    <xf borderId="40" fillId="6" fontId="3" numFmtId="164" xfId="0" applyBorder="1" applyFont="1" applyNumberFormat="1"/>
    <xf borderId="41" fillId="6" fontId="4" numFmtId="0" xfId="0" applyAlignment="1" applyBorder="1" applyFont="1">
      <alignment horizontal="center"/>
    </xf>
    <xf borderId="43" fillId="6" fontId="4" numFmtId="0" xfId="0" applyAlignment="1" applyBorder="1" applyFont="1">
      <alignment horizontal="center"/>
    </xf>
    <xf borderId="39" fillId="10" fontId="3" numFmtId="0" xfId="0" applyAlignment="1" applyBorder="1" applyFont="1">
      <alignment horizontal="center"/>
    </xf>
    <xf borderId="40" fillId="10" fontId="3" numFmtId="0" xfId="0" applyBorder="1" applyFont="1"/>
    <xf borderId="41" fillId="10" fontId="3" numFmtId="0" xfId="0" applyAlignment="1" applyBorder="1" applyFont="1">
      <alignment horizontal="center"/>
    </xf>
    <xf borderId="43" fillId="10" fontId="3" numFmtId="0" xfId="0" applyAlignment="1" applyBorder="1" applyFont="1">
      <alignment horizontal="center"/>
    </xf>
    <xf borderId="41" fillId="0" fontId="3" numFmtId="164" xfId="0" applyBorder="1" applyFont="1" applyNumberFormat="1"/>
    <xf borderId="38" fillId="0" fontId="3" numFmtId="0" xfId="0" applyBorder="1" applyFont="1"/>
    <xf borderId="41" fillId="0" fontId="3" numFmtId="0" xfId="0" applyBorder="1" applyFont="1"/>
    <xf borderId="44" fillId="0" fontId="3" numFmtId="0" xfId="0" applyBorder="1" applyFont="1"/>
    <xf borderId="38" fillId="0" fontId="3" numFmtId="164" xfId="0" applyBorder="1" applyFont="1" applyNumberFormat="1"/>
    <xf borderId="40" fillId="0" fontId="3" numFmtId="164" xfId="0" applyBorder="1" applyFont="1" applyNumberFormat="1"/>
    <xf borderId="41" fillId="6" fontId="3" numFmtId="0" xfId="0" applyAlignment="1" applyBorder="1" applyFont="1">
      <alignment horizontal="center"/>
    </xf>
    <xf borderId="43" fillId="6" fontId="3" numFmtId="0" xfId="0" applyAlignment="1" applyBorder="1" applyFont="1">
      <alignment horizontal="center"/>
    </xf>
    <xf borderId="41" fillId="9" fontId="4" numFmtId="0" xfId="0" applyAlignment="1" applyBorder="1" applyFont="1">
      <alignment horizontal="center"/>
    </xf>
    <xf borderId="39" fillId="9" fontId="3" numFmtId="0" xfId="0" applyBorder="1" applyFont="1"/>
    <xf borderId="45" fillId="9" fontId="3" numFmtId="0" xfId="0" applyAlignment="1" applyBorder="1" applyFont="1">
      <alignment horizontal="center"/>
    </xf>
    <xf borderId="46" fillId="9" fontId="3" numFmtId="0" xfId="0" applyBorder="1" applyFont="1"/>
    <xf borderId="47" fillId="9" fontId="3" numFmtId="0" xfId="0" applyBorder="1" applyFont="1"/>
    <xf borderId="48" fillId="9" fontId="3" numFmtId="0" xfId="0" applyAlignment="1" applyBorder="1" applyFont="1">
      <alignment horizontal="center"/>
    </xf>
    <xf borderId="49" fillId="9" fontId="3" numFmtId="0" xfId="0" applyAlignment="1" applyBorder="1" applyFont="1">
      <alignment horizontal="center"/>
    </xf>
    <xf borderId="45" fillId="6" fontId="3" numFmtId="0" xfId="0" applyAlignment="1" applyBorder="1" applyFont="1">
      <alignment horizontal="center"/>
    </xf>
    <xf borderId="47" fillId="6" fontId="3" numFmtId="164" xfId="0" applyBorder="1" applyFont="1" applyNumberFormat="1"/>
    <xf borderId="48" fillId="6" fontId="3" numFmtId="0" xfId="0" applyAlignment="1" applyBorder="1" applyFont="1">
      <alignment horizontal="center"/>
    </xf>
    <xf borderId="50" fillId="6" fontId="3" numFmtId="0" xfId="0" applyAlignment="1" applyBorder="1" applyFont="1">
      <alignment horizontal="center"/>
    </xf>
    <xf borderId="46" fillId="10" fontId="3" numFmtId="0" xfId="0" applyAlignment="1" applyBorder="1" applyFont="1">
      <alignment horizontal="center"/>
    </xf>
    <xf borderId="47" fillId="10" fontId="3" numFmtId="0" xfId="0" applyBorder="1" applyFont="1"/>
    <xf borderId="48" fillId="10" fontId="3" numFmtId="0" xfId="0" applyAlignment="1" applyBorder="1" applyFont="1">
      <alignment horizontal="center"/>
    </xf>
    <xf borderId="50" fillId="10" fontId="3" numFmtId="0" xfId="0" applyAlignment="1" applyBorder="1" applyFont="1">
      <alignment horizontal="center"/>
    </xf>
    <xf borderId="51" fillId="0" fontId="3" numFmtId="164" xfId="0" applyBorder="1" applyFont="1" applyNumberFormat="1"/>
    <xf borderId="52" fillId="0" fontId="3" numFmtId="0" xfId="0" applyBorder="1" applyFont="1"/>
    <xf borderId="51" fillId="0" fontId="3" numFmtId="0" xfId="0" applyBorder="1" applyFont="1"/>
    <xf borderId="53" fillId="0" fontId="3" numFmtId="0" xfId="0" applyBorder="1" applyFont="1"/>
    <xf borderId="20" fillId="8" fontId="3" numFmtId="14" xfId="0" applyBorder="1" applyFont="1" applyNumberFormat="1"/>
    <xf borderId="54" fillId="9" fontId="1" numFmtId="0" xfId="0" applyAlignment="1" applyBorder="1" applyFont="1">
      <alignment horizontal="center"/>
    </xf>
    <xf borderId="55" fillId="9" fontId="1" numFmtId="164" xfId="0" applyAlignment="1" applyBorder="1" applyFont="1" applyNumberFormat="1">
      <alignment horizontal="center"/>
    </xf>
    <xf borderId="55" fillId="9" fontId="1" numFmtId="0" xfId="0" applyAlignment="1" applyBorder="1" applyFont="1">
      <alignment horizontal="center"/>
    </xf>
    <xf borderId="55" fillId="6" fontId="1" numFmtId="0" xfId="0" applyAlignment="1" applyBorder="1" applyFont="1">
      <alignment horizontal="center"/>
    </xf>
    <xf borderId="55" fillId="6" fontId="1" numFmtId="164" xfId="0" applyAlignment="1" applyBorder="1" applyFont="1" applyNumberFormat="1">
      <alignment horizontal="center"/>
    </xf>
    <xf borderId="55" fillId="10" fontId="1" numFmtId="0" xfId="0" applyAlignment="1" applyBorder="1" applyFont="1">
      <alignment horizontal="center"/>
    </xf>
    <xf borderId="55" fillId="10" fontId="1" numFmtId="164" xfId="0" applyAlignment="1" applyBorder="1" applyFont="1" applyNumberFormat="1">
      <alignment horizontal="center"/>
    </xf>
    <xf borderId="55" fillId="10" fontId="1" numFmtId="2" xfId="0" applyAlignment="1" applyBorder="1" applyFont="1" applyNumberFormat="1">
      <alignment horizontal="center"/>
    </xf>
    <xf borderId="56" fillId="3" fontId="1" numFmtId="2" xfId="0" applyAlignment="1" applyBorder="1" applyFont="1" applyNumberFormat="1">
      <alignment horizontal="center"/>
    </xf>
    <xf borderId="57" fillId="4" fontId="1" numFmtId="0" xfId="0" applyAlignment="1" applyBorder="1" applyFont="1">
      <alignment horizontal="center"/>
    </xf>
    <xf borderId="57" fillId="5" fontId="1" numFmtId="0" xfId="0" applyAlignment="1" applyBorder="1" applyFont="1">
      <alignment horizontal="center"/>
    </xf>
    <xf borderId="57" fillId="6" fontId="1" numFmtId="0" xfId="0" applyAlignment="1" applyBorder="1" applyFont="1">
      <alignment horizontal="center"/>
    </xf>
    <xf borderId="57" fillId="7" fontId="1" numFmtId="164" xfId="0" applyAlignment="1" applyBorder="1" applyFont="1" applyNumberFormat="1">
      <alignment horizontal="center"/>
    </xf>
    <xf borderId="58" fillId="7" fontId="1" numFmtId="164" xfId="0" applyAlignment="1" applyBorder="1" applyFont="1" applyNumberFormat="1">
      <alignment horizontal="center"/>
    </xf>
    <xf borderId="0" fillId="0" fontId="3" numFmtId="164" xfId="0" applyFont="1" applyNumberFormat="1"/>
    <xf borderId="0" fillId="0" fontId="3" numFmtId="0" xfId="0" applyFont="1"/>
    <xf borderId="59" fillId="12" fontId="3" numFmtId="0" xfId="0" applyBorder="1" applyFill="1" applyFont="1"/>
    <xf borderId="59" fillId="12" fontId="3" numFmtId="164" xfId="0" applyBorder="1" applyFont="1" applyNumberFormat="1"/>
    <xf borderId="0" fillId="0" fontId="5" numFmtId="0" xfId="0" applyFont="1"/>
    <xf borderId="59" fillId="10" fontId="1" numFmtId="0" xfId="0" applyBorder="1" applyFont="1"/>
    <xf borderId="59" fillId="10" fontId="3" numFmtId="164" xfId="0" applyBorder="1" applyFont="1" applyNumberFormat="1"/>
    <xf borderId="0" fillId="0" fontId="1" numFmtId="0" xfId="0" applyFont="1"/>
    <xf borderId="10" fillId="13" fontId="1" numFmtId="0" xfId="0" applyAlignment="1" applyBorder="1" applyFill="1" applyFont="1">
      <alignment horizontal="center"/>
    </xf>
    <xf borderId="13" fillId="13" fontId="1" numFmtId="0" xfId="0" applyAlignment="1" applyBorder="1" applyFont="1">
      <alignment horizontal="center"/>
    </xf>
    <xf borderId="60" fillId="14" fontId="1" numFmtId="0" xfId="0" applyAlignment="1" applyBorder="1" applyFill="1" applyFont="1">
      <alignment horizontal="center"/>
    </xf>
    <xf borderId="13" fillId="14" fontId="1" numFmtId="0" xfId="0" applyAlignment="1" applyBorder="1" applyFont="1">
      <alignment horizontal="center"/>
    </xf>
    <xf borderId="10" fillId="12" fontId="1" numFmtId="0" xfId="0" applyAlignment="1" applyBorder="1" applyFont="1">
      <alignment horizontal="center"/>
    </xf>
    <xf borderId="13" fillId="12" fontId="1" numFmtId="0" xfId="0" applyAlignment="1" applyBorder="1" applyFont="1">
      <alignment horizontal="center"/>
    </xf>
    <xf borderId="21" fillId="11" fontId="1" numFmtId="0" xfId="0" applyAlignment="1" applyBorder="1" applyFont="1">
      <alignment horizontal="center"/>
    </xf>
    <xf borderId="22" fillId="13" fontId="1" numFmtId="164" xfId="0" applyAlignment="1" applyBorder="1" applyFont="1" applyNumberFormat="1">
      <alignment horizontal="center"/>
    </xf>
    <xf borderId="22" fillId="13" fontId="1" numFmtId="0" xfId="0" applyAlignment="1" applyBorder="1" applyFont="1">
      <alignment horizontal="center"/>
    </xf>
    <xf borderId="23" fillId="15" fontId="1" numFmtId="0" xfId="0" applyAlignment="1" applyBorder="1" applyFill="1" applyFont="1">
      <alignment horizontal="center"/>
    </xf>
    <xf borderId="18" fillId="15" fontId="1" numFmtId="0" xfId="0" applyAlignment="1" applyBorder="1" applyFont="1">
      <alignment horizontal="center"/>
    </xf>
    <xf borderId="21" fillId="16" fontId="1" numFmtId="0" xfId="0" applyAlignment="1" applyBorder="1" applyFill="1" applyFont="1">
      <alignment horizontal="center"/>
    </xf>
    <xf borderId="22" fillId="14" fontId="1" numFmtId="0" xfId="0" applyAlignment="1" applyBorder="1" applyFont="1">
      <alignment horizontal="center"/>
    </xf>
    <xf borderId="23" fillId="16" fontId="1" numFmtId="0" xfId="0" applyAlignment="1" applyBorder="1" applyFont="1">
      <alignment horizontal="center"/>
    </xf>
    <xf borderId="24" fillId="15" fontId="1" numFmtId="0" xfId="0" applyAlignment="1" applyBorder="1" applyFont="1">
      <alignment horizontal="center"/>
    </xf>
    <xf borderId="25" fillId="16" fontId="1" numFmtId="0" xfId="0" applyAlignment="1" applyBorder="1" applyFont="1">
      <alignment horizontal="center"/>
    </xf>
    <xf borderId="25" fillId="12" fontId="1" numFmtId="0" xfId="0" applyAlignment="1" applyBorder="1" applyFont="1">
      <alignment horizontal="center"/>
    </xf>
    <xf borderId="22" fillId="12" fontId="1" numFmtId="0" xfId="0" applyAlignment="1" applyBorder="1" applyFont="1">
      <alignment horizontal="center"/>
    </xf>
    <xf borderId="26" fillId="12" fontId="1" numFmtId="0" xfId="0" applyAlignment="1" applyBorder="1" applyFont="1">
      <alignment horizontal="center"/>
    </xf>
    <xf borderId="26" fillId="15" fontId="1" numFmtId="0" xfId="0" applyAlignment="1" applyBorder="1" applyFont="1">
      <alignment horizontal="center"/>
    </xf>
    <xf borderId="28" fillId="11" fontId="3" numFmtId="0" xfId="0" applyAlignment="1" applyBorder="1" applyFont="1">
      <alignment horizontal="center"/>
    </xf>
    <xf borderId="61" fillId="0" fontId="3" numFmtId="164" xfId="0" applyBorder="1" applyFont="1" applyNumberFormat="1"/>
    <xf borderId="37" fillId="0" fontId="3" numFmtId="0" xfId="0" applyBorder="1" applyFont="1"/>
    <xf borderId="32" fillId="11" fontId="3" numFmtId="0" xfId="0" applyAlignment="1" applyBorder="1" applyFont="1">
      <alignment horizontal="center"/>
    </xf>
    <xf borderId="33" fillId="11" fontId="3" numFmtId="0" xfId="0" applyAlignment="1" applyBorder="1" applyFont="1">
      <alignment horizontal="center"/>
    </xf>
    <xf borderId="29" fillId="11" fontId="3" numFmtId="0" xfId="0" applyAlignment="1" applyBorder="1" applyFont="1">
      <alignment horizontal="center"/>
    </xf>
    <xf borderId="38" fillId="11" fontId="3" numFmtId="0" xfId="0" applyAlignment="1" applyBorder="1" applyFont="1">
      <alignment horizontal="center"/>
    </xf>
    <xf borderId="62" fillId="0" fontId="3" numFmtId="164" xfId="0" applyBorder="1" applyFont="1" applyNumberFormat="1"/>
    <xf borderId="40" fillId="0" fontId="3" numFmtId="0" xfId="0" applyBorder="1" applyFont="1"/>
    <xf borderId="41" fillId="11" fontId="3" numFmtId="0" xfId="0" applyAlignment="1" applyBorder="1" applyFont="1">
      <alignment horizontal="center"/>
    </xf>
    <xf borderId="42" fillId="11" fontId="3" numFmtId="0" xfId="0" applyAlignment="1" applyBorder="1" applyFont="1">
      <alignment horizontal="center"/>
    </xf>
    <xf borderId="41" fillId="17" fontId="4" numFmtId="0" xfId="0" applyAlignment="1" applyBorder="1" applyFill="1" applyFont="1">
      <alignment horizontal="center"/>
    </xf>
    <xf borderId="43" fillId="17" fontId="4" numFmtId="0" xfId="0" applyAlignment="1" applyBorder="1" applyFont="1">
      <alignment horizontal="center"/>
    </xf>
    <xf borderId="39" fillId="11" fontId="3" numFmtId="0" xfId="0" applyAlignment="1" applyBorder="1" applyFont="1">
      <alignment horizontal="center"/>
    </xf>
    <xf borderId="41" fillId="17" fontId="3" numFmtId="0" xfId="0" applyAlignment="1" applyBorder="1" applyFont="1">
      <alignment horizontal="center"/>
    </xf>
    <xf borderId="43" fillId="17" fontId="3" numFmtId="0" xfId="0" applyAlignment="1" applyBorder="1" applyFont="1">
      <alignment horizontal="center"/>
    </xf>
    <xf borderId="42" fillId="17" fontId="3" numFmtId="0" xfId="0" applyAlignment="1" applyBorder="1" applyFont="1">
      <alignment horizontal="center"/>
    </xf>
    <xf borderId="38" fillId="15" fontId="3" numFmtId="0" xfId="0" applyAlignment="1" applyBorder="1" applyFont="1">
      <alignment horizontal="center"/>
    </xf>
    <xf borderId="62" fillId="0" fontId="3" numFmtId="0" xfId="0" applyBorder="1" applyFont="1"/>
    <xf borderId="43" fillId="11" fontId="3" numFmtId="0" xfId="0" applyAlignment="1" applyBorder="1" applyFont="1">
      <alignment horizontal="center"/>
    </xf>
    <xf borderId="45" fillId="11" fontId="3" numFmtId="0" xfId="0" applyAlignment="1" applyBorder="1" applyFont="1">
      <alignment horizontal="center"/>
    </xf>
    <xf borderId="63" fillId="0" fontId="3" numFmtId="0" xfId="0" applyBorder="1" applyFont="1"/>
    <xf borderId="64" fillId="0" fontId="3" numFmtId="0" xfId="0" applyBorder="1" applyFont="1"/>
    <xf borderId="48" fillId="11" fontId="3" numFmtId="0" xfId="0" applyAlignment="1" applyBorder="1" applyFont="1">
      <alignment horizontal="center"/>
    </xf>
    <xf borderId="49" fillId="11" fontId="3" numFmtId="0" xfId="0" applyAlignment="1" applyBorder="1" applyFont="1">
      <alignment horizontal="center"/>
    </xf>
    <xf borderId="64" fillId="0" fontId="3" numFmtId="164" xfId="0" applyBorder="1" applyFont="1" applyNumberFormat="1"/>
    <xf borderId="50" fillId="11" fontId="3" numFmtId="0" xfId="0" applyAlignment="1" applyBorder="1" applyFont="1">
      <alignment horizontal="center"/>
    </xf>
    <xf borderId="46" fillId="11" fontId="3" numFmtId="0" xfId="0" applyAlignment="1" applyBorder="1" applyFont="1">
      <alignment horizontal="center"/>
    </xf>
    <xf borderId="52" fillId="0" fontId="3" numFmtId="164" xfId="0" applyBorder="1" applyFont="1" applyNumberFormat="1"/>
    <xf borderId="65" fillId="0" fontId="3" numFmtId="164" xfId="0" applyBorder="1" applyFont="1" applyNumberFormat="1"/>
    <xf borderId="54" fillId="13" fontId="1" numFmtId="0" xfId="0" applyAlignment="1" applyBorder="1" applyFont="1">
      <alignment horizontal="center"/>
    </xf>
    <xf borderId="55" fillId="13" fontId="1" numFmtId="164" xfId="0" applyAlignment="1" applyBorder="1" applyFont="1" applyNumberFormat="1">
      <alignment horizontal="center"/>
    </xf>
    <xf borderId="55" fillId="13" fontId="1" numFmtId="0" xfId="0" applyAlignment="1" applyBorder="1" applyFont="1">
      <alignment horizontal="center"/>
    </xf>
    <xf borderId="55" fillId="14" fontId="1" numFmtId="0" xfId="0" applyAlignment="1" applyBorder="1" applyFont="1">
      <alignment horizontal="center"/>
    </xf>
    <xf borderId="55" fillId="14" fontId="1" numFmtId="164" xfId="0" applyAlignment="1" applyBorder="1" applyFont="1" applyNumberFormat="1">
      <alignment horizontal="center"/>
    </xf>
    <xf borderId="55" fillId="12" fontId="1" numFmtId="0" xfId="0" applyAlignment="1" applyBorder="1" applyFont="1">
      <alignment horizontal="center"/>
    </xf>
    <xf borderId="55" fillId="12" fontId="1" numFmtId="164" xfId="0" applyAlignment="1" applyBorder="1" applyFont="1" applyNumberFormat="1">
      <alignment horizontal="center"/>
    </xf>
    <xf borderId="55" fillId="12" fontId="1" numFmtId="2" xfId="0" applyAlignment="1" applyBorder="1" applyFont="1" applyNumberFormat="1">
      <alignment horizontal="center"/>
    </xf>
    <xf borderId="10" fillId="18" fontId="1" numFmtId="0" xfId="0" applyAlignment="1" applyBorder="1" applyFill="1" applyFont="1">
      <alignment horizontal="center"/>
    </xf>
    <xf borderId="13" fillId="18" fontId="1" numFmtId="0" xfId="0" applyAlignment="1" applyBorder="1" applyFont="1">
      <alignment horizontal="center"/>
    </xf>
    <xf borderId="60" fillId="19" fontId="1" numFmtId="0" xfId="0" applyAlignment="1" applyBorder="1" applyFill="1" applyFont="1">
      <alignment horizontal="center"/>
    </xf>
    <xf borderId="13" fillId="19" fontId="1" numFmtId="0" xfId="0" applyAlignment="1" applyBorder="1" applyFont="1">
      <alignment horizontal="center"/>
    </xf>
    <xf borderId="10" fillId="20" fontId="1" numFmtId="0" xfId="0" applyAlignment="1" applyBorder="1" applyFill="1" applyFont="1">
      <alignment horizontal="center"/>
    </xf>
    <xf borderId="13" fillId="20" fontId="1" numFmtId="0" xfId="0" applyAlignment="1" applyBorder="1" applyFont="1">
      <alignment horizontal="center"/>
    </xf>
    <xf borderId="21" fillId="18" fontId="1" numFmtId="0" xfId="0" applyAlignment="1" applyBorder="1" applyFont="1">
      <alignment horizontal="center"/>
    </xf>
    <xf borderId="22" fillId="18" fontId="1" numFmtId="164" xfId="0" applyAlignment="1" applyBorder="1" applyFont="1" applyNumberFormat="1">
      <alignment horizontal="center"/>
    </xf>
    <xf borderId="22" fillId="18" fontId="1" numFmtId="0" xfId="0" applyAlignment="1" applyBorder="1" applyFont="1">
      <alignment horizontal="center"/>
    </xf>
    <xf borderId="23" fillId="18" fontId="1" numFmtId="0" xfId="0" applyAlignment="1" applyBorder="1" applyFont="1">
      <alignment horizontal="center"/>
    </xf>
    <xf borderId="18" fillId="18" fontId="1" numFmtId="0" xfId="0" applyAlignment="1" applyBorder="1" applyFont="1">
      <alignment horizontal="center"/>
    </xf>
    <xf borderId="21" fillId="19" fontId="1" numFmtId="0" xfId="0" applyAlignment="1" applyBorder="1" applyFont="1">
      <alignment horizontal="center"/>
    </xf>
    <xf borderId="22" fillId="19" fontId="1" numFmtId="0" xfId="0" applyAlignment="1" applyBorder="1" applyFont="1">
      <alignment horizontal="center"/>
    </xf>
    <xf borderId="23" fillId="19" fontId="1" numFmtId="0" xfId="0" applyAlignment="1" applyBorder="1" applyFont="1">
      <alignment horizontal="center"/>
    </xf>
    <xf borderId="24" fillId="19" fontId="1" numFmtId="0" xfId="0" applyAlignment="1" applyBorder="1" applyFont="1">
      <alignment horizontal="center"/>
    </xf>
    <xf borderId="25" fillId="20" fontId="1" numFmtId="0" xfId="0" applyAlignment="1" applyBorder="1" applyFont="1">
      <alignment horizontal="center"/>
    </xf>
    <xf borderId="22" fillId="20" fontId="1" numFmtId="0" xfId="0" applyAlignment="1" applyBorder="1" applyFont="1">
      <alignment horizontal="center"/>
    </xf>
    <xf borderId="26" fillId="20" fontId="1" numFmtId="0" xfId="0" applyAlignment="1" applyBorder="1" applyFont="1">
      <alignment horizontal="center"/>
    </xf>
    <xf borderId="24" fillId="20" fontId="1" numFmtId="0" xfId="0" applyAlignment="1" applyBorder="1" applyFont="1">
      <alignment horizontal="center"/>
    </xf>
    <xf borderId="28" fillId="18" fontId="3" numFmtId="0" xfId="0" applyAlignment="1" applyBorder="1" applyFont="1">
      <alignment horizontal="center"/>
    </xf>
    <xf borderId="29" fillId="18" fontId="3" numFmtId="164" xfId="0" applyBorder="1" applyFont="1" applyNumberFormat="1"/>
    <xf borderId="30" fillId="18" fontId="3" numFmtId="164" xfId="0" applyBorder="1" applyFont="1" applyNumberFormat="1"/>
    <xf borderId="30" fillId="18" fontId="3" numFmtId="0" xfId="0" applyBorder="1" applyFont="1"/>
    <xf borderId="31" fillId="17" fontId="3" numFmtId="0" xfId="0" applyAlignment="1" applyBorder="1" applyFont="1">
      <alignment horizontal="center"/>
    </xf>
    <xf borderId="32" fillId="17" fontId="3" numFmtId="0" xfId="0" applyAlignment="1" applyBorder="1" applyFont="1">
      <alignment horizontal="center"/>
    </xf>
    <xf borderId="28" fillId="19" fontId="3" numFmtId="0" xfId="0" applyAlignment="1" applyBorder="1" applyFont="1">
      <alignment horizontal="center"/>
    </xf>
    <xf borderId="30" fillId="19" fontId="3" numFmtId="164" xfId="0" applyBorder="1" applyFont="1" applyNumberFormat="1"/>
    <xf borderId="31" fillId="19" fontId="3" numFmtId="0" xfId="0" applyAlignment="1" applyBorder="1" applyFont="1">
      <alignment horizontal="center"/>
    </xf>
    <xf borderId="33" fillId="19" fontId="3" numFmtId="0" xfId="0" applyAlignment="1" applyBorder="1" applyFont="1">
      <alignment horizontal="center"/>
    </xf>
    <xf borderId="29" fillId="20" fontId="3" numFmtId="0" xfId="0" applyAlignment="1" applyBorder="1" applyFont="1">
      <alignment horizontal="center"/>
    </xf>
    <xf borderId="29" fillId="20" fontId="3" numFmtId="164" xfId="0" applyBorder="1" applyFont="1" applyNumberFormat="1"/>
    <xf borderId="30" fillId="20" fontId="3" numFmtId="164" xfId="0" applyBorder="1" applyFont="1" applyNumberFormat="1"/>
    <xf borderId="30" fillId="20" fontId="3" numFmtId="0" xfId="0" applyBorder="1" applyFont="1"/>
    <xf borderId="31" fillId="20" fontId="3" numFmtId="0" xfId="0" applyAlignment="1" applyBorder="1" applyFont="1">
      <alignment horizontal="center"/>
    </xf>
    <xf borderId="33" fillId="20" fontId="3" numFmtId="0" xfId="0" applyAlignment="1" applyBorder="1" applyFont="1">
      <alignment horizontal="center"/>
    </xf>
    <xf borderId="38" fillId="18" fontId="3" numFmtId="0" xfId="0" applyAlignment="1" applyBorder="1" applyFont="1">
      <alignment horizontal="center"/>
    </xf>
    <xf borderId="39" fillId="18" fontId="3" numFmtId="164" xfId="0" applyBorder="1" applyFont="1" applyNumberFormat="1"/>
    <xf borderId="38" fillId="19" fontId="3" numFmtId="0" xfId="0" applyAlignment="1" applyBorder="1" applyFont="1">
      <alignment horizontal="center"/>
    </xf>
    <xf borderId="40" fillId="19" fontId="3" numFmtId="164" xfId="0" applyBorder="1" applyFont="1" applyNumberFormat="1"/>
    <xf borderId="39" fillId="20" fontId="3" numFmtId="0" xfId="0" applyAlignment="1" applyBorder="1" applyFont="1">
      <alignment horizontal="center"/>
    </xf>
    <xf borderId="40" fillId="20" fontId="3" numFmtId="0" xfId="0" applyBorder="1" applyFont="1"/>
    <xf borderId="41" fillId="20" fontId="3" numFmtId="0" xfId="0" applyAlignment="1" applyBorder="1" applyFont="1">
      <alignment horizontal="center"/>
    </xf>
    <xf borderId="43" fillId="20" fontId="3" numFmtId="0" xfId="0" applyAlignment="1" applyBorder="1" applyFont="1">
      <alignment horizontal="center"/>
    </xf>
    <xf borderId="41" fillId="19" fontId="3" numFmtId="0" xfId="0" applyAlignment="1" applyBorder="1" applyFont="1">
      <alignment horizontal="center"/>
    </xf>
    <xf borderId="43" fillId="19" fontId="3" numFmtId="0" xfId="0" applyAlignment="1" applyBorder="1" applyFont="1">
      <alignment horizontal="center"/>
    </xf>
    <xf borderId="39" fillId="18" fontId="3" numFmtId="0" xfId="0" applyBorder="1" applyFont="1"/>
    <xf borderId="41" fillId="18" fontId="3" numFmtId="0" xfId="0" applyAlignment="1" applyBorder="1" applyFont="1">
      <alignment horizontal="center"/>
    </xf>
    <xf borderId="42" fillId="18" fontId="3" numFmtId="0" xfId="0" applyAlignment="1" applyBorder="1" applyFont="1">
      <alignment horizontal="center"/>
    </xf>
    <xf borderId="45" fillId="18" fontId="3" numFmtId="0" xfId="0" applyAlignment="1" applyBorder="1" applyFont="1">
      <alignment horizontal="center"/>
    </xf>
    <xf borderId="46" fillId="18" fontId="3" numFmtId="0" xfId="0" applyBorder="1" applyFont="1"/>
    <xf borderId="48" fillId="18" fontId="3" numFmtId="0" xfId="0" applyAlignment="1" applyBorder="1" applyFont="1">
      <alignment horizontal="center"/>
    </xf>
    <xf borderId="49" fillId="18" fontId="3" numFmtId="0" xfId="0" applyAlignment="1" applyBorder="1" applyFont="1">
      <alignment horizontal="center"/>
    </xf>
    <xf borderId="45" fillId="19" fontId="3" numFmtId="0" xfId="0" applyAlignment="1" applyBorder="1" applyFont="1">
      <alignment horizontal="center"/>
    </xf>
    <xf borderId="47" fillId="19" fontId="3" numFmtId="164" xfId="0" applyBorder="1" applyFont="1" applyNumberFormat="1"/>
    <xf borderId="48" fillId="19" fontId="3" numFmtId="0" xfId="0" applyAlignment="1" applyBorder="1" applyFont="1">
      <alignment horizontal="center"/>
    </xf>
    <xf borderId="50" fillId="19" fontId="3" numFmtId="0" xfId="0" applyAlignment="1" applyBorder="1" applyFont="1">
      <alignment horizontal="center"/>
    </xf>
    <xf borderId="46" fillId="20" fontId="3" numFmtId="0" xfId="0" applyAlignment="1" applyBorder="1" applyFont="1">
      <alignment horizontal="center"/>
    </xf>
    <xf borderId="47" fillId="20" fontId="3" numFmtId="0" xfId="0" applyBorder="1" applyFont="1"/>
    <xf borderId="48" fillId="20" fontId="3" numFmtId="0" xfId="0" applyAlignment="1" applyBorder="1" applyFont="1">
      <alignment horizontal="center"/>
    </xf>
    <xf borderId="50" fillId="20" fontId="3" numFmtId="0" xfId="0" applyAlignment="1" applyBorder="1" applyFont="1">
      <alignment horizontal="center"/>
    </xf>
    <xf borderId="54" fillId="18" fontId="1" numFmtId="0" xfId="0" applyAlignment="1" applyBorder="1" applyFont="1">
      <alignment horizontal="center"/>
    </xf>
    <xf borderId="55" fillId="18" fontId="1" numFmtId="164" xfId="0" applyAlignment="1" applyBorder="1" applyFont="1" applyNumberFormat="1">
      <alignment horizontal="center"/>
    </xf>
    <xf borderId="55" fillId="17" fontId="1" numFmtId="164" xfId="0" applyAlignment="1" applyBorder="1" applyFont="1" applyNumberFormat="1">
      <alignment horizontal="center"/>
    </xf>
    <xf borderId="55" fillId="18" fontId="1" numFmtId="0" xfId="0" applyAlignment="1" applyBorder="1" applyFont="1">
      <alignment horizontal="center"/>
    </xf>
    <xf borderId="55" fillId="19" fontId="1" numFmtId="0" xfId="0" applyAlignment="1" applyBorder="1" applyFont="1">
      <alignment horizontal="center"/>
    </xf>
    <xf borderId="55" fillId="19" fontId="1" numFmtId="164" xfId="0" applyAlignment="1" applyBorder="1" applyFont="1" applyNumberFormat="1">
      <alignment horizontal="center"/>
    </xf>
    <xf borderId="55" fillId="20" fontId="1" numFmtId="0" xfId="0" applyAlignment="1" applyBorder="1" applyFont="1">
      <alignment horizontal="center"/>
    </xf>
    <xf borderId="55" fillId="20" fontId="1" numFmtId="164" xfId="0" applyAlignment="1" applyBorder="1" applyFont="1" applyNumberFormat="1">
      <alignment horizontal="center"/>
    </xf>
    <xf borderId="55" fillId="20" fontId="1" numFmtId="2" xfId="0" applyAlignment="1" applyBorder="1" applyFont="1" applyNumberFormat="1">
      <alignment horizontal="center"/>
    </xf>
    <xf borderId="31" fillId="18" fontId="3" numFmtId="0" xfId="0" applyAlignment="1" applyBorder="1" applyFont="1">
      <alignment horizontal="center"/>
    </xf>
    <xf borderId="32" fillId="18" fontId="3" numFmtId="0" xfId="0" applyAlignment="1" applyBorder="1" applyFont="1">
      <alignment horizontal="center"/>
    </xf>
    <xf borderId="33" fillId="17" fontId="3" numFmtId="0" xfId="0" applyAlignment="1" applyBorder="1" applyFont="1">
      <alignment horizontal="center"/>
    </xf>
    <xf borderId="33" fillId="17" fontId="6" numFmtId="0" xfId="0" applyAlignment="1" applyBorder="1" applyFont="1">
      <alignment horizontal="center"/>
    </xf>
    <xf borderId="38" fillId="19" fontId="7" numFmtId="0" xfId="0" applyAlignment="1" applyBorder="1" applyFont="1">
      <alignment horizontal="center"/>
    </xf>
    <xf borderId="31" fillId="21" fontId="3" numFmtId="0" xfId="0" applyAlignment="1" applyBorder="1" applyFill="1" applyFont="1">
      <alignment horizontal="center"/>
    </xf>
    <xf borderId="33" fillId="21" fontId="3" numFmtId="0" xfId="0" applyAlignment="1" applyBorder="1" applyFont="1">
      <alignment horizontal="center"/>
    </xf>
    <xf borderId="41" fillId="21" fontId="3" numFmtId="0" xfId="0" applyAlignment="1" applyBorder="1" applyFont="1">
      <alignment horizontal="center"/>
    </xf>
    <xf borderId="43" fillId="21" fontId="3" numFmtId="0" xfId="0" applyAlignment="1" applyBorder="1" applyFont="1">
      <alignment horizontal="center"/>
    </xf>
    <xf borderId="59" fillId="14" fontId="1" numFmtId="0" xfId="0" applyBorder="1" applyFont="1"/>
    <xf borderId="59" fillId="14" fontId="3" numFmtId="164" xfId="0" applyBorder="1" applyFont="1" applyNumberFormat="1"/>
    <xf borderId="33" fillId="19" fontId="8" numFmtId="0" xfId="0" applyAlignment="1" applyBorder="1" applyFont="1">
      <alignment horizontal="center"/>
    </xf>
    <xf borderId="66" fillId="18" fontId="3" numFmtId="164" xfId="0" applyBorder="1" applyFont="1" applyNumberFormat="1"/>
    <xf borderId="67" fillId="18" fontId="3" numFmtId="164" xfId="0" applyBorder="1" applyFont="1" applyNumberFormat="1"/>
    <xf borderId="67" fillId="18" fontId="3" numFmtId="0" xfId="0" applyBorder="1" applyFont="1"/>
    <xf borderId="59" fillId="18" fontId="3" numFmtId="0" xfId="0" applyAlignment="1" applyBorder="1" applyFont="1">
      <alignment horizontal="center"/>
    </xf>
    <xf borderId="67" fillId="19" fontId="3" numFmtId="164" xfId="0" applyBorder="1" applyFont="1" applyNumberFormat="1"/>
    <xf borderId="66" fillId="20" fontId="3" numFmtId="164" xfId="0" applyBorder="1" applyFont="1" applyNumberFormat="1"/>
    <xf borderId="67" fillId="20" fontId="3" numFmtId="164" xfId="0" applyBorder="1" applyFont="1" applyNumberFormat="1"/>
    <xf borderId="68" fillId="11" fontId="3" numFmtId="0" xfId="0" applyAlignment="1" applyBorder="1" applyFont="1">
      <alignment horizontal="center"/>
    </xf>
    <xf borderId="69" fillId="0" fontId="3" numFmtId="164" xfId="0" applyBorder="1" applyFont="1" applyNumberFormat="1"/>
    <xf borderId="70" fillId="0" fontId="3" numFmtId="0" xfId="0" applyBorder="1" applyFont="1"/>
    <xf borderId="69" fillId="0" fontId="3" numFmtId="0" xfId="0" applyBorder="1" applyFont="1"/>
    <xf borderId="71" fillId="0" fontId="3" numFmtId="164" xfId="0" applyBorder="1" applyFont="1" applyNumberFormat="1"/>
    <xf borderId="72" fillId="0" fontId="3" numFmtId="164" xfId="0" applyBorder="1" applyFont="1" applyNumberFormat="1"/>
    <xf borderId="73" fillId="0" fontId="3" numFmtId="164" xfId="0" applyBorder="1" applyFont="1" applyNumberFormat="1"/>
    <xf borderId="55" fillId="18" fontId="3" numFmtId="0" xfId="0" applyAlignment="1" applyBorder="1" applyFont="1">
      <alignment horizontal="center"/>
    </xf>
    <xf borderId="60" fillId="6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17.43"/>
    <col customWidth="1" min="5" max="6" width="10.71"/>
    <col customWidth="1" min="7" max="7" width="11.43"/>
    <col customWidth="1" min="8" max="8" width="0.14"/>
    <col customWidth="1" hidden="1" min="9" max="9" width="11.43"/>
    <col customWidth="1" hidden="1" min="10" max="10" width="20.0"/>
    <col customWidth="1" hidden="1" min="11" max="13" width="11.43"/>
    <col customWidth="1" min="14" max="15" width="10.71"/>
    <col customWidth="1" min="16" max="16" width="19.57"/>
    <col customWidth="1" min="17" max="23" width="10.71"/>
    <col customWidth="1" min="24" max="24" width="14.29"/>
    <col customWidth="1" min="25" max="25" width="12.71"/>
    <col customWidth="1" min="26" max="26" width="15.0"/>
    <col customWidth="1" min="27" max="27" width="18.29"/>
    <col customWidth="1" min="28" max="28" width="10.71"/>
  </cols>
  <sheetData>
    <row r="6">
      <c r="C6" s="1" t="s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4"/>
      <c r="S6" s="4"/>
      <c r="T6" s="5" t="s">
        <v>1</v>
      </c>
      <c r="U6" s="6" t="s">
        <v>2</v>
      </c>
      <c r="V6" s="7" t="s">
        <v>3</v>
      </c>
      <c r="W6" s="8"/>
      <c r="X6" s="9"/>
      <c r="Y6" s="10" t="s">
        <v>4</v>
      </c>
      <c r="Z6" s="11"/>
      <c r="AA6" s="8"/>
    </row>
    <row r="7">
      <c r="A7" s="12"/>
      <c r="B7" s="13" t="s">
        <v>5</v>
      </c>
      <c r="C7" s="14"/>
      <c r="D7" s="14"/>
      <c r="E7" s="14"/>
      <c r="F7" s="15"/>
      <c r="G7" s="16"/>
      <c r="H7" s="17" t="s">
        <v>6</v>
      </c>
      <c r="I7" s="14"/>
      <c r="J7" s="14"/>
      <c r="K7" s="14"/>
      <c r="L7" s="15"/>
      <c r="M7" s="18"/>
      <c r="N7" s="19" t="s">
        <v>7</v>
      </c>
      <c r="O7" s="14"/>
      <c r="P7" s="14"/>
      <c r="Q7" s="14"/>
      <c r="R7" s="15"/>
      <c r="S7" s="20"/>
      <c r="T7" s="21"/>
      <c r="U7" s="22"/>
      <c r="V7" s="23"/>
      <c r="W7" s="24"/>
      <c r="X7" s="25"/>
      <c r="Y7" s="23"/>
      <c r="Z7" s="26"/>
      <c r="AA7" s="24"/>
    </row>
    <row r="8">
      <c r="A8" s="27" t="s">
        <v>8</v>
      </c>
      <c r="B8" s="28" t="s">
        <v>9</v>
      </c>
      <c r="C8" s="29" t="s">
        <v>10</v>
      </c>
      <c r="D8" s="30" t="s">
        <v>11</v>
      </c>
      <c r="E8" s="30" t="s">
        <v>12</v>
      </c>
      <c r="F8" s="31" t="s">
        <v>13</v>
      </c>
      <c r="G8" s="32" t="s">
        <v>14</v>
      </c>
      <c r="H8" s="33" t="s">
        <v>9</v>
      </c>
      <c r="I8" s="34" t="s">
        <v>10</v>
      </c>
      <c r="J8" s="34" t="s">
        <v>11</v>
      </c>
      <c r="K8" s="34" t="s">
        <v>12</v>
      </c>
      <c r="L8" s="35" t="s">
        <v>13</v>
      </c>
      <c r="M8" s="36" t="s">
        <v>14</v>
      </c>
      <c r="N8" s="37" t="s">
        <v>9</v>
      </c>
      <c r="O8" s="37" t="s">
        <v>10</v>
      </c>
      <c r="P8" s="38" t="s">
        <v>15</v>
      </c>
      <c r="Q8" s="39" t="s">
        <v>12</v>
      </c>
      <c r="R8" s="39" t="s">
        <v>13</v>
      </c>
      <c r="S8" s="40" t="s">
        <v>14</v>
      </c>
      <c r="T8" s="22"/>
      <c r="U8" s="41" t="s">
        <v>16</v>
      </c>
      <c r="V8" s="42" t="s">
        <v>17</v>
      </c>
      <c r="W8" s="43" t="s">
        <v>18</v>
      </c>
      <c r="X8" s="44" t="s">
        <v>19</v>
      </c>
      <c r="Y8" s="45" t="s">
        <v>20</v>
      </c>
      <c r="Z8" s="46" t="s">
        <v>21</v>
      </c>
      <c r="AA8" s="47" t="s">
        <v>22</v>
      </c>
    </row>
    <row r="9">
      <c r="A9" s="48">
        <v>45894.0</v>
      </c>
      <c r="B9" s="49">
        <v>11.0</v>
      </c>
      <c r="C9" s="50">
        <f>30+12+8+7+6</f>
        <v>63</v>
      </c>
      <c r="D9" s="51">
        <f t="shared" ref="D9:D10" si="1">(C9*0.6)</f>
        <v>37.8</v>
      </c>
      <c r="E9" s="52">
        <v>25.0</v>
      </c>
      <c r="F9" s="53">
        <v>1.0</v>
      </c>
      <c r="G9" s="54">
        <v>5.0</v>
      </c>
      <c r="H9" s="55"/>
      <c r="I9" s="56"/>
      <c r="J9" s="56">
        <f t="shared" ref="J9:J14" si="2">I9*0.6</f>
        <v>0</v>
      </c>
      <c r="K9" s="56"/>
      <c r="L9" s="57"/>
      <c r="M9" s="58"/>
      <c r="N9" s="59">
        <v>13.0</v>
      </c>
      <c r="O9" s="60">
        <v>65.0</v>
      </c>
      <c r="P9" s="61">
        <f t="shared" ref="P9:P15" si="3">(O9*0.3)</f>
        <v>19.5</v>
      </c>
      <c r="Q9" s="62"/>
      <c r="R9" s="63"/>
      <c r="S9" s="64"/>
      <c r="T9" s="65">
        <f t="shared" ref="T9:T15" si="4">SUM(B9+F9+H9+L9+N9+R9)</f>
        <v>25</v>
      </c>
      <c r="U9" s="66">
        <v>0.0</v>
      </c>
      <c r="V9" s="67">
        <v>0.75</v>
      </c>
      <c r="W9" s="68"/>
      <c r="X9" s="69"/>
      <c r="Y9" s="70" t="str">
        <f>(U9)+(C9+I9+O9)+(V9)-(E9+K9+Q9)-(W9)-Y9</f>
        <v>#REF!</v>
      </c>
      <c r="Z9" s="71">
        <f t="shared" ref="Z9:Z15" si="5">(D9-E9)+(J9-K9)</f>
        <v>12.8</v>
      </c>
      <c r="AA9" s="66">
        <f t="shared" ref="AA9:AA15" si="6">(((C9*0.4)+(O9*0.7))-W9)+V9</f>
        <v>71.45</v>
      </c>
    </row>
    <row r="10">
      <c r="A10" s="48">
        <v>45895.0</v>
      </c>
      <c r="B10" s="72"/>
      <c r="C10" s="73"/>
      <c r="D10" s="51">
        <f t="shared" si="1"/>
        <v>0</v>
      </c>
      <c r="E10" s="74"/>
      <c r="F10" s="75"/>
      <c r="G10" s="76"/>
      <c r="H10" s="77"/>
      <c r="I10" s="78"/>
      <c r="J10" s="56">
        <f t="shared" si="2"/>
        <v>0</v>
      </c>
      <c r="K10" s="78"/>
      <c r="L10" s="79"/>
      <c r="M10" s="80"/>
      <c r="N10" s="81"/>
      <c r="O10" s="60"/>
      <c r="P10" s="61">
        <f t="shared" si="3"/>
        <v>0</v>
      </c>
      <c r="Q10" s="82"/>
      <c r="R10" s="83"/>
      <c r="S10" s="84"/>
      <c r="T10" s="65">
        <f t="shared" si="4"/>
        <v>0</v>
      </c>
      <c r="U10" s="85"/>
      <c r="V10" s="86"/>
      <c r="W10" s="87"/>
      <c r="X10" s="88"/>
      <c r="Y10" s="89"/>
      <c r="Z10" s="90">
        <f t="shared" si="5"/>
        <v>0</v>
      </c>
      <c r="AA10" s="66">
        <f t="shared" si="6"/>
        <v>0</v>
      </c>
    </row>
    <row r="11">
      <c r="A11" s="48">
        <v>45896.0</v>
      </c>
      <c r="B11" s="72"/>
      <c r="C11" s="73"/>
      <c r="D11" s="51"/>
      <c r="E11" s="74"/>
      <c r="F11" s="75"/>
      <c r="G11" s="76"/>
      <c r="H11" s="77"/>
      <c r="I11" s="78"/>
      <c r="J11" s="56">
        <f t="shared" si="2"/>
        <v>0</v>
      </c>
      <c r="K11" s="78"/>
      <c r="L11" s="91"/>
      <c r="M11" s="92"/>
      <c r="N11" s="81"/>
      <c r="O11" s="60"/>
      <c r="P11" s="61">
        <f t="shared" si="3"/>
        <v>0</v>
      </c>
      <c r="Q11" s="82"/>
      <c r="R11" s="83"/>
      <c r="S11" s="84"/>
      <c r="T11" s="65">
        <f t="shared" si="4"/>
        <v>0</v>
      </c>
      <c r="U11" s="85"/>
      <c r="V11" s="86"/>
      <c r="W11" s="87"/>
      <c r="X11" s="88"/>
      <c r="Y11" s="89">
        <f t="shared" ref="Y11:Y15" si="7">(U11)+(C11+I11+O11)+(V11)-(E11+K11+Q11)-(W11)-X11</f>
        <v>0</v>
      </c>
      <c r="Z11" s="90">
        <f t="shared" si="5"/>
        <v>0</v>
      </c>
      <c r="AA11" s="66">
        <f t="shared" si="6"/>
        <v>0</v>
      </c>
    </row>
    <row r="12">
      <c r="A12" s="48">
        <v>45897.0</v>
      </c>
      <c r="B12" s="72"/>
      <c r="C12" s="73"/>
      <c r="D12" s="51">
        <f t="shared" ref="D12:D13" si="8">(C12*0.6)</f>
        <v>0</v>
      </c>
      <c r="E12" s="74"/>
      <c r="F12" s="93"/>
      <c r="G12" s="76"/>
      <c r="H12" s="77"/>
      <c r="I12" s="78"/>
      <c r="J12" s="56">
        <f t="shared" si="2"/>
        <v>0</v>
      </c>
      <c r="K12" s="78"/>
      <c r="L12" s="91"/>
      <c r="M12" s="92"/>
      <c r="N12" s="81"/>
      <c r="O12" s="60"/>
      <c r="P12" s="61">
        <f t="shared" si="3"/>
        <v>0</v>
      </c>
      <c r="Q12" s="82"/>
      <c r="R12" s="83"/>
      <c r="S12" s="84"/>
      <c r="T12" s="65">
        <f t="shared" si="4"/>
        <v>0</v>
      </c>
      <c r="U12" s="85"/>
      <c r="V12" s="86"/>
      <c r="W12" s="87"/>
      <c r="X12" s="88"/>
      <c r="Y12" s="89">
        <f t="shared" si="7"/>
        <v>0</v>
      </c>
      <c r="Z12" s="90">
        <f t="shared" si="5"/>
        <v>0</v>
      </c>
      <c r="AA12" s="66">
        <f t="shared" si="6"/>
        <v>0</v>
      </c>
    </row>
    <row r="13">
      <c r="A13" s="48">
        <v>45898.0</v>
      </c>
      <c r="B13" s="72"/>
      <c r="C13" s="94"/>
      <c r="D13" s="51">
        <f t="shared" si="8"/>
        <v>0</v>
      </c>
      <c r="E13" s="74"/>
      <c r="F13" s="75"/>
      <c r="G13" s="76"/>
      <c r="H13" s="77"/>
      <c r="I13" s="78"/>
      <c r="J13" s="56">
        <f t="shared" si="2"/>
        <v>0</v>
      </c>
      <c r="K13" s="78"/>
      <c r="L13" s="91"/>
      <c r="M13" s="92"/>
      <c r="N13" s="81"/>
      <c r="O13" s="60"/>
      <c r="P13" s="61">
        <f t="shared" si="3"/>
        <v>0</v>
      </c>
      <c r="Q13" s="82"/>
      <c r="R13" s="83"/>
      <c r="S13" s="84"/>
      <c r="T13" s="65">
        <f t="shared" si="4"/>
        <v>0</v>
      </c>
      <c r="U13" s="85"/>
      <c r="V13" s="86">
        <v>10.0</v>
      </c>
      <c r="W13" s="87"/>
      <c r="X13" s="88"/>
      <c r="Y13" s="89">
        <f t="shared" si="7"/>
        <v>10</v>
      </c>
      <c r="Z13" s="90">
        <f t="shared" si="5"/>
        <v>0</v>
      </c>
      <c r="AA13" s="66">
        <f t="shared" si="6"/>
        <v>10</v>
      </c>
    </row>
    <row r="14">
      <c r="A14" s="48">
        <v>45899.0</v>
      </c>
      <c r="B14" s="72"/>
      <c r="C14" s="94"/>
      <c r="D14" s="51"/>
      <c r="E14" s="74"/>
      <c r="F14" s="75"/>
      <c r="G14" s="76"/>
      <c r="H14" s="77"/>
      <c r="I14" s="78"/>
      <c r="J14" s="56">
        <f t="shared" si="2"/>
        <v>0</v>
      </c>
      <c r="K14" s="78"/>
      <c r="L14" s="91"/>
      <c r="M14" s="92"/>
      <c r="N14" s="81"/>
      <c r="O14" s="60"/>
      <c r="P14" s="61">
        <f t="shared" si="3"/>
        <v>0</v>
      </c>
      <c r="Q14" s="82"/>
      <c r="R14" s="83"/>
      <c r="S14" s="84"/>
      <c r="T14" s="65">
        <f t="shared" si="4"/>
        <v>0</v>
      </c>
      <c r="U14" s="85"/>
      <c r="V14" s="86"/>
      <c r="W14" s="87"/>
      <c r="X14" s="69"/>
      <c r="Y14" s="89">
        <f t="shared" si="7"/>
        <v>0</v>
      </c>
      <c r="Z14" s="71">
        <f t="shared" si="5"/>
        <v>0</v>
      </c>
      <c r="AA14" s="66">
        <f t="shared" si="6"/>
        <v>0</v>
      </c>
    </row>
    <row r="15">
      <c r="A15" s="48">
        <v>45900.0</v>
      </c>
      <c r="B15" s="95"/>
      <c r="C15" s="96"/>
      <c r="D15" s="51">
        <f>(C15*0.6)</f>
        <v>0</v>
      </c>
      <c r="E15" s="97"/>
      <c r="F15" s="98"/>
      <c r="G15" s="99"/>
      <c r="H15" s="100"/>
      <c r="I15" s="101"/>
      <c r="J15" s="56"/>
      <c r="K15" s="78"/>
      <c r="L15" s="102"/>
      <c r="M15" s="103"/>
      <c r="N15" s="104"/>
      <c r="O15" s="60"/>
      <c r="P15" s="61">
        <f t="shared" si="3"/>
        <v>0</v>
      </c>
      <c r="Q15" s="105"/>
      <c r="R15" s="106"/>
      <c r="S15" s="107"/>
      <c r="T15" s="65">
        <f t="shared" si="4"/>
        <v>0</v>
      </c>
      <c r="U15" s="108"/>
      <c r="V15" s="109"/>
      <c r="W15" s="110"/>
      <c r="X15" s="111"/>
      <c r="Y15" s="89">
        <f t="shared" si="7"/>
        <v>0</v>
      </c>
      <c r="Z15" s="71">
        <f t="shared" si="5"/>
        <v>0</v>
      </c>
      <c r="AA15" s="66">
        <f t="shared" si="6"/>
        <v>0</v>
      </c>
    </row>
    <row r="16">
      <c r="A16" s="112" t="s">
        <v>23</v>
      </c>
      <c r="B16" s="113">
        <f t="shared" ref="B16:Q16" si="9">SUM(B9:B15)</f>
        <v>11</v>
      </c>
      <c r="C16" s="114">
        <f t="shared" si="9"/>
        <v>63</v>
      </c>
      <c r="D16" s="114">
        <f t="shared" si="9"/>
        <v>37.8</v>
      </c>
      <c r="E16" s="114">
        <f t="shared" si="9"/>
        <v>25</v>
      </c>
      <c r="F16" s="115">
        <f t="shared" si="9"/>
        <v>1</v>
      </c>
      <c r="G16" s="115">
        <f t="shared" si="9"/>
        <v>5</v>
      </c>
      <c r="H16" s="116">
        <f t="shared" si="9"/>
        <v>0</v>
      </c>
      <c r="I16" s="117">
        <f t="shared" si="9"/>
        <v>0</v>
      </c>
      <c r="J16" s="117">
        <f t="shared" si="9"/>
        <v>0</v>
      </c>
      <c r="K16" s="117">
        <f t="shared" si="9"/>
        <v>0</v>
      </c>
      <c r="L16" s="116">
        <f t="shared" si="9"/>
        <v>0</v>
      </c>
      <c r="M16" s="116">
        <f t="shared" si="9"/>
        <v>0</v>
      </c>
      <c r="N16" s="118">
        <f t="shared" si="9"/>
        <v>13</v>
      </c>
      <c r="O16" s="119">
        <f t="shared" si="9"/>
        <v>65</v>
      </c>
      <c r="P16" s="119">
        <f t="shared" si="9"/>
        <v>19.5</v>
      </c>
      <c r="Q16" s="119">
        <f t="shared" si="9"/>
        <v>0</v>
      </c>
      <c r="R16" s="120"/>
      <c r="S16" s="120"/>
      <c r="T16" s="121">
        <f>SUM(T9:T15)</f>
        <v>25</v>
      </c>
      <c r="U16" s="122"/>
      <c r="V16" s="123"/>
      <c r="W16" s="123">
        <f>SUM(W9:W15)</f>
        <v>0</v>
      </c>
      <c r="X16" s="124"/>
      <c r="Y16" s="125" t="str">
        <f t="shared" ref="Y16:AA16" si="10">SUM(Y9:Y15)</f>
        <v>#REF!</v>
      </c>
      <c r="Z16" s="125">
        <f t="shared" si="10"/>
        <v>12.8</v>
      </c>
      <c r="AA16" s="126">
        <f t="shared" si="10"/>
        <v>81.45</v>
      </c>
      <c r="AB16" s="127"/>
    </row>
    <row r="17">
      <c r="C17" s="128"/>
      <c r="D17" s="129" t="s">
        <v>24</v>
      </c>
      <c r="E17" s="130">
        <f>D16+G16</f>
        <v>42.8</v>
      </c>
      <c r="F17" s="127"/>
      <c r="G17" s="127"/>
      <c r="H17" s="127"/>
      <c r="J17" s="129" t="s">
        <v>24</v>
      </c>
      <c r="K17" s="130">
        <f>J16+M16</f>
        <v>0</v>
      </c>
      <c r="L17" s="127"/>
      <c r="M17" s="127"/>
      <c r="N17" s="127"/>
      <c r="O17" s="128"/>
      <c r="P17" s="131" t="s">
        <v>24</v>
      </c>
      <c r="Q17" s="127">
        <f>P16+S16</f>
        <v>19.5</v>
      </c>
      <c r="R17" s="127"/>
      <c r="S17" s="127"/>
      <c r="T17" s="127"/>
      <c r="U17" s="127"/>
    </row>
    <row r="18">
      <c r="D18" s="132" t="s">
        <v>25</v>
      </c>
      <c r="E18" s="133">
        <f>D16-E16</f>
        <v>12.8</v>
      </c>
      <c r="F18" s="127"/>
      <c r="G18" s="127"/>
      <c r="H18" s="127"/>
      <c r="J18" s="132" t="s">
        <v>25</v>
      </c>
      <c r="K18" s="133">
        <f>J16-K16</f>
        <v>0</v>
      </c>
      <c r="L18" s="127"/>
      <c r="M18" s="127"/>
      <c r="N18" s="127" t="s">
        <v>26</v>
      </c>
      <c r="O18" s="128"/>
      <c r="P18" s="132" t="s">
        <v>25</v>
      </c>
      <c r="Q18" s="133">
        <f>P16-Q16</f>
        <v>19.5</v>
      </c>
      <c r="R18" s="127"/>
      <c r="S18" s="127"/>
      <c r="T18" s="127"/>
      <c r="U18" s="127"/>
    </row>
    <row r="19">
      <c r="J19" s="134"/>
      <c r="K19" s="127"/>
      <c r="L19" s="128"/>
      <c r="M19" s="128"/>
      <c r="N19" s="128"/>
      <c r="O19" s="128"/>
      <c r="P19" s="134"/>
      <c r="Q19" s="127"/>
      <c r="Z19" s="131" t="s">
        <v>26</v>
      </c>
    </row>
    <row r="20">
      <c r="F20" s="127" t="s">
        <v>27</v>
      </c>
      <c r="J20" s="127"/>
    </row>
    <row r="21" ht="15.75" customHeight="1">
      <c r="F21" s="127"/>
      <c r="G21" s="127"/>
    </row>
    <row r="22" ht="15.75" customHeight="1">
      <c r="D22" s="131" t="s">
        <v>26</v>
      </c>
      <c r="H22" s="127"/>
      <c r="J22" s="127"/>
      <c r="K22" s="127"/>
      <c r="Q22" s="131" t="s">
        <v>26</v>
      </c>
    </row>
    <row r="23" ht="15.75" customHeight="1">
      <c r="Q23" s="127"/>
    </row>
    <row r="24" ht="15.75" customHeight="1">
      <c r="P24" s="127"/>
    </row>
    <row r="25" ht="15.75" customHeight="1"/>
    <row r="26" ht="15.75" customHeight="1">
      <c r="R26" s="131" t="s">
        <v>26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C6:Q6"/>
    <mergeCell ref="T6:T8"/>
    <mergeCell ref="U6:U7"/>
    <mergeCell ref="V6:W7"/>
    <mergeCell ref="Y6:AA7"/>
    <mergeCell ref="B7:F7"/>
    <mergeCell ref="H7:L7"/>
    <mergeCell ref="N7:R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8.29"/>
    <col customWidth="1" min="3" max="3" width="8.43"/>
    <col customWidth="1" min="4" max="4" width="16.14"/>
    <col customWidth="1" min="5" max="5" width="9.14"/>
    <col customWidth="1" min="6" max="6" width="10.14"/>
    <col customWidth="1" min="7" max="7" width="11.43"/>
    <col customWidth="1" min="8" max="9" width="10.71"/>
    <col customWidth="1" min="10" max="10" width="16.43"/>
    <col customWidth="1" min="11" max="19" width="10.71"/>
    <col customWidth="1" min="20" max="20" width="11.86"/>
    <col customWidth="1" min="21" max="25" width="10.71"/>
    <col customWidth="1" min="26" max="26" width="15.57"/>
    <col customWidth="1" min="27" max="27" width="22.43"/>
    <col customWidth="1" min="28" max="28" width="10.71"/>
  </cols>
  <sheetData>
    <row r="3">
      <c r="C3" s="1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  <c r="R3" s="4"/>
      <c r="S3" s="4"/>
      <c r="T3" s="5" t="s">
        <v>1</v>
      </c>
      <c r="U3" s="6" t="s">
        <v>2</v>
      </c>
      <c r="V3" s="7" t="s">
        <v>3</v>
      </c>
      <c r="W3" s="8"/>
      <c r="X3" s="10" t="s">
        <v>4</v>
      </c>
      <c r="Y3" s="11"/>
      <c r="Z3" s="8"/>
    </row>
    <row r="4">
      <c r="A4" s="12"/>
      <c r="B4" s="135" t="s">
        <v>28</v>
      </c>
      <c r="C4" s="14"/>
      <c r="D4" s="14"/>
      <c r="E4" s="14"/>
      <c r="F4" s="15"/>
      <c r="G4" s="136"/>
      <c r="H4" s="137" t="s">
        <v>29</v>
      </c>
      <c r="I4" s="14"/>
      <c r="J4" s="14"/>
      <c r="K4" s="14"/>
      <c r="L4" s="15"/>
      <c r="M4" s="138"/>
      <c r="N4" s="139" t="s">
        <v>7</v>
      </c>
      <c r="O4" s="14"/>
      <c r="P4" s="14"/>
      <c r="Q4" s="14"/>
      <c r="R4" s="15"/>
      <c r="S4" s="140"/>
      <c r="T4" s="21"/>
      <c r="U4" s="22"/>
      <c r="V4" s="23"/>
      <c r="W4" s="24"/>
      <c r="X4" s="23"/>
      <c r="Y4" s="26"/>
      <c r="Z4" s="24"/>
    </row>
    <row r="5">
      <c r="A5" s="27" t="s">
        <v>8</v>
      </c>
      <c r="B5" s="141" t="s">
        <v>9</v>
      </c>
      <c r="C5" s="142" t="s">
        <v>10</v>
      </c>
      <c r="D5" s="143" t="s">
        <v>11</v>
      </c>
      <c r="E5" s="143" t="s">
        <v>12</v>
      </c>
      <c r="F5" s="144" t="s">
        <v>13</v>
      </c>
      <c r="G5" s="145" t="s">
        <v>14</v>
      </c>
      <c r="H5" s="146" t="s">
        <v>9</v>
      </c>
      <c r="I5" s="147" t="s">
        <v>10</v>
      </c>
      <c r="J5" s="147" t="s">
        <v>11</v>
      </c>
      <c r="K5" s="147" t="s">
        <v>12</v>
      </c>
      <c r="L5" s="148" t="s">
        <v>13</v>
      </c>
      <c r="M5" s="149" t="s">
        <v>14</v>
      </c>
      <c r="N5" s="150" t="s">
        <v>9</v>
      </c>
      <c r="O5" s="151" t="s">
        <v>10</v>
      </c>
      <c r="P5" s="152" t="s">
        <v>15</v>
      </c>
      <c r="Q5" s="153" t="s">
        <v>12</v>
      </c>
      <c r="R5" s="154" t="s">
        <v>13</v>
      </c>
      <c r="S5" s="149" t="s">
        <v>14</v>
      </c>
      <c r="T5" s="22"/>
      <c r="U5" s="41" t="s">
        <v>16</v>
      </c>
      <c r="V5" s="42" t="s">
        <v>17</v>
      </c>
      <c r="W5" s="43" t="s">
        <v>18</v>
      </c>
      <c r="X5" s="45" t="s">
        <v>20</v>
      </c>
      <c r="Y5" s="46" t="s">
        <v>21</v>
      </c>
      <c r="Z5" s="47" t="s">
        <v>22</v>
      </c>
    </row>
    <row r="6">
      <c r="A6" s="48">
        <v>45775.0</v>
      </c>
      <c r="B6" s="155">
        <v>7.0</v>
      </c>
      <c r="C6" s="156">
        <v>36.0</v>
      </c>
      <c r="D6" s="71">
        <f t="shared" ref="D6:D11" si="1">(C6*0.6)</f>
        <v>21.6</v>
      </c>
      <c r="E6" s="157">
        <v>15.0</v>
      </c>
      <c r="F6" s="65">
        <v>1.0</v>
      </c>
      <c r="G6" s="158">
        <v>5.0</v>
      </c>
      <c r="H6" s="155">
        <v>6.0</v>
      </c>
      <c r="I6" s="71">
        <v>31.0</v>
      </c>
      <c r="J6" s="71">
        <f t="shared" ref="J6:J11" si="2">I6*0.6</f>
        <v>18.6</v>
      </c>
      <c r="K6" s="71"/>
      <c r="L6" s="65">
        <v>1.0</v>
      </c>
      <c r="M6" s="159">
        <v>5.0</v>
      </c>
      <c r="N6" s="160">
        <v>1.0</v>
      </c>
      <c r="O6" s="156">
        <v>5.0</v>
      </c>
      <c r="P6" s="71">
        <f t="shared" ref="P6:P7" si="3">(O6*0.3)</f>
        <v>1.5</v>
      </c>
      <c r="Q6" s="157"/>
      <c r="R6" s="65"/>
      <c r="S6" s="159">
        <v>5.0</v>
      </c>
      <c r="T6" s="65">
        <f t="shared" ref="T6:T12" si="4">SUM(B6+F6+H6+L6+N6+R6)</f>
        <v>16</v>
      </c>
      <c r="U6" s="66">
        <v>10.0</v>
      </c>
      <c r="V6" s="67"/>
      <c r="W6" s="68">
        <v>2.25</v>
      </c>
      <c r="X6" s="70">
        <f t="shared" ref="X6:X10" si="5">(U6)+(C6+I6+O6)+(V6)-(E6+K6+Q6)-(W6)</f>
        <v>64.75</v>
      </c>
      <c r="Y6" s="71">
        <f t="shared" ref="Y6:Y12" si="6">(D6-E6)+(J6-K6)</f>
        <v>25.2</v>
      </c>
      <c r="Z6" s="66">
        <f t="shared" ref="Z6:Z12" si="7">(C6+I6)*0.4+O6-(W6)</f>
        <v>29.55</v>
      </c>
    </row>
    <row r="7">
      <c r="A7" s="48">
        <v>45776.0</v>
      </c>
      <c r="B7" s="161">
        <v>4.0</v>
      </c>
      <c r="C7" s="162">
        <v>20.0</v>
      </c>
      <c r="D7" s="71">
        <f t="shared" si="1"/>
        <v>12</v>
      </c>
      <c r="E7" s="163"/>
      <c r="F7" s="164">
        <v>1.0</v>
      </c>
      <c r="G7" s="165">
        <v>5.0</v>
      </c>
      <c r="H7" s="161">
        <v>3.0</v>
      </c>
      <c r="I7" s="90">
        <v>15.0</v>
      </c>
      <c r="J7" s="71">
        <f t="shared" si="2"/>
        <v>9</v>
      </c>
      <c r="K7" s="90">
        <v>11.6</v>
      </c>
      <c r="L7" s="166"/>
      <c r="M7" s="167"/>
      <c r="N7" s="168">
        <v>3.0</v>
      </c>
      <c r="O7" s="156">
        <v>15.0</v>
      </c>
      <c r="P7" s="71">
        <f t="shared" si="3"/>
        <v>4.5</v>
      </c>
      <c r="Q7" s="163"/>
      <c r="R7" s="169"/>
      <c r="S7" s="170"/>
      <c r="T7" s="65">
        <f t="shared" si="4"/>
        <v>11</v>
      </c>
      <c r="U7" s="85">
        <v>7.0</v>
      </c>
      <c r="V7" s="86"/>
      <c r="W7" s="87">
        <v>3.5</v>
      </c>
      <c r="X7" s="89">
        <f t="shared" si="5"/>
        <v>41.9</v>
      </c>
      <c r="Y7" s="90">
        <f t="shared" si="6"/>
        <v>9.4</v>
      </c>
      <c r="Z7" s="66">
        <f t="shared" si="7"/>
        <v>25.5</v>
      </c>
    </row>
    <row r="8">
      <c r="A8" s="48">
        <v>45777.0</v>
      </c>
      <c r="B8" s="161">
        <v>3.0</v>
      </c>
      <c r="C8" s="162">
        <v>15.0</v>
      </c>
      <c r="D8" s="71">
        <f t="shared" si="1"/>
        <v>9</v>
      </c>
      <c r="E8" s="163">
        <v>16.5</v>
      </c>
      <c r="F8" s="169"/>
      <c r="G8" s="171"/>
      <c r="H8" s="172">
        <v>5.0</v>
      </c>
      <c r="I8" s="90">
        <v>25.0</v>
      </c>
      <c r="J8" s="71">
        <f t="shared" si="2"/>
        <v>15</v>
      </c>
      <c r="K8" s="90">
        <v>14.8</v>
      </c>
      <c r="L8" s="169"/>
      <c r="M8" s="170"/>
      <c r="N8" s="168"/>
      <c r="O8" s="156"/>
      <c r="P8" s="71">
        <f>(O8*0.25)</f>
        <v>0</v>
      </c>
      <c r="Q8" s="163"/>
      <c r="R8" s="169"/>
      <c r="S8" s="170"/>
      <c r="T8" s="65">
        <f t="shared" si="4"/>
        <v>8</v>
      </c>
      <c r="U8" s="85">
        <v>7.0</v>
      </c>
      <c r="V8" s="86"/>
      <c r="W8" s="87">
        <v>11.0</v>
      </c>
      <c r="X8" s="89">
        <f t="shared" si="5"/>
        <v>4.7</v>
      </c>
      <c r="Y8" s="90">
        <f t="shared" si="6"/>
        <v>-7.3</v>
      </c>
      <c r="Z8" s="66">
        <f t="shared" si="7"/>
        <v>5</v>
      </c>
    </row>
    <row r="9">
      <c r="A9" s="48">
        <v>45778.0</v>
      </c>
      <c r="B9" s="161">
        <v>1.0</v>
      </c>
      <c r="C9" s="162">
        <v>5.0</v>
      </c>
      <c r="D9" s="71">
        <f t="shared" si="1"/>
        <v>3</v>
      </c>
      <c r="E9" s="163">
        <v>3.0</v>
      </c>
      <c r="F9" s="166"/>
      <c r="G9" s="171"/>
      <c r="H9" s="161">
        <v>7.0</v>
      </c>
      <c r="I9" s="90">
        <v>35.0</v>
      </c>
      <c r="J9" s="71">
        <f t="shared" si="2"/>
        <v>21</v>
      </c>
      <c r="K9" s="90">
        <v>13.7</v>
      </c>
      <c r="L9" s="169"/>
      <c r="M9" s="170"/>
      <c r="N9" s="168">
        <v>6.0</v>
      </c>
      <c r="O9" s="156">
        <v>30.0</v>
      </c>
      <c r="P9" s="71">
        <f t="shared" ref="P9:P10" si="8">(O9*0.3)</f>
        <v>9</v>
      </c>
      <c r="Q9" s="163">
        <v>5.0</v>
      </c>
      <c r="R9" s="169"/>
      <c r="S9" s="170"/>
      <c r="T9" s="65">
        <f t="shared" si="4"/>
        <v>14</v>
      </c>
      <c r="U9" s="85">
        <v>2.5</v>
      </c>
      <c r="V9" s="86"/>
      <c r="W9" s="87">
        <v>5.5</v>
      </c>
      <c r="X9" s="89">
        <f t="shared" si="5"/>
        <v>45.3</v>
      </c>
      <c r="Y9" s="90">
        <f t="shared" si="6"/>
        <v>7.3</v>
      </c>
      <c r="Z9" s="66">
        <f t="shared" si="7"/>
        <v>40.5</v>
      </c>
    </row>
    <row r="10">
      <c r="A10" s="48">
        <v>45779.0</v>
      </c>
      <c r="B10" s="161">
        <v>6.0</v>
      </c>
      <c r="C10" s="173">
        <v>16.0</v>
      </c>
      <c r="D10" s="71">
        <f t="shared" si="1"/>
        <v>9.6</v>
      </c>
      <c r="E10" s="163">
        <v>7.5</v>
      </c>
      <c r="F10" s="164">
        <v>1.0</v>
      </c>
      <c r="G10" s="165">
        <v>5.0</v>
      </c>
      <c r="H10" s="161">
        <v>4.0</v>
      </c>
      <c r="I10" s="90">
        <v>20.0</v>
      </c>
      <c r="J10" s="71">
        <f t="shared" si="2"/>
        <v>12</v>
      </c>
      <c r="K10" s="90">
        <v>12.65</v>
      </c>
      <c r="L10" s="164"/>
      <c r="M10" s="174"/>
      <c r="N10" s="168">
        <v>3.0</v>
      </c>
      <c r="O10" s="156">
        <v>17.0</v>
      </c>
      <c r="P10" s="71">
        <f t="shared" si="8"/>
        <v>5.1</v>
      </c>
      <c r="Q10" s="163">
        <v>9.5</v>
      </c>
      <c r="R10" s="164"/>
      <c r="S10" s="174"/>
      <c r="T10" s="65">
        <f t="shared" si="4"/>
        <v>14</v>
      </c>
      <c r="U10" s="85">
        <v>10.75</v>
      </c>
      <c r="V10" s="86"/>
      <c r="W10" s="87">
        <f>18.95-9.5</f>
        <v>9.45</v>
      </c>
      <c r="X10" s="89">
        <f t="shared" si="5"/>
        <v>24.65</v>
      </c>
      <c r="Y10" s="90">
        <f t="shared" si="6"/>
        <v>1.45</v>
      </c>
      <c r="Z10" s="66">
        <f t="shared" si="7"/>
        <v>21.95</v>
      </c>
    </row>
    <row r="11">
      <c r="A11" s="48">
        <v>45780.0</v>
      </c>
      <c r="B11" s="161">
        <v>14.0</v>
      </c>
      <c r="C11" s="173">
        <v>71.0</v>
      </c>
      <c r="D11" s="71">
        <f t="shared" si="1"/>
        <v>42.6</v>
      </c>
      <c r="E11" s="163">
        <v>6.5</v>
      </c>
      <c r="F11" s="164"/>
      <c r="G11" s="165"/>
      <c r="H11" s="161">
        <v>14.0</v>
      </c>
      <c r="I11" s="90">
        <v>72.0</v>
      </c>
      <c r="J11" s="71">
        <f t="shared" si="2"/>
        <v>43.2</v>
      </c>
      <c r="K11" s="90">
        <v>20.5</v>
      </c>
      <c r="L11" s="164"/>
      <c r="M11" s="174"/>
      <c r="N11" s="168">
        <v>11.0</v>
      </c>
      <c r="O11" s="156">
        <v>45.0</v>
      </c>
      <c r="P11" s="71">
        <f t="shared" ref="P11:P12" si="9">(O11*0.25)</f>
        <v>11.25</v>
      </c>
      <c r="Q11" s="163">
        <v>7.5</v>
      </c>
      <c r="R11" s="164"/>
      <c r="S11" s="174"/>
      <c r="T11" s="65">
        <f t="shared" si="4"/>
        <v>39</v>
      </c>
      <c r="U11" s="85">
        <v>14.75</v>
      </c>
      <c r="V11" s="86"/>
      <c r="W11" s="87">
        <v>7.5</v>
      </c>
      <c r="X11" s="89"/>
      <c r="Y11" s="90">
        <f t="shared" si="6"/>
        <v>58.8</v>
      </c>
      <c r="Z11" s="66">
        <f t="shared" si="7"/>
        <v>94.7</v>
      </c>
    </row>
    <row r="12">
      <c r="A12" s="48">
        <v>45781.0</v>
      </c>
      <c r="B12" s="175"/>
      <c r="C12" s="176"/>
      <c r="D12" s="71">
        <v>25.0</v>
      </c>
      <c r="E12" s="177"/>
      <c r="F12" s="178"/>
      <c r="G12" s="179"/>
      <c r="H12" s="175">
        <v>10.0</v>
      </c>
      <c r="I12" s="180">
        <v>60.0</v>
      </c>
      <c r="J12" s="71">
        <f>60</f>
        <v>60</v>
      </c>
      <c r="K12" s="90"/>
      <c r="L12" s="178"/>
      <c r="M12" s="181"/>
      <c r="N12" s="182"/>
      <c r="O12" s="156"/>
      <c r="P12" s="71">
        <f t="shared" si="9"/>
        <v>0</v>
      </c>
      <c r="Q12" s="177"/>
      <c r="R12" s="178"/>
      <c r="S12" s="181"/>
      <c r="T12" s="65">
        <f t="shared" si="4"/>
        <v>10</v>
      </c>
      <c r="U12" s="108"/>
      <c r="V12" s="109"/>
      <c r="W12" s="110"/>
      <c r="X12" s="183">
        <f>(U12)+(C12+I12+O12)+(V12)-(E12+K12+Q12)-(W12)</f>
        <v>60</v>
      </c>
      <c r="Y12" s="184">
        <f t="shared" si="6"/>
        <v>85</v>
      </c>
      <c r="Z12" s="66">
        <f t="shared" si="7"/>
        <v>24</v>
      </c>
    </row>
    <row r="13">
      <c r="A13" s="112" t="s">
        <v>23</v>
      </c>
      <c r="B13" s="185">
        <f t="shared" ref="B13:Q13" si="10">SUM(B6:B12)</f>
        <v>35</v>
      </c>
      <c r="C13" s="186">
        <f t="shared" si="10"/>
        <v>163</v>
      </c>
      <c r="D13" s="186">
        <f t="shared" si="10"/>
        <v>122.8</v>
      </c>
      <c r="E13" s="186">
        <f t="shared" si="10"/>
        <v>48.5</v>
      </c>
      <c r="F13" s="187">
        <f t="shared" si="10"/>
        <v>3</v>
      </c>
      <c r="G13" s="187">
        <f t="shared" si="10"/>
        <v>15</v>
      </c>
      <c r="H13" s="188">
        <f t="shared" si="10"/>
        <v>49</v>
      </c>
      <c r="I13" s="189">
        <f t="shared" si="10"/>
        <v>258</v>
      </c>
      <c r="J13" s="189">
        <f t="shared" si="10"/>
        <v>178.8</v>
      </c>
      <c r="K13" s="189">
        <f t="shared" si="10"/>
        <v>73.25</v>
      </c>
      <c r="L13" s="188">
        <f t="shared" si="10"/>
        <v>1</v>
      </c>
      <c r="M13" s="188">
        <f t="shared" si="10"/>
        <v>5</v>
      </c>
      <c r="N13" s="190">
        <f t="shared" si="10"/>
        <v>24</v>
      </c>
      <c r="O13" s="191">
        <f t="shared" si="10"/>
        <v>112</v>
      </c>
      <c r="P13" s="191">
        <f t="shared" si="10"/>
        <v>31.35</v>
      </c>
      <c r="Q13" s="191">
        <f t="shared" si="10"/>
        <v>22</v>
      </c>
      <c r="R13" s="192"/>
      <c r="S13" s="192"/>
      <c r="T13" s="121">
        <f>SUM(T6:T12)</f>
        <v>112</v>
      </c>
      <c r="U13" s="122"/>
      <c r="V13" s="123"/>
      <c r="W13" s="123">
        <f t="shared" ref="W13:Z13" si="11">SUM(W6:W12)</f>
        <v>39.2</v>
      </c>
      <c r="X13" s="125">
        <f t="shared" si="11"/>
        <v>241.3</v>
      </c>
      <c r="Y13" s="125">
        <f t="shared" si="11"/>
        <v>179.85</v>
      </c>
      <c r="Z13" s="126">
        <f t="shared" si="11"/>
        <v>241.2</v>
      </c>
      <c r="AA13" s="127">
        <f>SUM(Z9:Z12)</f>
        <v>181.15</v>
      </c>
    </row>
    <row r="14">
      <c r="C14" s="128"/>
      <c r="D14" s="129" t="s">
        <v>24</v>
      </c>
      <c r="E14" s="130">
        <f>D13+G13</f>
        <v>137.8</v>
      </c>
      <c r="F14" s="127"/>
      <c r="G14" s="127"/>
      <c r="H14" s="127"/>
      <c r="J14" s="129" t="s">
        <v>24</v>
      </c>
      <c r="K14" s="130">
        <f>J13+M13</f>
        <v>183.8</v>
      </c>
      <c r="L14" s="127"/>
      <c r="M14" s="127"/>
      <c r="N14" s="127"/>
      <c r="O14" s="128"/>
      <c r="P14" s="131" t="s">
        <v>24</v>
      </c>
      <c r="Q14" s="127">
        <f>P13+S13</f>
        <v>31.35</v>
      </c>
      <c r="R14" s="127"/>
      <c r="S14" s="127"/>
      <c r="T14" s="127"/>
      <c r="U14" s="127"/>
    </row>
    <row r="15">
      <c r="D15" s="132" t="s">
        <v>25</v>
      </c>
      <c r="E15" s="133">
        <f>D13-E13</f>
        <v>74.3</v>
      </c>
      <c r="F15" s="127"/>
      <c r="G15" s="127"/>
      <c r="H15" s="127"/>
      <c r="J15" s="132" t="s">
        <v>25</v>
      </c>
      <c r="K15" s="133">
        <f>J13-K13</f>
        <v>105.55</v>
      </c>
      <c r="L15" s="127"/>
      <c r="M15" s="127"/>
      <c r="N15" s="127"/>
      <c r="O15" s="128"/>
      <c r="P15" s="132" t="s">
        <v>25</v>
      </c>
      <c r="Q15" s="133">
        <f>P13-Q13</f>
        <v>9.35</v>
      </c>
      <c r="R15" s="127"/>
      <c r="S15" s="127"/>
      <c r="T15" s="127"/>
      <c r="U15" s="127"/>
    </row>
    <row r="16">
      <c r="J16" s="134"/>
      <c r="K16" s="127"/>
      <c r="L16" s="128"/>
      <c r="M16" s="128"/>
      <c r="N16" s="128"/>
      <c r="O16" s="128"/>
      <c r="P16" s="134"/>
      <c r="Q16" s="127"/>
    </row>
    <row r="17">
      <c r="J17" s="127"/>
    </row>
    <row r="21" ht="15.75" customHeight="1"/>
    <row r="22" ht="15.75" customHeight="1">
      <c r="C22" s="1" t="s">
        <v>0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3"/>
      <c r="R22" s="4"/>
      <c r="S22" s="4"/>
      <c r="T22" s="5" t="s">
        <v>1</v>
      </c>
      <c r="U22" s="6" t="s">
        <v>2</v>
      </c>
      <c r="V22" s="7" t="s">
        <v>3</v>
      </c>
      <c r="W22" s="8"/>
      <c r="X22" s="10" t="s">
        <v>4</v>
      </c>
      <c r="Y22" s="11"/>
      <c r="Z22" s="8"/>
    </row>
    <row r="23" ht="15.75" customHeight="1">
      <c r="A23" s="12"/>
      <c r="B23" s="193" t="s">
        <v>28</v>
      </c>
      <c r="C23" s="14"/>
      <c r="D23" s="14"/>
      <c r="E23" s="14"/>
      <c r="F23" s="15"/>
      <c r="G23" s="194"/>
      <c r="H23" s="195" t="s">
        <v>29</v>
      </c>
      <c r="I23" s="14"/>
      <c r="J23" s="14"/>
      <c r="K23" s="14"/>
      <c r="L23" s="15"/>
      <c r="M23" s="196"/>
      <c r="N23" s="197" t="s">
        <v>7</v>
      </c>
      <c r="O23" s="14"/>
      <c r="P23" s="14"/>
      <c r="Q23" s="14"/>
      <c r="R23" s="15"/>
      <c r="S23" s="198"/>
      <c r="T23" s="21"/>
      <c r="U23" s="22"/>
      <c r="V23" s="23"/>
      <c r="W23" s="24"/>
      <c r="X23" s="23"/>
      <c r="Y23" s="26"/>
      <c r="Z23" s="24"/>
    </row>
    <row r="24" ht="15.75" customHeight="1">
      <c r="A24" s="27" t="s">
        <v>8</v>
      </c>
      <c r="B24" s="199" t="s">
        <v>9</v>
      </c>
      <c r="C24" s="200" t="s">
        <v>10</v>
      </c>
      <c r="D24" s="201" t="s">
        <v>11</v>
      </c>
      <c r="E24" s="201" t="s">
        <v>12</v>
      </c>
      <c r="F24" s="202" t="s">
        <v>13</v>
      </c>
      <c r="G24" s="203" t="s">
        <v>14</v>
      </c>
      <c r="H24" s="204" t="s">
        <v>9</v>
      </c>
      <c r="I24" s="205" t="s">
        <v>10</v>
      </c>
      <c r="J24" s="205" t="s">
        <v>11</v>
      </c>
      <c r="K24" s="205" t="s">
        <v>12</v>
      </c>
      <c r="L24" s="206" t="s">
        <v>13</v>
      </c>
      <c r="M24" s="207" t="s">
        <v>14</v>
      </c>
      <c r="N24" s="208" t="s">
        <v>9</v>
      </c>
      <c r="O24" s="208" t="s">
        <v>10</v>
      </c>
      <c r="P24" s="209" t="s">
        <v>15</v>
      </c>
      <c r="Q24" s="210" t="s">
        <v>12</v>
      </c>
      <c r="R24" s="210" t="s">
        <v>13</v>
      </c>
      <c r="S24" s="211" t="s">
        <v>14</v>
      </c>
      <c r="T24" s="22"/>
      <c r="U24" s="41" t="s">
        <v>16</v>
      </c>
      <c r="V24" s="42" t="s">
        <v>17</v>
      </c>
      <c r="W24" s="43" t="s">
        <v>18</v>
      </c>
      <c r="X24" s="45" t="s">
        <v>20</v>
      </c>
      <c r="Y24" s="46" t="s">
        <v>21</v>
      </c>
      <c r="Z24" s="47" t="s">
        <v>22</v>
      </c>
    </row>
    <row r="25" ht="15.75" customHeight="1">
      <c r="A25" s="48">
        <v>45782.0</v>
      </c>
      <c r="B25" s="212">
        <v>7.0</v>
      </c>
      <c r="C25" s="213">
        <v>36.0</v>
      </c>
      <c r="D25" s="214">
        <f t="shared" ref="D25:D28" si="12">C25*0.6</f>
        <v>21.6</v>
      </c>
      <c r="E25" s="215">
        <v>5.0</v>
      </c>
      <c r="F25" s="216"/>
      <c r="G25" s="217"/>
      <c r="H25" s="218">
        <v>6.0</v>
      </c>
      <c r="I25" s="219">
        <v>29.0</v>
      </c>
      <c r="J25" s="219">
        <f t="shared" ref="J25:J31" si="13">(I25*0.6)</f>
        <v>17.4</v>
      </c>
      <c r="K25" s="219">
        <v>17.4</v>
      </c>
      <c r="L25" s="220">
        <v>1.0</v>
      </c>
      <c r="M25" s="221">
        <v>5.0</v>
      </c>
      <c r="N25" s="222"/>
      <c r="O25" s="223"/>
      <c r="P25" s="224"/>
      <c r="Q25" s="225"/>
      <c r="R25" s="226"/>
      <c r="S25" s="227"/>
      <c r="T25" s="65">
        <f t="shared" ref="T25:T31" si="14">(B25+H25+N25)</f>
        <v>13</v>
      </c>
      <c r="U25" s="66">
        <v>6.0</v>
      </c>
      <c r="V25" s="67"/>
      <c r="W25" s="68">
        <v>6.8</v>
      </c>
      <c r="X25" s="70">
        <f t="shared" ref="X25:X31" si="15">(C25+I25+O25+U25+V25)-(W25)</f>
        <v>64.2</v>
      </c>
      <c r="Y25" s="71">
        <f>(E34+K34+Q34)</f>
        <v>176</v>
      </c>
      <c r="Z25" s="66">
        <f t="shared" ref="Z25:Z26" si="16">((((C25+I25)*0.4))+O25)-W25</f>
        <v>19.2</v>
      </c>
    </row>
    <row r="26" ht="15.75" customHeight="1">
      <c r="A26" s="48">
        <v>45783.0</v>
      </c>
      <c r="B26" s="228">
        <v>9.0</v>
      </c>
      <c r="C26" s="229">
        <v>44.0</v>
      </c>
      <c r="D26" s="214">
        <f t="shared" si="12"/>
        <v>26.4</v>
      </c>
      <c r="E26" s="215">
        <v>2.5</v>
      </c>
      <c r="F26" s="169"/>
      <c r="G26" s="171"/>
      <c r="H26" s="230">
        <v>8.0</v>
      </c>
      <c r="I26" s="231">
        <v>40.0</v>
      </c>
      <c r="J26" s="219">
        <f t="shared" si="13"/>
        <v>24</v>
      </c>
      <c r="K26" s="231">
        <v>24.0</v>
      </c>
      <c r="L26" s="166"/>
      <c r="M26" s="167"/>
      <c r="N26" s="232"/>
      <c r="O26" s="223"/>
      <c r="P26" s="224"/>
      <c r="Q26" s="233"/>
      <c r="R26" s="234"/>
      <c r="S26" s="235"/>
      <c r="T26" s="65">
        <f t="shared" si="14"/>
        <v>17</v>
      </c>
      <c r="U26" s="85">
        <v>7.9</v>
      </c>
      <c r="V26" s="86"/>
      <c r="W26" s="87">
        <v>4.3</v>
      </c>
      <c r="X26" s="70">
        <f t="shared" si="15"/>
        <v>87.6</v>
      </c>
      <c r="Y26" s="71">
        <f>(E34+K34+Q34)</f>
        <v>176</v>
      </c>
      <c r="Z26" s="66">
        <f t="shared" si="16"/>
        <v>29.3</v>
      </c>
    </row>
    <row r="27" ht="15.75" customHeight="1">
      <c r="A27" s="48">
        <v>45784.0</v>
      </c>
      <c r="B27" s="228">
        <v>4.0</v>
      </c>
      <c r="C27" s="229">
        <v>20.0</v>
      </c>
      <c r="D27" s="214">
        <f t="shared" si="12"/>
        <v>12</v>
      </c>
      <c r="E27" s="215">
        <v>5.5</v>
      </c>
      <c r="F27" s="169"/>
      <c r="G27" s="171"/>
      <c r="H27" s="230">
        <v>1.0</v>
      </c>
      <c r="I27" s="231">
        <v>5.0</v>
      </c>
      <c r="J27" s="219">
        <f t="shared" si="13"/>
        <v>3</v>
      </c>
      <c r="K27" s="231">
        <v>6.6</v>
      </c>
      <c r="L27" s="169"/>
      <c r="M27" s="170"/>
      <c r="N27" s="232">
        <v>2.0</v>
      </c>
      <c r="O27" s="223">
        <v>10.0</v>
      </c>
      <c r="P27" s="224">
        <f t="shared" ref="P27:P30" si="17">O27*0.3</f>
        <v>3</v>
      </c>
      <c r="Q27" s="233">
        <v>3.0</v>
      </c>
      <c r="R27" s="234"/>
      <c r="S27" s="235"/>
      <c r="T27" s="65">
        <f t="shared" si="14"/>
        <v>7</v>
      </c>
      <c r="U27" s="85">
        <v>9.0</v>
      </c>
      <c r="V27" s="86"/>
      <c r="W27" s="87"/>
      <c r="X27" s="70">
        <f t="shared" si="15"/>
        <v>44</v>
      </c>
      <c r="Y27" s="71">
        <f t="shared" ref="Y27:Y31" si="18">(E36+K36+Q36)</f>
        <v>0</v>
      </c>
      <c r="Z27" s="66">
        <f>((((C27+I27)*0.4))+O27*0.7)-W27</f>
        <v>17</v>
      </c>
    </row>
    <row r="28" ht="15.75" customHeight="1">
      <c r="A28" s="48">
        <v>45785.0</v>
      </c>
      <c r="B28" s="228">
        <v>7.0</v>
      </c>
      <c r="C28" s="229">
        <v>37.0</v>
      </c>
      <c r="D28" s="214">
        <f t="shared" si="12"/>
        <v>22.2</v>
      </c>
      <c r="E28" s="215">
        <v>6.0</v>
      </c>
      <c r="F28" s="169"/>
      <c r="G28" s="171"/>
      <c r="H28" s="230">
        <v>7.0</v>
      </c>
      <c r="I28" s="231">
        <v>36.0</v>
      </c>
      <c r="J28" s="219">
        <f t="shared" si="13"/>
        <v>21.6</v>
      </c>
      <c r="K28" s="231">
        <v>7.0</v>
      </c>
      <c r="L28" s="236"/>
      <c r="M28" s="237"/>
      <c r="N28" s="232">
        <v>1.0</v>
      </c>
      <c r="O28" s="223">
        <v>5.0</v>
      </c>
      <c r="P28" s="224">
        <f t="shared" si="17"/>
        <v>1.5</v>
      </c>
      <c r="Q28" s="233"/>
      <c r="R28" s="234"/>
      <c r="S28" s="235"/>
      <c r="T28" s="65">
        <f t="shared" si="14"/>
        <v>15</v>
      </c>
      <c r="U28" s="85">
        <v>11.5</v>
      </c>
      <c r="V28" s="86"/>
      <c r="W28" s="87">
        <v>30.65</v>
      </c>
      <c r="X28" s="70">
        <f t="shared" si="15"/>
        <v>58.85</v>
      </c>
      <c r="Y28" s="71">
        <f t="shared" si="18"/>
        <v>0</v>
      </c>
      <c r="Z28" s="66">
        <f t="shared" ref="Z28:Z29" si="19">((((C28+I28)*0.4))+O28)-W28</f>
        <v>3.55</v>
      </c>
    </row>
    <row r="29" ht="15.75" customHeight="1">
      <c r="A29" s="48">
        <v>45786.0</v>
      </c>
      <c r="B29" s="228">
        <v>6.0</v>
      </c>
      <c r="C29" s="238">
        <v>34.0</v>
      </c>
      <c r="D29" s="214">
        <v>21.0</v>
      </c>
      <c r="E29" s="215">
        <v>20.2</v>
      </c>
      <c r="F29" s="239"/>
      <c r="G29" s="240"/>
      <c r="H29" s="230">
        <v>5.0</v>
      </c>
      <c r="I29" s="231">
        <v>28.0</v>
      </c>
      <c r="J29" s="219">
        <f t="shared" si="13"/>
        <v>16.8</v>
      </c>
      <c r="K29" s="231">
        <v>8.5</v>
      </c>
      <c r="L29" s="236"/>
      <c r="M29" s="237"/>
      <c r="N29" s="232">
        <v>1.0</v>
      </c>
      <c r="O29" s="223">
        <v>5.0</v>
      </c>
      <c r="P29" s="224">
        <f t="shared" si="17"/>
        <v>1.5</v>
      </c>
      <c r="Q29" s="233"/>
      <c r="R29" s="234"/>
      <c r="S29" s="235"/>
      <c r="T29" s="65">
        <f t="shared" si="14"/>
        <v>12</v>
      </c>
      <c r="U29" s="85">
        <v>10.5</v>
      </c>
      <c r="V29" s="86"/>
      <c r="W29" s="87"/>
      <c r="X29" s="70">
        <f t="shared" si="15"/>
        <v>77.5</v>
      </c>
      <c r="Y29" s="71">
        <f t="shared" si="18"/>
        <v>0</v>
      </c>
      <c r="Z29" s="66">
        <f t="shared" si="19"/>
        <v>29.8</v>
      </c>
    </row>
    <row r="30" ht="15.75" customHeight="1">
      <c r="A30" s="48">
        <v>45787.0</v>
      </c>
      <c r="B30" s="228">
        <v>14.0</v>
      </c>
      <c r="C30" s="238">
        <v>72.0</v>
      </c>
      <c r="D30" s="214">
        <f>C30*0.6</f>
        <v>43.2</v>
      </c>
      <c r="E30" s="215">
        <v>9.0</v>
      </c>
      <c r="F30" s="239"/>
      <c r="G30" s="240"/>
      <c r="H30" s="230">
        <v>12.0</v>
      </c>
      <c r="I30" s="231">
        <v>60.0</v>
      </c>
      <c r="J30" s="219">
        <f t="shared" si="13"/>
        <v>36</v>
      </c>
      <c r="K30" s="231">
        <v>28.0</v>
      </c>
      <c r="L30" s="236"/>
      <c r="M30" s="237"/>
      <c r="N30" s="232">
        <v>6.0</v>
      </c>
      <c r="O30" s="223">
        <v>5.0</v>
      </c>
      <c r="P30" s="224">
        <f t="shared" si="17"/>
        <v>1.5</v>
      </c>
      <c r="Q30" s="233"/>
      <c r="R30" s="234"/>
      <c r="S30" s="235"/>
      <c r="T30" s="65">
        <f t="shared" si="14"/>
        <v>32</v>
      </c>
      <c r="U30" s="85">
        <v>21.5</v>
      </c>
      <c r="V30" s="86"/>
      <c r="W30" s="87">
        <v>18.3</v>
      </c>
      <c r="X30" s="70">
        <f t="shared" si="15"/>
        <v>140.2</v>
      </c>
      <c r="Y30" s="71">
        <f t="shared" si="18"/>
        <v>0</v>
      </c>
      <c r="Z30" s="66">
        <f>((((C30+I30)*0.49))+O30)-W30</f>
        <v>51.38</v>
      </c>
    </row>
    <row r="31" ht="15.75" customHeight="1">
      <c r="A31" s="48">
        <v>45788.0</v>
      </c>
      <c r="B31" s="241">
        <v>4.0</v>
      </c>
      <c r="C31" s="242">
        <v>19.0</v>
      </c>
      <c r="D31" s="214">
        <f>(C31*1)</f>
        <v>19</v>
      </c>
      <c r="E31" s="215">
        <v>3.75</v>
      </c>
      <c r="F31" s="243"/>
      <c r="G31" s="244"/>
      <c r="H31" s="245">
        <v>5.0</v>
      </c>
      <c r="I31" s="246">
        <v>25.0</v>
      </c>
      <c r="J31" s="219">
        <f t="shared" si="13"/>
        <v>15</v>
      </c>
      <c r="K31" s="231">
        <v>8.25</v>
      </c>
      <c r="L31" s="247">
        <v>5.0</v>
      </c>
      <c r="M31" s="248">
        <v>25.0</v>
      </c>
      <c r="N31" s="249">
        <v>5.0</v>
      </c>
      <c r="O31" s="223">
        <v>24.0</v>
      </c>
      <c r="P31" s="224">
        <f>(O31*1)</f>
        <v>24</v>
      </c>
      <c r="Q31" s="250"/>
      <c r="R31" s="251"/>
      <c r="S31" s="252"/>
      <c r="T31" s="65">
        <f t="shared" si="14"/>
        <v>14</v>
      </c>
      <c r="U31" s="108"/>
      <c r="V31" s="109"/>
      <c r="W31" s="110"/>
      <c r="X31" s="70">
        <f t="shared" si="15"/>
        <v>68</v>
      </c>
      <c r="Y31" s="71">
        <f t="shared" si="18"/>
        <v>0</v>
      </c>
      <c r="Z31" s="66"/>
    </row>
    <row r="32" ht="15.75" customHeight="1">
      <c r="A32" s="112" t="s">
        <v>23</v>
      </c>
      <c r="B32" s="253">
        <f t="shared" ref="B32:Q32" si="20">SUM(B25:B31)</f>
        <v>51</v>
      </c>
      <c r="C32" s="254">
        <f t="shared" si="20"/>
        <v>262</v>
      </c>
      <c r="D32" s="255">
        <f t="shared" si="20"/>
        <v>165.4</v>
      </c>
      <c r="E32" s="254">
        <f t="shared" si="20"/>
        <v>51.95</v>
      </c>
      <c r="F32" s="256">
        <f t="shared" si="20"/>
        <v>0</v>
      </c>
      <c r="G32" s="256">
        <f t="shared" si="20"/>
        <v>0</v>
      </c>
      <c r="H32" s="257">
        <f t="shared" si="20"/>
        <v>44</v>
      </c>
      <c r="I32" s="258">
        <f t="shared" si="20"/>
        <v>223</v>
      </c>
      <c r="J32" s="258">
        <f t="shared" si="20"/>
        <v>133.8</v>
      </c>
      <c r="K32" s="258">
        <f t="shared" si="20"/>
        <v>99.75</v>
      </c>
      <c r="L32" s="257">
        <f t="shared" si="20"/>
        <v>6</v>
      </c>
      <c r="M32" s="257">
        <f t="shared" si="20"/>
        <v>30</v>
      </c>
      <c r="N32" s="259">
        <f t="shared" si="20"/>
        <v>15</v>
      </c>
      <c r="O32" s="260">
        <f t="shared" si="20"/>
        <v>49</v>
      </c>
      <c r="P32" s="260">
        <f t="shared" si="20"/>
        <v>31.5</v>
      </c>
      <c r="Q32" s="260">
        <f t="shared" si="20"/>
        <v>3</v>
      </c>
      <c r="R32" s="261"/>
      <c r="S32" s="261"/>
      <c r="T32" s="121">
        <f>SUM(T25:T31)</f>
        <v>110</v>
      </c>
      <c r="U32" s="122"/>
      <c r="V32" s="123"/>
      <c r="W32" s="123">
        <f t="shared" ref="W32:Z32" si="21">SUM(W25:W31)</f>
        <v>60.05</v>
      </c>
      <c r="X32" s="125">
        <f t="shared" si="21"/>
        <v>540.35</v>
      </c>
      <c r="Y32" s="125">
        <f t="shared" si="21"/>
        <v>352</v>
      </c>
      <c r="Z32" s="126">
        <f t="shared" si="21"/>
        <v>150.23</v>
      </c>
    </row>
    <row r="33" ht="15.75" customHeight="1">
      <c r="C33" s="128"/>
      <c r="D33" s="129" t="s">
        <v>24</v>
      </c>
      <c r="E33" s="130">
        <f>D32+G32</f>
        <v>165.4</v>
      </c>
      <c r="F33" s="127"/>
      <c r="G33" s="127"/>
      <c r="H33" s="127"/>
      <c r="J33" s="129" t="s">
        <v>24</v>
      </c>
      <c r="K33" s="130">
        <f>J32+M32</f>
        <v>163.8</v>
      </c>
      <c r="L33" s="127"/>
      <c r="M33" s="127"/>
      <c r="N33" s="127"/>
      <c r="O33" s="128"/>
      <c r="P33" s="131" t="s">
        <v>24</v>
      </c>
      <c r="Q33" s="127">
        <f>P32+S32</f>
        <v>31.5</v>
      </c>
      <c r="R33" s="127"/>
      <c r="S33" s="127"/>
      <c r="T33" s="127"/>
      <c r="U33" s="127"/>
    </row>
    <row r="34" ht="15.75" customHeight="1">
      <c r="D34" s="132" t="s">
        <v>25</v>
      </c>
      <c r="E34" s="133">
        <f>D32-E32</f>
        <v>113.45</v>
      </c>
      <c r="F34" s="127"/>
      <c r="G34" s="127"/>
      <c r="H34" s="127"/>
      <c r="J34" s="132" t="s">
        <v>25</v>
      </c>
      <c r="K34" s="133">
        <f>J32-K32</f>
        <v>34.05</v>
      </c>
      <c r="L34" s="127">
        <f>K34-25</f>
        <v>9.05</v>
      </c>
      <c r="M34" s="127" t="s">
        <v>30</v>
      </c>
      <c r="N34" s="127"/>
      <c r="O34" s="128"/>
      <c r="P34" s="132" t="s">
        <v>25</v>
      </c>
      <c r="Q34" s="133">
        <f>P32-Q32</f>
        <v>28.5</v>
      </c>
      <c r="R34" s="127"/>
      <c r="S34" s="127"/>
      <c r="T34" s="127"/>
      <c r="U34" s="127"/>
    </row>
    <row r="35" ht="15.75" customHeight="1">
      <c r="J35" s="134"/>
      <c r="K35" s="127"/>
      <c r="L35" s="128"/>
      <c r="M35" s="128"/>
      <c r="N35" s="128"/>
      <c r="O35" s="128"/>
      <c r="P35" s="134"/>
      <c r="Q35" s="127"/>
    </row>
    <row r="36" ht="15.75" customHeight="1">
      <c r="J36" s="127"/>
      <c r="Z36" s="131" t="s">
        <v>30</v>
      </c>
    </row>
    <row r="37" ht="15.75" customHeight="1"/>
    <row r="38" ht="15.75" customHeight="1"/>
    <row r="39" ht="15.75" customHeight="1">
      <c r="C39" s="1" t="s">
        <v>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3"/>
      <c r="R39" s="4"/>
      <c r="S39" s="4"/>
      <c r="T39" s="5" t="s">
        <v>1</v>
      </c>
      <c r="U39" s="6" t="s">
        <v>2</v>
      </c>
      <c r="V39" s="7" t="s">
        <v>3</v>
      </c>
      <c r="W39" s="8"/>
      <c r="X39" s="10" t="s">
        <v>4</v>
      </c>
      <c r="Y39" s="11"/>
      <c r="Z39" s="8"/>
    </row>
    <row r="40" ht="15.75" customHeight="1">
      <c r="A40" s="12"/>
      <c r="B40" s="193" t="s">
        <v>28</v>
      </c>
      <c r="C40" s="14"/>
      <c r="D40" s="14"/>
      <c r="E40" s="14"/>
      <c r="F40" s="15"/>
      <c r="G40" s="194"/>
      <c r="H40" s="195" t="s">
        <v>29</v>
      </c>
      <c r="I40" s="14"/>
      <c r="J40" s="14"/>
      <c r="K40" s="14"/>
      <c r="L40" s="15"/>
      <c r="M40" s="196"/>
      <c r="N40" s="197" t="s">
        <v>7</v>
      </c>
      <c r="O40" s="14"/>
      <c r="P40" s="14"/>
      <c r="Q40" s="14"/>
      <c r="R40" s="15"/>
      <c r="S40" s="198"/>
      <c r="T40" s="21"/>
      <c r="U40" s="22"/>
      <c r="V40" s="23"/>
      <c r="W40" s="24"/>
      <c r="X40" s="23"/>
      <c r="Y40" s="26"/>
      <c r="Z40" s="24"/>
    </row>
    <row r="41" ht="15.75" customHeight="1">
      <c r="A41" s="27" t="s">
        <v>8</v>
      </c>
      <c r="B41" s="199" t="s">
        <v>9</v>
      </c>
      <c r="C41" s="200" t="s">
        <v>10</v>
      </c>
      <c r="D41" s="201" t="s">
        <v>11</v>
      </c>
      <c r="E41" s="201" t="s">
        <v>12</v>
      </c>
      <c r="F41" s="202" t="s">
        <v>13</v>
      </c>
      <c r="G41" s="203" t="s">
        <v>14</v>
      </c>
      <c r="H41" s="204" t="s">
        <v>9</v>
      </c>
      <c r="I41" s="205" t="s">
        <v>10</v>
      </c>
      <c r="J41" s="205" t="s">
        <v>11</v>
      </c>
      <c r="K41" s="205" t="s">
        <v>12</v>
      </c>
      <c r="L41" s="206" t="s">
        <v>13</v>
      </c>
      <c r="M41" s="207" t="s">
        <v>14</v>
      </c>
      <c r="N41" s="208" t="s">
        <v>9</v>
      </c>
      <c r="O41" s="208" t="s">
        <v>10</v>
      </c>
      <c r="P41" s="209" t="s">
        <v>15</v>
      </c>
      <c r="Q41" s="210" t="s">
        <v>12</v>
      </c>
      <c r="R41" s="210" t="s">
        <v>13</v>
      </c>
      <c r="S41" s="211" t="s">
        <v>14</v>
      </c>
      <c r="T41" s="22"/>
      <c r="U41" s="41" t="s">
        <v>16</v>
      </c>
      <c r="V41" s="42" t="s">
        <v>17</v>
      </c>
      <c r="W41" s="43" t="s">
        <v>18</v>
      </c>
      <c r="X41" s="45" t="s">
        <v>20</v>
      </c>
      <c r="Y41" s="46" t="s">
        <v>21</v>
      </c>
      <c r="Z41" s="47" t="s">
        <v>22</v>
      </c>
    </row>
    <row r="42" ht="15.75" customHeight="1">
      <c r="A42" s="48">
        <v>45789.0</v>
      </c>
      <c r="B42" s="212">
        <v>8.0</v>
      </c>
      <c r="C42" s="213">
        <v>40.0</v>
      </c>
      <c r="D42" s="214">
        <f t="shared" ref="D42:D47" si="22">C42*0.6</f>
        <v>24</v>
      </c>
      <c r="E42" s="215"/>
      <c r="F42" s="262">
        <v>1.0</v>
      </c>
      <c r="G42" s="263">
        <v>5.0</v>
      </c>
      <c r="H42" s="218">
        <v>2.0</v>
      </c>
      <c r="I42" s="219">
        <v>10.0</v>
      </c>
      <c r="J42" s="219">
        <f t="shared" ref="J42:J47" si="23">(I42*0.6)</f>
        <v>6</v>
      </c>
      <c r="K42" s="219">
        <v>8.0</v>
      </c>
      <c r="L42" s="216"/>
      <c r="M42" s="264"/>
      <c r="N42" s="222">
        <v>1.0</v>
      </c>
      <c r="O42" s="223">
        <v>5.0</v>
      </c>
      <c r="P42" s="224">
        <f t="shared" ref="P42:P48" si="24">O42*0.3</f>
        <v>1.5</v>
      </c>
      <c r="Q42" s="225"/>
      <c r="R42" s="216"/>
      <c r="S42" s="264"/>
      <c r="T42" s="65">
        <f t="shared" ref="T42:T48" si="25">(B42+H42+N42)+F42+L42+R42</f>
        <v>12</v>
      </c>
      <c r="U42" s="66">
        <v>0.0</v>
      </c>
      <c r="V42" s="67">
        <v>0.0</v>
      </c>
      <c r="W42" s="68">
        <v>20.95</v>
      </c>
      <c r="X42" s="70">
        <f t="shared" ref="X42:X47" si="26">((C42+I42+O42)+(U42+V42))-W42-E42-K42-Q42</f>
        <v>26.05</v>
      </c>
      <c r="Y42" s="71">
        <f>(E51+K51+Q51)</f>
        <v>184.95</v>
      </c>
      <c r="Z42" s="66">
        <f t="shared" ref="Z42:Z43" si="27">((((C42+I42)*0.4))+O42)-W42</f>
        <v>4.05</v>
      </c>
    </row>
    <row r="43" ht="15.75" customHeight="1">
      <c r="A43" s="48">
        <v>45790.0</v>
      </c>
      <c r="B43" s="228">
        <v>5.0</v>
      </c>
      <c r="C43" s="229">
        <v>20.0</v>
      </c>
      <c r="D43" s="214">
        <f t="shared" si="22"/>
        <v>12</v>
      </c>
      <c r="E43" s="215"/>
      <c r="F43" s="169"/>
      <c r="G43" s="171"/>
      <c r="H43" s="230">
        <v>4.0</v>
      </c>
      <c r="I43" s="231">
        <v>25.0</v>
      </c>
      <c r="J43" s="219">
        <f t="shared" si="23"/>
        <v>15</v>
      </c>
      <c r="K43" s="231">
        <v>5.3</v>
      </c>
      <c r="L43" s="236">
        <v>1.0</v>
      </c>
      <c r="M43" s="237">
        <v>5.0</v>
      </c>
      <c r="N43" s="232">
        <v>3.0</v>
      </c>
      <c r="O43" s="223">
        <v>15.0</v>
      </c>
      <c r="P43" s="224">
        <f t="shared" si="24"/>
        <v>4.5</v>
      </c>
      <c r="Q43" s="233"/>
      <c r="R43" s="169"/>
      <c r="S43" s="170"/>
      <c r="T43" s="65">
        <f t="shared" si="25"/>
        <v>13</v>
      </c>
      <c r="U43" s="85"/>
      <c r="V43" s="86"/>
      <c r="W43" s="87">
        <v>2.75</v>
      </c>
      <c r="X43" s="70">
        <f t="shared" si="26"/>
        <v>51.95</v>
      </c>
      <c r="Y43" s="71"/>
      <c r="Z43" s="66">
        <f t="shared" si="27"/>
        <v>30.25</v>
      </c>
    </row>
    <row r="44" ht="15.75" customHeight="1">
      <c r="A44" s="48">
        <v>45791.0</v>
      </c>
      <c r="B44" s="228">
        <v>2.0</v>
      </c>
      <c r="C44" s="229">
        <v>10.0</v>
      </c>
      <c r="D44" s="214">
        <f t="shared" si="22"/>
        <v>6</v>
      </c>
      <c r="E44" s="215"/>
      <c r="F44" s="169"/>
      <c r="G44" s="171"/>
      <c r="H44" s="230">
        <v>2.0</v>
      </c>
      <c r="I44" s="231">
        <v>10.0</v>
      </c>
      <c r="J44" s="219">
        <f t="shared" si="23"/>
        <v>6</v>
      </c>
      <c r="K44" s="231">
        <v>5.0</v>
      </c>
      <c r="L44" s="169"/>
      <c r="M44" s="170"/>
      <c r="N44" s="232">
        <v>1.0</v>
      </c>
      <c r="O44" s="223">
        <v>5.0</v>
      </c>
      <c r="P44" s="224">
        <f t="shared" si="24"/>
        <v>1.5</v>
      </c>
      <c r="Q44" s="233"/>
      <c r="R44" s="169"/>
      <c r="S44" s="170"/>
      <c r="T44" s="65">
        <f t="shared" si="25"/>
        <v>5</v>
      </c>
      <c r="U44" s="85"/>
      <c r="V44" s="86"/>
      <c r="W44" s="87">
        <v>8.0</v>
      </c>
      <c r="X44" s="70">
        <f t="shared" si="26"/>
        <v>12</v>
      </c>
      <c r="Y44" s="71">
        <f t="shared" ref="Y44:Y46" si="28">(E53+K53+Q53)</f>
        <v>0</v>
      </c>
      <c r="Z44" s="66">
        <f>((((C44+I44)*0.4))+O44*0.7)-W44</f>
        <v>3.5</v>
      </c>
    </row>
    <row r="45" ht="15.75" customHeight="1">
      <c r="A45" s="48">
        <v>45792.0</v>
      </c>
      <c r="B45" s="228">
        <v>7.0</v>
      </c>
      <c r="C45" s="229">
        <v>35.0</v>
      </c>
      <c r="D45" s="214">
        <f t="shared" si="22"/>
        <v>21</v>
      </c>
      <c r="E45" s="215"/>
      <c r="F45" s="169"/>
      <c r="G45" s="171"/>
      <c r="H45" s="230">
        <v>4.0</v>
      </c>
      <c r="I45" s="231">
        <v>20.0</v>
      </c>
      <c r="J45" s="219">
        <f t="shared" si="23"/>
        <v>12</v>
      </c>
      <c r="K45" s="231">
        <v>8.75</v>
      </c>
      <c r="L45" s="236">
        <v>2.0</v>
      </c>
      <c r="M45" s="237">
        <v>10.0</v>
      </c>
      <c r="N45" s="232">
        <v>1.0</v>
      </c>
      <c r="O45" s="223">
        <v>5.0</v>
      </c>
      <c r="P45" s="224">
        <f t="shared" si="24"/>
        <v>1.5</v>
      </c>
      <c r="Q45" s="233"/>
      <c r="R45" s="234">
        <v>1.0</v>
      </c>
      <c r="S45" s="235">
        <v>5.0</v>
      </c>
      <c r="T45" s="65">
        <f t="shared" si="25"/>
        <v>15</v>
      </c>
      <c r="U45" s="85">
        <f>53.3-49.5</f>
        <v>3.8</v>
      </c>
      <c r="V45" s="86"/>
      <c r="W45" s="87">
        <v>1.75</v>
      </c>
      <c r="X45" s="70">
        <f t="shared" si="26"/>
        <v>53.3</v>
      </c>
      <c r="Y45" s="71">
        <f t="shared" si="28"/>
        <v>0</v>
      </c>
      <c r="Z45" s="66">
        <f t="shared" ref="Z45:Z46" si="29">((((C45+I45)*0.4))+O45)-W45</f>
        <v>25.25</v>
      </c>
    </row>
    <row r="46" ht="15.75" customHeight="1">
      <c r="A46" s="48">
        <v>45793.0</v>
      </c>
      <c r="B46" s="228">
        <v>6.0</v>
      </c>
      <c r="C46" s="238">
        <v>34.0</v>
      </c>
      <c r="D46" s="214">
        <f t="shared" si="22"/>
        <v>20.4</v>
      </c>
      <c r="E46" s="215">
        <v>5.0</v>
      </c>
      <c r="F46" s="239"/>
      <c r="G46" s="240"/>
      <c r="H46" s="230">
        <v>4.0</v>
      </c>
      <c r="I46" s="231">
        <v>20.0</v>
      </c>
      <c r="J46" s="219">
        <f t="shared" si="23"/>
        <v>12</v>
      </c>
      <c r="K46" s="231">
        <v>10.55</v>
      </c>
      <c r="L46" s="236"/>
      <c r="M46" s="237"/>
      <c r="N46" s="232">
        <v>1.0</v>
      </c>
      <c r="O46" s="223">
        <v>10.0</v>
      </c>
      <c r="P46" s="224">
        <f t="shared" si="24"/>
        <v>3</v>
      </c>
      <c r="Q46" s="233"/>
      <c r="R46" s="234"/>
      <c r="S46" s="235"/>
      <c r="T46" s="65">
        <f t="shared" si="25"/>
        <v>11</v>
      </c>
      <c r="U46" s="85">
        <v>3.3</v>
      </c>
      <c r="V46" s="86"/>
      <c r="W46" s="87"/>
      <c r="X46" s="70">
        <f t="shared" si="26"/>
        <v>51.75</v>
      </c>
      <c r="Y46" s="71">
        <f t="shared" si="28"/>
        <v>0</v>
      </c>
      <c r="Z46" s="66">
        <f t="shared" si="29"/>
        <v>31.6</v>
      </c>
    </row>
    <row r="47" ht="15.75" customHeight="1">
      <c r="A47" s="48">
        <v>45794.0</v>
      </c>
      <c r="B47" s="228">
        <v>9.0</v>
      </c>
      <c r="C47" s="238">
        <v>41.0</v>
      </c>
      <c r="D47" s="214">
        <f t="shared" si="22"/>
        <v>24.6</v>
      </c>
      <c r="E47" s="215"/>
      <c r="F47" s="239"/>
      <c r="G47" s="240"/>
      <c r="H47" s="230">
        <v>9.0</v>
      </c>
      <c r="I47" s="231">
        <v>40.0</v>
      </c>
      <c r="J47" s="219">
        <f t="shared" si="23"/>
        <v>24</v>
      </c>
      <c r="K47" s="231">
        <v>22.25</v>
      </c>
      <c r="L47" s="236"/>
      <c r="M47" s="237"/>
      <c r="N47" s="232">
        <v>6.0</v>
      </c>
      <c r="O47" s="223">
        <v>25.0</v>
      </c>
      <c r="P47" s="224">
        <f t="shared" si="24"/>
        <v>7.5</v>
      </c>
      <c r="Q47" s="233">
        <v>13.7</v>
      </c>
      <c r="R47" s="234"/>
      <c r="S47" s="235"/>
      <c r="T47" s="65">
        <f t="shared" si="25"/>
        <v>24</v>
      </c>
      <c r="U47" s="85"/>
      <c r="V47" s="86"/>
      <c r="W47" s="87"/>
      <c r="X47" s="70">
        <f t="shared" si="26"/>
        <v>70.05</v>
      </c>
      <c r="Y47" s="71" t="str">
        <f t="shared" ref="Y47:Y48" si="30">(E56+K56+#REF!)</f>
        <v>#REF!</v>
      </c>
      <c r="Z47" s="66">
        <f>((((C47+I47)*0.49))+O47)-W47</f>
        <v>64.69</v>
      </c>
    </row>
    <row r="48" ht="15.75" customHeight="1">
      <c r="A48" s="48">
        <v>45795.0</v>
      </c>
      <c r="B48" s="241">
        <v>7.0</v>
      </c>
      <c r="C48" s="242">
        <v>35.0</v>
      </c>
      <c r="D48" s="214">
        <f>(C48*0.6)</f>
        <v>21</v>
      </c>
      <c r="E48" s="215"/>
      <c r="F48" s="243"/>
      <c r="G48" s="244"/>
      <c r="H48" s="245">
        <v>8.0</v>
      </c>
      <c r="I48" s="246">
        <v>40.0</v>
      </c>
      <c r="J48" s="219">
        <f>(I48*1)</f>
        <v>40</v>
      </c>
      <c r="K48" s="231"/>
      <c r="L48" s="247"/>
      <c r="M48" s="248"/>
      <c r="N48" s="249"/>
      <c r="O48" s="223"/>
      <c r="P48" s="224">
        <f t="shared" si="24"/>
        <v>0</v>
      </c>
      <c r="Q48" s="250"/>
      <c r="R48" s="251"/>
      <c r="S48" s="252"/>
      <c r="T48" s="65">
        <f t="shared" si="25"/>
        <v>15</v>
      </c>
      <c r="U48" s="108"/>
      <c r="V48" s="109"/>
      <c r="W48" s="110"/>
      <c r="X48" s="70">
        <f>(C48+I48+O48+U48+V48)-(W48)</f>
        <v>75</v>
      </c>
      <c r="Y48" s="71" t="str">
        <f t="shared" si="30"/>
        <v>#REF!</v>
      </c>
      <c r="Z48" s="66"/>
    </row>
    <row r="49" ht="15.75" customHeight="1">
      <c r="A49" s="112" t="s">
        <v>23</v>
      </c>
      <c r="B49" s="253">
        <f t="shared" ref="B49:Q49" si="31">SUM(B42:B48)</f>
        <v>44</v>
      </c>
      <c r="C49" s="254">
        <f t="shared" si="31"/>
        <v>215</v>
      </c>
      <c r="D49" s="254">
        <f t="shared" si="31"/>
        <v>129</v>
      </c>
      <c r="E49" s="254">
        <f t="shared" si="31"/>
        <v>5</v>
      </c>
      <c r="F49" s="256">
        <f t="shared" si="31"/>
        <v>1</v>
      </c>
      <c r="G49" s="256">
        <f t="shared" si="31"/>
        <v>5</v>
      </c>
      <c r="H49" s="257">
        <f t="shared" si="31"/>
        <v>33</v>
      </c>
      <c r="I49" s="258">
        <f t="shared" si="31"/>
        <v>165</v>
      </c>
      <c r="J49" s="258">
        <f t="shared" si="31"/>
        <v>115</v>
      </c>
      <c r="K49" s="258">
        <f t="shared" si="31"/>
        <v>59.85</v>
      </c>
      <c r="L49" s="257">
        <f t="shared" si="31"/>
        <v>3</v>
      </c>
      <c r="M49" s="257">
        <f t="shared" si="31"/>
        <v>15</v>
      </c>
      <c r="N49" s="259">
        <f t="shared" si="31"/>
        <v>13</v>
      </c>
      <c r="O49" s="260">
        <f t="shared" si="31"/>
        <v>65</v>
      </c>
      <c r="P49" s="260">
        <f t="shared" si="31"/>
        <v>19.5</v>
      </c>
      <c r="Q49" s="260">
        <f t="shared" si="31"/>
        <v>13.7</v>
      </c>
      <c r="R49" s="261"/>
      <c r="S49" s="261"/>
      <c r="T49" s="121">
        <f>SUM(T42:T48)</f>
        <v>95</v>
      </c>
      <c r="U49" s="122"/>
      <c r="V49" s="123"/>
      <c r="W49" s="123">
        <f t="shared" ref="W49:Z49" si="32">SUM(W42:W48)</f>
        <v>33.45</v>
      </c>
      <c r="X49" s="125">
        <f t="shared" si="32"/>
        <v>340.1</v>
      </c>
      <c r="Y49" s="125" t="str">
        <f t="shared" si="32"/>
        <v>#REF!</v>
      </c>
      <c r="Z49" s="126">
        <f t="shared" si="32"/>
        <v>159.34</v>
      </c>
    </row>
    <row r="50" ht="15.75" customHeight="1">
      <c r="C50" s="128"/>
      <c r="D50" s="129" t="s">
        <v>24</v>
      </c>
      <c r="E50" s="130">
        <f>D49+G49</f>
        <v>134</v>
      </c>
      <c r="F50" s="127"/>
      <c r="G50" s="127"/>
      <c r="H50" s="127"/>
      <c r="J50" s="129" t="s">
        <v>4</v>
      </c>
      <c r="K50" s="130">
        <f>(J49+M49)</f>
        <v>130</v>
      </c>
      <c r="L50" s="127"/>
      <c r="M50" s="127"/>
      <c r="N50" s="127"/>
      <c r="O50" s="128"/>
      <c r="P50" s="131" t="s">
        <v>24</v>
      </c>
      <c r="Q50" s="127">
        <f>P49+S49</f>
        <v>19.5</v>
      </c>
      <c r="R50" s="127"/>
      <c r="S50" s="127"/>
      <c r="T50" s="127"/>
      <c r="U50" s="127"/>
    </row>
    <row r="51" ht="15.75" customHeight="1">
      <c r="D51" s="132" t="s">
        <v>25</v>
      </c>
      <c r="E51" s="133">
        <f>D49-E49</f>
        <v>124</v>
      </c>
      <c r="F51" s="127"/>
      <c r="G51" s="127"/>
      <c r="H51" s="127"/>
      <c r="J51" s="132" t="s">
        <v>25</v>
      </c>
      <c r="K51" s="133">
        <f>J49-K49</f>
        <v>55.15</v>
      </c>
      <c r="L51" s="127"/>
      <c r="M51" s="127" t="s">
        <v>30</v>
      </c>
      <c r="N51" s="127"/>
      <c r="O51" s="128"/>
      <c r="P51" s="132" t="s">
        <v>25</v>
      </c>
      <c r="Q51" s="133">
        <f>P49-Q49</f>
        <v>5.8</v>
      </c>
      <c r="R51" s="127"/>
      <c r="S51" s="127"/>
      <c r="T51" s="127"/>
      <c r="U51" s="127"/>
    </row>
    <row r="52" ht="15.75" customHeight="1">
      <c r="J52" s="134"/>
      <c r="K52" s="127"/>
      <c r="L52" s="128"/>
      <c r="M52" s="128"/>
      <c r="N52" s="128"/>
      <c r="O52" s="128"/>
      <c r="P52" s="134"/>
      <c r="Q52" s="127"/>
    </row>
    <row r="53" ht="15.75" customHeight="1"/>
    <row r="54" ht="15.75" customHeight="1"/>
    <row r="55" ht="15.75" customHeight="1"/>
    <row r="56" ht="15.75" customHeight="1"/>
    <row r="57" ht="15.75" customHeight="1">
      <c r="C57" s="1" t="s"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3"/>
      <c r="R57" s="4"/>
      <c r="S57" s="4"/>
      <c r="T57" s="5" t="s">
        <v>1</v>
      </c>
      <c r="U57" s="6" t="s">
        <v>2</v>
      </c>
      <c r="V57" s="7" t="s">
        <v>3</v>
      </c>
      <c r="W57" s="8"/>
      <c r="X57" s="10" t="s">
        <v>4</v>
      </c>
      <c r="Y57" s="11"/>
      <c r="Z57" s="8"/>
    </row>
    <row r="58" ht="15.75" customHeight="1">
      <c r="A58" s="12"/>
      <c r="B58" s="193" t="s">
        <v>28</v>
      </c>
      <c r="C58" s="14"/>
      <c r="D58" s="14"/>
      <c r="E58" s="14"/>
      <c r="F58" s="15"/>
      <c r="G58" s="194"/>
      <c r="H58" s="195" t="s">
        <v>29</v>
      </c>
      <c r="I58" s="14"/>
      <c r="J58" s="14"/>
      <c r="K58" s="14"/>
      <c r="L58" s="15"/>
      <c r="M58" s="196"/>
      <c r="N58" s="197" t="s">
        <v>7</v>
      </c>
      <c r="O58" s="14"/>
      <c r="P58" s="14"/>
      <c r="Q58" s="14"/>
      <c r="R58" s="15"/>
      <c r="S58" s="198"/>
      <c r="T58" s="21"/>
      <c r="U58" s="22"/>
      <c r="V58" s="23"/>
      <c r="W58" s="24"/>
      <c r="X58" s="23"/>
      <c r="Y58" s="26"/>
      <c r="Z58" s="24"/>
    </row>
    <row r="59" ht="15.75" customHeight="1">
      <c r="A59" s="27" t="s">
        <v>8</v>
      </c>
      <c r="B59" s="199" t="s">
        <v>9</v>
      </c>
      <c r="C59" s="200" t="s">
        <v>10</v>
      </c>
      <c r="D59" s="201" t="s">
        <v>31</v>
      </c>
      <c r="E59" s="201" t="s">
        <v>12</v>
      </c>
      <c r="F59" s="202" t="s">
        <v>13</v>
      </c>
      <c r="G59" s="203" t="s">
        <v>14</v>
      </c>
      <c r="H59" s="204" t="s">
        <v>9</v>
      </c>
      <c r="I59" s="205" t="s">
        <v>10</v>
      </c>
      <c r="J59" s="205" t="s">
        <v>11</v>
      </c>
      <c r="K59" s="205" t="s">
        <v>12</v>
      </c>
      <c r="L59" s="206" t="s">
        <v>13</v>
      </c>
      <c r="M59" s="207" t="s">
        <v>14</v>
      </c>
      <c r="N59" s="208" t="s">
        <v>9</v>
      </c>
      <c r="O59" s="208" t="s">
        <v>10</v>
      </c>
      <c r="P59" s="209" t="s">
        <v>15</v>
      </c>
      <c r="Q59" s="210" t="s">
        <v>12</v>
      </c>
      <c r="R59" s="210" t="s">
        <v>13</v>
      </c>
      <c r="S59" s="211" t="s">
        <v>14</v>
      </c>
      <c r="T59" s="22"/>
      <c r="U59" s="41" t="s">
        <v>16</v>
      </c>
      <c r="V59" s="42" t="s">
        <v>17</v>
      </c>
      <c r="W59" s="43" t="s">
        <v>18</v>
      </c>
      <c r="X59" s="45" t="s">
        <v>20</v>
      </c>
      <c r="Y59" s="46" t="s">
        <v>21</v>
      </c>
      <c r="Z59" s="47" t="s">
        <v>22</v>
      </c>
    </row>
    <row r="60" ht="15.75" customHeight="1">
      <c r="A60" s="48">
        <v>45796.0</v>
      </c>
      <c r="B60" s="212">
        <v>5.0</v>
      </c>
      <c r="C60" s="213"/>
      <c r="D60" s="214">
        <v>25.0</v>
      </c>
      <c r="E60" s="215"/>
      <c r="F60" s="262"/>
      <c r="G60" s="263"/>
      <c r="H60" s="218">
        <v>4.0</v>
      </c>
      <c r="I60" s="219">
        <v>18.0</v>
      </c>
      <c r="J60" s="219">
        <f>(I60*0.55)</f>
        <v>9.9</v>
      </c>
      <c r="K60" s="219">
        <v>3.5</v>
      </c>
      <c r="L60" s="216"/>
      <c r="M60" s="264"/>
      <c r="N60" s="222"/>
      <c r="O60" s="223"/>
      <c r="P60" s="224">
        <f t="shared" ref="P60:P66" si="33">(O60*0.3)</f>
        <v>0</v>
      </c>
      <c r="Q60" s="225"/>
      <c r="R60" s="216"/>
      <c r="S60" s="264"/>
      <c r="T60" s="65">
        <f t="shared" ref="T60:T66" si="34">(B60+H60+N60)+F60+L60+R60</f>
        <v>9</v>
      </c>
      <c r="U60" s="66">
        <v>0.0</v>
      </c>
      <c r="V60" s="67">
        <v>0.0</v>
      </c>
      <c r="W60" s="68"/>
      <c r="X60" s="70">
        <f>((C60+I60+O60)+(U60+V60))-W60-E60-K60-Q60</f>
        <v>14.5</v>
      </c>
      <c r="Y60" s="71">
        <f>(E69+K69+Q69)</f>
        <v>281</v>
      </c>
      <c r="Z60" s="66">
        <f t="shared" ref="Z60:Z66" si="35">((((C60+I60)*0.4))+O60)-W60</f>
        <v>7.2</v>
      </c>
    </row>
    <row r="61" ht="15.75" customHeight="1">
      <c r="A61" s="48">
        <v>45797.0</v>
      </c>
      <c r="B61" s="228">
        <v>4.0</v>
      </c>
      <c r="C61" s="229"/>
      <c r="D61" s="214">
        <v>25.0</v>
      </c>
      <c r="E61" s="215"/>
      <c r="F61" s="169"/>
      <c r="G61" s="171"/>
      <c r="H61" s="230">
        <v>4.0</v>
      </c>
      <c r="I61" s="231">
        <v>20.0</v>
      </c>
      <c r="J61" s="219">
        <f t="shared" ref="J61:J66" si="36">(I61*0.6)</f>
        <v>12</v>
      </c>
      <c r="K61" s="231">
        <v>8.0</v>
      </c>
      <c r="L61" s="236"/>
      <c r="M61" s="237"/>
      <c r="N61" s="232"/>
      <c r="O61" s="223"/>
      <c r="P61" s="224">
        <f t="shared" si="33"/>
        <v>0</v>
      </c>
      <c r="Q61" s="233"/>
      <c r="R61" s="169"/>
      <c r="S61" s="170"/>
      <c r="T61" s="65">
        <f t="shared" si="34"/>
        <v>8</v>
      </c>
      <c r="U61" s="85"/>
      <c r="V61" s="86"/>
      <c r="W61" s="87"/>
      <c r="X61" s="70"/>
      <c r="Y61" s="71"/>
      <c r="Z61" s="66">
        <f t="shared" si="35"/>
        <v>8</v>
      </c>
    </row>
    <row r="62" ht="15.75" customHeight="1">
      <c r="A62" s="48">
        <v>45798.0</v>
      </c>
      <c r="B62" s="228">
        <v>5.0</v>
      </c>
      <c r="C62" s="229"/>
      <c r="D62" s="214">
        <v>28.0</v>
      </c>
      <c r="E62" s="215"/>
      <c r="F62" s="169"/>
      <c r="G62" s="171"/>
      <c r="H62" s="230">
        <v>4.0</v>
      </c>
      <c r="I62" s="231">
        <v>20.0</v>
      </c>
      <c r="J62" s="219">
        <f t="shared" si="36"/>
        <v>12</v>
      </c>
      <c r="K62" s="231">
        <v>13.0</v>
      </c>
      <c r="L62" s="169"/>
      <c r="M62" s="170"/>
      <c r="N62" s="232">
        <v>1.0</v>
      </c>
      <c r="O62" s="223">
        <v>2.0</v>
      </c>
      <c r="P62" s="224">
        <f t="shared" si="33"/>
        <v>0.6</v>
      </c>
      <c r="Q62" s="233"/>
      <c r="R62" s="169"/>
      <c r="S62" s="170"/>
      <c r="T62" s="65">
        <f t="shared" si="34"/>
        <v>10</v>
      </c>
      <c r="U62" s="85"/>
      <c r="V62" s="86"/>
      <c r="W62" s="87"/>
      <c r="X62" s="70"/>
      <c r="Y62" s="71"/>
      <c r="Z62" s="66">
        <f t="shared" si="35"/>
        <v>10</v>
      </c>
    </row>
    <row r="63" ht="15.75" customHeight="1">
      <c r="A63" s="48">
        <v>45799.0</v>
      </c>
      <c r="B63" s="228">
        <v>4.0</v>
      </c>
      <c r="C63" s="229"/>
      <c r="D63" s="214">
        <v>20.0</v>
      </c>
      <c r="E63" s="215"/>
      <c r="F63" s="169"/>
      <c r="G63" s="171"/>
      <c r="H63" s="230">
        <v>3.0</v>
      </c>
      <c r="I63" s="231">
        <v>15.0</v>
      </c>
      <c r="J63" s="219">
        <f t="shared" si="36"/>
        <v>9</v>
      </c>
      <c r="K63" s="231">
        <v>5.0</v>
      </c>
      <c r="L63" s="236"/>
      <c r="M63" s="237"/>
      <c r="N63" s="232">
        <v>3.0</v>
      </c>
      <c r="O63" s="223">
        <v>15.0</v>
      </c>
      <c r="P63" s="224">
        <f t="shared" si="33"/>
        <v>4.5</v>
      </c>
      <c r="Q63" s="233"/>
      <c r="R63" s="234"/>
      <c r="S63" s="235"/>
      <c r="T63" s="65">
        <f t="shared" si="34"/>
        <v>10</v>
      </c>
      <c r="U63" s="85"/>
      <c r="V63" s="86"/>
      <c r="W63" s="87"/>
      <c r="X63" s="70"/>
      <c r="Y63" s="71"/>
      <c r="Z63" s="66">
        <f t="shared" si="35"/>
        <v>21</v>
      </c>
    </row>
    <row r="64" ht="15.75" customHeight="1">
      <c r="A64" s="48">
        <v>45800.0</v>
      </c>
      <c r="B64" s="228">
        <v>11.0</v>
      </c>
      <c r="C64" s="238"/>
      <c r="D64" s="214">
        <v>57.0</v>
      </c>
      <c r="E64" s="215">
        <v>5.0</v>
      </c>
      <c r="F64" s="239"/>
      <c r="G64" s="240"/>
      <c r="H64" s="230">
        <v>10.0</v>
      </c>
      <c r="I64" s="231">
        <v>53.0</v>
      </c>
      <c r="J64" s="219">
        <f t="shared" si="36"/>
        <v>31.8</v>
      </c>
      <c r="K64" s="231">
        <v>11.6</v>
      </c>
      <c r="L64" s="236"/>
      <c r="M64" s="237"/>
      <c r="N64" s="232"/>
      <c r="O64" s="223"/>
      <c r="P64" s="224">
        <f t="shared" si="33"/>
        <v>0</v>
      </c>
      <c r="Q64" s="233"/>
      <c r="R64" s="234"/>
      <c r="S64" s="235"/>
      <c r="T64" s="65">
        <f t="shared" si="34"/>
        <v>21</v>
      </c>
      <c r="U64" s="85"/>
      <c r="V64" s="86"/>
      <c r="W64" s="87">
        <v>30.0</v>
      </c>
      <c r="X64" s="70"/>
      <c r="Y64" s="71"/>
      <c r="Z64" s="66">
        <f t="shared" si="35"/>
        <v>-8.8</v>
      </c>
    </row>
    <row r="65" ht="15.75" customHeight="1">
      <c r="A65" s="48">
        <v>45801.0</v>
      </c>
      <c r="B65" s="228">
        <v>14.0</v>
      </c>
      <c r="C65" s="238"/>
      <c r="D65" s="214">
        <v>71.0</v>
      </c>
      <c r="E65" s="215">
        <v>11.5</v>
      </c>
      <c r="F65" s="239"/>
      <c r="G65" s="240"/>
      <c r="H65" s="230">
        <v>15.0</v>
      </c>
      <c r="I65" s="231">
        <v>78.0</v>
      </c>
      <c r="J65" s="219">
        <f t="shared" si="36"/>
        <v>46.8</v>
      </c>
      <c r="K65" s="231">
        <v>32.5</v>
      </c>
      <c r="L65" s="236"/>
      <c r="M65" s="237"/>
      <c r="N65" s="232">
        <v>8.0</v>
      </c>
      <c r="O65" s="223">
        <v>41.0</v>
      </c>
      <c r="P65" s="224">
        <f t="shared" si="33"/>
        <v>12.3</v>
      </c>
      <c r="Q65" s="233">
        <v>5.0</v>
      </c>
      <c r="R65" s="234"/>
      <c r="S65" s="235"/>
      <c r="T65" s="65">
        <f t="shared" si="34"/>
        <v>37</v>
      </c>
      <c r="U65" s="85"/>
      <c r="V65" s="86"/>
      <c r="W65" s="87">
        <v>7.5</v>
      </c>
      <c r="X65" s="70"/>
      <c r="Y65" s="71"/>
      <c r="Z65" s="66">
        <f t="shared" si="35"/>
        <v>64.7</v>
      </c>
    </row>
    <row r="66" ht="15.75" customHeight="1">
      <c r="A66" s="48">
        <v>45802.0</v>
      </c>
      <c r="B66" s="241">
        <v>1.0</v>
      </c>
      <c r="C66" s="242">
        <v>5.0</v>
      </c>
      <c r="D66" s="214">
        <f>C66*0.6</f>
        <v>3</v>
      </c>
      <c r="E66" s="215"/>
      <c r="F66" s="243"/>
      <c r="G66" s="244"/>
      <c r="H66" s="245">
        <v>4.0</v>
      </c>
      <c r="I66" s="246">
        <v>20.0</v>
      </c>
      <c r="J66" s="219">
        <f t="shared" si="36"/>
        <v>12</v>
      </c>
      <c r="K66" s="231">
        <v>3.8</v>
      </c>
      <c r="L66" s="247">
        <v>4.0</v>
      </c>
      <c r="M66" s="248">
        <v>20.0</v>
      </c>
      <c r="N66" s="249"/>
      <c r="O66" s="223"/>
      <c r="P66" s="224">
        <f t="shared" si="33"/>
        <v>0</v>
      </c>
      <c r="Q66" s="250"/>
      <c r="R66" s="251"/>
      <c r="S66" s="252"/>
      <c r="T66" s="65">
        <f t="shared" si="34"/>
        <v>9</v>
      </c>
      <c r="U66" s="108"/>
      <c r="V66" s="109"/>
      <c r="W66" s="110"/>
      <c r="X66" s="70"/>
      <c r="Y66" s="71"/>
      <c r="Z66" s="66">
        <f t="shared" si="35"/>
        <v>10</v>
      </c>
    </row>
    <row r="67" ht="15.75" customHeight="1">
      <c r="A67" s="112" t="s">
        <v>23</v>
      </c>
      <c r="B67" s="253">
        <f t="shared" ref="B67:Q67" si="37">SUM(B60:B66)</f>
        <v>44</v>
      </c>
      <c r="C67" s="254">
        <f t="shared" si="37"/>
        <v>5</v>
      </c>
      <c r="D67" s="254">
        <f t="shared" si="37"/>
        <v>229</v>
      </c>
      <c r="E67" s="254">
        <f t="shared" si="37"/>
        <v>16.5</v>
      </c>
      <c r="F67" s="256">
        <f t="shared" si="37"/>
        <v>0</v>
      </c>
      <c r="G67" s="256">
        <f t="shared" si="37"/>
        <v>0</v>
      </c>
      <c r="H67" s="257">
        <f t="shared" si="37"/>
        <v>44</v>
      </c>
      <c r="I67" s="258">
        <f t="shared" si="37"/>
        <v>224</v>
      </c>
      <c r="J67" s="258">
        <f t="shared" si="37"/>
        <v>133.5</v>
      </c>
      <c r="K67" s="258">
        <f t="shared" si="37"/>
        <v>77.4</v>
      </c>
      <c r="L67" s="257">
        <f t="shared" si="37"/>
        <v>4</v>
      </c>
      <c r="M67" s="257">
        <f t="shared" si="37"/>
        <v>20</v>
      </c>
      <c r="N67" s="259">
        <f t="shared" si="37"/>
        <v>12</v>
      </c>
      <c r="O67" s="260">
        <f t="shared" si="37"/>
        <v>58</v>
      </c>
      <c r="P67" s="260">
        <f t="shared" si="37"/>
        <v>17.4</v>
      </c>
      <c r="Q67" s="260">
        <f t="shared" si="37"/>
        <v>5</v>
      </c>
      <c r="R67" s="261"/>
      <c r="S67" s="261"/>
      <c r="T67" s="121">
        <f>SUM(T60:T66)</f>
        <v>104</v>
      </c>
      <c r="U67" s="122"/>
      <c r="V67" s="123"/>
      <c r="W67" s="123"/>
      <c r="X67" s="125">
        <f t="shared" ref="X67:Z67" si="38">SUM(X60:X66)</f>
        <v>14.5</v>
      </c>
      <c r="Y67" s="125">
        <f t="shared" si="38"/>
        <v>281</v>
      </c>
      <c r="Z67" s="126">
        <f t="shared" si="38"/>
        <v>112.1</v>
      </c>
    </row>
    <row r="68" ht="15.75" customHeight="1">
      <c r="C68" s="128"/>
      <c r="D68" s="129" t="s">
        <v>24</v>
      </c>
      <c r="E68" s="130">
        <f>D67+G67</f>
        <v>229</v>
      </c>
      <c r="F68" s="127"/>
      <c r="G68" s="127"/>
      <c r="H68" s="127"/>
      <c r="J68" s="129" t="s">
        <v>4</v>
      </c>
      <c r="K68" s="130">
        <f>(J67+M67)</f>
        <v>153.5</v>
      </c>
      <c r="L68" s="127"/>
      <c r="M68" s="127"/>
      <c r="N68" s="127"/>
      <c r="O68" s="128"/>
      <c r="P68" s="131" t="s">
        <v>24</v>
      </c>
      <c r="Q68" s="127">
        <f>P67+S67</f>
        <v>17.4</v>
      </c>
      <c r="R68" s="127"/>
      <c r="S68" s="127"/>
      <c r="T68" s="127"/>
      <c r="U68" s="127"/>
    </row>
    <row r="69" ht="15.75" customHeight="1">
      <c r="D69" s="132" t="s">
        <v>25</v>
      </c>
      <c r="E69" s="133">
        <f>D67-E67</f>
        <v>212.5</v>
      </c>
      <c r="F69" s="127"/>
      <c r="G69" s="127"/>
      <c r="H69" s="127"/>
      <c r="J69" s="132" t="s">
        <v>25</v>
      </c>
      <c r="K69" s="133">
        <f>J67-K67</f>
        <v>56.1</v>
      </c>
      <c r="L69" s="127"/>
      <c r="M69" s="127" t="s">
        <v>30</v>
      </c>
      <c r="N69" s="127"/>
      <c r="O69" s="128"/>
      <c r="P69" s="132" t="s">
        <v>25</v>
      </c>
      <c r="Q69" s="133">
        <f>P67-Q67</f>
        <v>12.4</v>
      </c>
      <c r="R69" s="127"/>
      <c r="S69" s="127"/>
      <c r="T69" s="127"/>
      <c r="U69" s="127"/>
    </row>
    <row r="70" ht="15.75" customHeight="1">
      <c r="M70" s="131" t="s">
        <v>26</v>
      </c>
    </row>
    <row r="71" ht="15.75" customHeight="1"/>
    <row r="72" ht="15.75" customHeight="1"/>
    <row r="73" ht="15.75" customHeight="1"/>
    <row r="74" ht="15.75" customHeight="1"/>
    <row r="75" ht="15.75" customHeight="1">
      <c r="C75" s="1" t="s">
        <v>0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3"/>
      <c r="R75" s="4"/>
      <c r="S75" s="4"/>
      <c r="T75" s="5" t="s">
        <v>1</v>
      </c>
      <c r="U75" s="6" t="s">
        <v>2</v>
      </c>
      <c r="V75" s="7" t="s">
        <v>3</v>
      </c>
      <c r="W75" s="8"/>
      <c r="X75" s="10" t="s">
        <v>4</v>
      </c>
      <c r="Y75" s="11"/>
      <c r="Z75" s="8"/>
    </row>
    <row r="76" ht="15.75" customHeight="1">
      <c r="A76" s="12"/>
      <c r="B76" s="193" t="s">
        <v>28</v>
      </c>
      <c r="C76" s="14"/>
      <c r="D76" s="14"/>
      <c r="E76" s="14"/>
      <c r="F76" s="15"/>
      <c r="G76" s="194"/>
      <c r="H76" s="195" t="s">
        <v>29</v>
      </c>
      <c r="I76" s="14"/>
      <c r="J76" s="14"/>
      <c r="K76" s="14"/>
      <c r="L76" s="15"/>
      <c r="M76" s="196"/>
      <c r="N76" s="197" t="s">
        <v>7</v>
      </c>
      <c r="O76" s="14"/>
      <c r="P76" s="14"/>
      <c r="Q76" s="14"/>
      <c r="R76" s="15"/>
      <c r="S76" s="198"/>
      <c r="T76" s="21"/>
      <c r="U76" s="22"/>
      <c r="V76" s="23"/>
      <c r="W76" s="24"/>
      <c r="X76" s="23"/>
      <c r="Y76" s="26"/>
      <c r="Z76" s="24"/>
    </row>
    <row r="77" ht="15.75" customHeight="1">
      <c r="A77" s="27" t="s">
        <v>8</v>
      </c>
      <c r="B77" s="199" t="s">
        <v>9</v>
      </c>
      <c r="C77" s="200" t="s">
        <v>10</v>
      </c>
      <c r="D77" s="201" t="s">
        <v>31</v>
      </c>
      <c r="E77" s="201" t="s">
        <v>12</v>
      </c>
      <c r="F77" s="202" t="s">
        <v>13</v>
      </c>
      <c r="G77" s="203" t="s">
        <v>14</v>
      </c>
      <c r="H77" s="204" t="s">
        <v>9</v>
      </c>
      <c r="I77" s="205" t="s">
        <v>10</v>
      </c>
      <c r="J77" s="205" t="s">
        <v>11</v>
      </c>
      <c r="K77" s="205" t="s">
        <v>12</v>
      </c>
      <c r="L77" s="206" t="s">
        <v>13</v>
      </c>
      <c r="M77" s="207" t="s">
        <v>14</v>
      </c>
      <c r="N77" s="208" t="s">
        <v>9</v>
      </c>
      <c r="O77" s="208" t="s">
        <v>10</v>
      </c>
      <c r="P77" s="209" t="s">
        <v>15</v>
      </c>
      <c r="Q77" s="210" t="s">
        <v>12</v>
      </c>
      <c r="R77" s="210" t="s">
        <v>13</v>
      </c>
      <c r="S77" s="211" t="s">
        <v>14</v>
      </c>
      <c r="T77" s="22"/>
      <c r="U77" s="41" t="s">
        <v>16</v>
      </c>
      <c r="V77" s="42" t="s">
        <v>17</v>
      </c>
      <c r="W77" s="43" t="s">
        <v>18</v>
      </c>
      <c r="X77" s="45" t="s">
        <v>20</v>
      </c>
      <c r="Y77" s="46" t="s">
        <v>21</v>
      </c>
      <c r="Z77" s="47" t="s">
        <v>22</v>
      </c>
    </row>
    <row r="78" ht="15.75" customHeight="1">
      <c r="A78" s="48">
        <v>45803.0</v>
      </c>
      <c r="B78" s="212">
        <v>2.0</v>
      </c>
      <c r="C78" s="213">
        <v>10.0</v>
      </c>
      <c r="D78" s="214">
        <f t="shared" ref="D78:D84" si="39">(C78*0.6)</f>
        <v>6</v>
      </c>
      <c r="E78" s="215">
        <v>2.0</v>
      </c>
      <c r="F78" s="262"/>
      <c r="G78" s="263"/>
      <c r="H78" s="218">
        <v>3.0</v>
      </c>
      <c r="I78" s="219">
        <v>15.0</v>
      </c>
      <c r="J78" s="219">
        <f t="shared" ref="J78:J84" si="40">(I78*0.6)</f>
        <v>9</v>
      </c>
      <c r="K78" s="219">
        <v>11.9</v>
      </c>
      <c r="L78" s="216">
        <v>1.0</v>
      </c>
      <c r="M78" s="265">
        <v>4.5</v>
      </c>
      <c r="N78" s="222">
        <v>3.0</v>
      </c>
      <c r="O78" s="223">
        <v>15.0</v>
      </c>
      <c r="P78" s="224">
        <f t="shared" ref="P78:P84" si="41">(O78*0.3)</f>
        <v>4.5</v>
      </c>
      <c r="Q78" s="225">
        <v>5.0</v>
      </c>
      <c r="R78" s="216"/>
      <c r="S78" s="264"/>
      <c r="T78" s="65">
        <f t="shared" ref="T78:T83" si="42">(B78+H78+N78)</f>
        <v>8</v>
      </c>
      <c r="U78" s="66">
        <v>4.5</v>
      </c>
      <c r="V78" s="67">
        <v>0.0</v>
      </c>
      <c r="W78" s="68"/>
      <c r="X78" s="70">
        <f t="shared" ref="X78:X84" si="43">((C78+I78+O78)+(U78+V78))-W78-E78-K78-Q78</f>
        <v>25.6</v>
      </c>
      <c r="Y78" s="71">
        <f t="shared" ref="Y78:Y84" si="44">(E87+K87+Q87)</f>
        <v>117.25</v>
      </c>
      <c r="Z78" s="66">
        <f t="shared" ref="Z78:Z83" si="45">((((C78+I78)*0.4))+O78)-W78</f>
        <v>25</v>
      </c>
    </row>
    <row r="79" ht="15.75" customHeight="1">
      <c r="A79" s="48">
        <v>45804.0</v>
      </c>
      <c r="B79" s="228">
        <v>4.0</v>
      </c>
      <c r="C79" s="213">
        <v>20.0</v>
      </c>
      <c r="D79" s="214">
        <f t="shared" si="39"/>
        <v>12</v>
      </c>
      <c r="E79" s="215">
        <v>4.0</v>
      </c>
      <c r="F79" s="169"/>
      <c r="G79" s="171"/>
      <c r="H79" s="266">
        <v>3.0</v>
      </c>
      <c r="I79" s="231">
        <v>15.0</v>
      </c>
      <c r="J79" s="219">
        <f t="shared" si="40"/>
        <v>9</v>
      </c>
      <c r="K79" s="231">
        <v>2.35</v>
      </c>
      <c r="L79" s="236"/>
      <c r="M79" s="237"/>
      <c r="N79" s="232"/>
      <c r="O79" s="223"/>
      <c r="P79" s="224">
        <f t="shared" si="41"/>
        <v>0</v>
      </c>
      <c r="Q79" s="233"/>
      <c r="R79" s="169"/>
      <c r="S79" s="170"/>
      <c r="T79" s="65">
        <f t="shared" si="42"/>
        <v>7</v>
      </c>
      <c r="U79" s="85"/>
      <c r="V79" s="86"/>
      <c r="W79" s="87"/>
      <c r="X79" s="70">
        <f t="shared" si="43"/>
        <v>28.65</v>
      </c>
      <c r="Y79" s="71">
        <f t="shared" si="44"/>
        <v>0</v>
      </c>
      <c r="Z79" s="66">
        <f t="shared" si="45"/>
        <v>14</v>
      </c>
    </row>
    <row r="80" ht="15.75" customHeight="1">
      <c r="A80" s="48">
        <v>45805.0</v>
      </c>
      <c r="B80" s="228"/>
      <c r="C80" s="213"/>
      <c r="D80" s="214">
        <f t="shared" si="39"/>
        <v>0</v>
      </c>
      <c r="E80" s="215"/>
      <c r="F80" s="169"/>
      <c r="G80" s="171"/>
      <c r="H80" s="230">
        <v>3.0</v>
      </c>
      <c r="I80" s="231">
        <v>15.0</v>
      </c>
      <c r="J80" s="219">
        <f t="shared" si="40"/>
        <v>9</v>
      </c>
      <c r="K80" s="231">
        <v>13.3</v>
      </c>
      <c r="L80" s="169"/>
      <c r="M80" s="170"/>
      <c r="N80" s="232">
        <v>3.0</v>
      </c>
      <c r="O80" s="223">
        <v>15.0</v>
      </c>
      <c r="P80" s="224">
        <f t="shared" si="41"/>
        <v>4.5</v>
      </c>
      <c r="Q80" s="233">
        <v>6.5</v>
      </c>
      <c r="R80" s="169"/>
      <c r="S80" s="170"/>
      <c r="T80" s="65">
        <f t="shared" si="42"/>
        <v>6</v>
      </c>
      <c r="U80" s="85"/>
      <c r="V80" s="86"/>
      <c r="W80" s="87">
        <v>2.25</v>
      </c>
      <c r="X80" s="70">
        <f t="shared" si="43"/>
        <v>7.95</v>
      </c>
      <c r="Y80" s="71">
        <f t="shared" si="44"/>
        <v>0</v>
      </c>
      <c r="Z80" s="66">
        <f t="shared" si="45"/>
        <v>18.75</v>
      </c>
      <c r="AA80" s="131" t="s">
        <v>32</v>
      </c>
    </row>
    <row r="81" ht="15.75" customHeight="1">
      <c r="A81" s="48">
        <v>45806.0</v>
      </c>
      <c r="B81" s="228">
        <v>2.0</v>
      </c>
      <c r="C81" s="213">
        <v>10.0</v>
      </c>
      <c r="D81" s="214">
        <f t="shared" si="39"/>
        <v>6</v>
      </c>
      <c r="E81" s="215">
        <v>8.0</v>
      </c>
      <c r="F81" s="239">
        <v>1.0</v>
      </c>
      <c r="G81" s="240">
        <v>4.5</v>
      </c>
      <c r="H81" s="230">
        <v>2.0</v>
      </c>
      <c r="I81" s="231">
        <v>10.0</v>
      </c>
      <c r="J81" s="219">
        <f t="shared" si="40"/>
        <v>6</v>
      </c>
      <c r="K81" s="231">
        <v>8.5</v>
      </c>
      <c r="L81" s="236"/>
      <c r="M81" s="237"/>
      <c r="N81" s="232">
        <v>1.0</v>
      </c>
      <c r="O81" s="223">
        <v>5.0</v>
      </c>
      <c r="P81" s="224">
        <f t="shared" si="41"/>
        <v>1.5</v>
      </c>
      <c r="Q81" s="233"/>
      <c r="R81" s="234"/>
      <c r="S81" s="235"/>
      <c r="T81" s="65">
        <f t="shared" si="42"/>
        <v>5</v>
      </c>
      <c r="U81" s="85"/>
      <c r="V81" s="86"/>
      <c r="W81" s="87"/>
      <c r="X81" s="70">
        <f t="shared" si="43"/>
        <v>8.5</v>
      </c>
      <c r="Y81" s="71">
        <f t="shared" si="44"/>
        <v>0</v>
      </c>
      <c r="Z81" s="66">
        <f t="shared" si="45"/>
        <v>13</v>
      </c>
    </row>
    <row r="82" ht="15.75" customHeight="1">
      <c r="A82" s="48">
        <v>45807.0</v>
      </c>
      <c r="B82" s="228">
        <v>4.0</v>
      </c>
      <c r="C82" s="213">
        <v>21.0</v>
      </c>
      <c r="D82" s="214">
        <f t="shared" si="39"/>
        <v>12.6</v>
      </c>
      <c r="E82" s="215">
        <v>5.0</v>
      </c>
      <c r="F82" s="239"/>
      <c r="G82" s="240"/>
      <c r="H82" s="230">
        <v>4.0</v>
      </c>
      <c r="I82" s="231">
        <v>20.0</v>
      </c>
      <c r="J82" s="219">
        <f t="shared" si="40"/>
        <v>12</v>
      </c>
      <c r="K82" s="231">
        <v>7.0</v>
      </c>
      <c r="L82" s="236"/>
      <c r="M82" s="237"/>
      <c r="N82" s="232">
        <v>1.0</v>
      </c>
      <c r="O82" s="223">
        <v>5.0</v>
      </c>
      <c r="P82" s="224">
        <f t="shared" si="41"/>
        <v>1.5</v>
      </c>
      <c r="Q82" s="233"/>
      <c r="R82" s="234"/>
      <c r="S82" s="235"/>
      <c r="T82" s="65">
        <f t="shared" si="42"/>
        <v>9</v>
      </c>
      <c r="U82" s="85"/>
      <c r="V82" s="86"/>
      <c r="W82" s="87">
        <v>3.0</v>
      </c>
      <c r="X82" s="70">
        <f t="shared" si="43"/>
        <v>31</v>
      </c>
      <c r="Y82" s="71">
        <f t="shared" si="44"/>
        <v>0</v>
      </c>
      <c r="Z82" s="66">
        <f t="shared" si="45"/>
        <v>18.4</v>
      </c>
    </row>
    <row r="83" ht="15.75" customHeight="1">
      <c r="A83" s="48">
        <v>45808.0</v>
      </c>
      <c r="B83" s="228">
        <v>8.0</v>
      </c>
      <c r="C83" s="213">
        <v>42.0</v>
      </c>
      <c r="D83" s="214">
        <f t="shared" si="39"/>
        <v>25.2</v>
      </c>
      <c r="E83" s="215">
        <v>15.0</v>
      </c>
      <c r="F83" s="239"/>
      <c r="G83" s="240"/>
      <c r="H83" s="230">
        <v>15.0</v>
      </c>
      <c r="I83" s="231">
        <v>75.0</v>
      </c>
      <c r="J83" s="219">
        <f t="shared" si="40"/>
        <v>45</v>
      </c>
      <c r="K83" s="231"/>
      <c r="L83" s="236"/>
      <c r="M83" s="237"/>
      <c r="N83" s="232">
        <v>10.0</v>
      </c>
      <c r="O83" s="223">
        <v>50.0</v>
      </c>
      <c r="P83" s="224">
        <f t="shared" si="41"/>
        <v>15</v>
      </c>
      <c r="Q83" s="233"/>
      <c r="R83" s="234"/>
      <c r="S83" s="235"/>
      <c r="T83" s="65">
        <f t="shared" si="42"/>
        <v>33</v>
      </c>
      <c r="U83" s="85"/>
      <c r="V83" s="86"/>
      <c r="W83" s="87"/>
      <c r="X83" s="70">
        <f t="shared" si="43"/>
        <v>152</v>
      </c>
      <c r="Y83" s="71">
        <f t="shared" si="44"/>
        <v>0</v>
      </c>
      <c r="Z83" s="66">
        <f t="shared" si="45"/>
        <v>96.8</v>
      </c>
    </row>
    <row r="84" ht="15.75" customHeight="1">
      <c r="A84" s="48">
        <v>45809.0</v>
      </c>
      <c r="B84" s="241"/>
      <c r="C84" s="213"/>
      <c r="D84" s="214">
        <f t="shared" si="39"/>
        <v>0</v>
      </c>
      <c r="E84" s="215"/>
      <c r="F84" s="243"/>
      <c r="G84" s="244"/>
      <c r="H84" s="245"/>
      <c r="I84" s="246"/>
      <c r="J84" s="219">
        <f t="shared" si="40"/>
        <v>0</v>
      </c>
      <c r="K84" s="231"/>
      <c r="L84" s="247">
        <v>19.0</v>
      </c>
      <c r="M84" s="248">
        <v>95.0</v>
      </c>
      <c r="N84" s="249">
        <v>18.0</v>
      </c>
      <c r="O84" s="223">
        <v>90.0</v>
      </c>
      <c r="P84" s="224">
        <f t="shared" si="41"/>
        <v>27</v>
      </c>
      <c r="Q84" s="250"/>
      <c r="R84" s="251"/>
      <c r="S84" s="252"/>
      <c r="T84" s="65">
        <f>(B84+H84+N84+L84)</f>
        <v>37</v>
      </c>
      <c r="U84" s="108"/>
      <c r="V84" s="109"/>
      <c r="W84" s="110"/>
      <c r="X84" s="70">
        <f t="shared" si="43"/>
        <v>90</v>
      </c>
      <c r="Y84" s="71" t="str">
        <f t="shared" si="44"/>
        <v>#VALUE!</v>
      </c>
      <c r="Z84" s="66">
        <v>60.0</v>
      </c>
    </row>
    <row r="85" ht="15.75" customHeight="1">
      <c r="A85" s="112" t="s">
        <v>23</v>
      </c>
      <c r="B85" s="253">
        <f t="shared" ref="B85:E85" si="46">SUM(B78:B84)</f>
        <v>20</v>
      </c>
      <c r="C85" s="254">
        <f t="shared" si="46"/>
        <v>103</v>
      </c>
      <c r="D85" s="254">
        <f t="shared" si="46"/>
        <v>61.8</v>
      </c>
      <c r="E85" s="254">
        <f t="shared" si="46"/>
        <v>34</v>
      </c>
      <c r="F85" s="256"/>
      <c r="G85" s="256">
        <f>SUM(G81:G84)</f>
        <v>4.5</v>
      </c>
      <c r="H85" s="257">
        <f t="shared" ref="H85:K85" si="47">SUM(H78:H84)</f>
        <v>30</v>
      </c>
      <c r="I85" s="258">
        <f t="shared" si="47"/>
        <v>150</v>
      </c>
      <c r="J85" s="258">
        <f t="shared" si="47"/>
        <v>90</v>
      </c>
      <c r="K85" s="258">
        <f t="shared" si="47"/>
        <v>43.05</v>
      </c>
      <c r="L85" s="257"/>
      <c r="M85" s="257">
        <f>SUM(M78:M84)</f>
        <v>99.5</v>
      </c>
      <c r="N85" s="259"/>
      <c r="O85" s="260">
        <f t="shared" ref="O85:Q85" si="48">SUM(O78:O84)</f>
        <v>180</v>
      </c>
      <c r="P85" s="260">
        <f t="shared" si="48"/>
        <v>54</v>
      </c>
      <c r="Q85" s="260">
        <f t="shared" si="48"/>
        <v>11.5</v>
      </c>
      <c r="R85" s="261"/>
      <c r="S85" s="261"/>
      <c r="T85" s="121">
        <f>SUM(T78:T84)</f>
        <v>105</v>
      </c>
      <c r="U85" s="122"/>
      <c r="V85" s="123"/>
      <c r="W85" s="123"/>
      <c r="X85" s="125">
        <f t="shared" ref="X85:Z85" si="49">SUM(X78:X84)</f>
        <v>343.7</v>
      </c>
      <c r="Y85" s="125" t="str">
        <f t="shared" si="49"/>
        <v>#VALUE!</v>
      </c>
      <c r="Z85" s="126">
        <f t="shared" si="49"/>
        <v>245.95</v>
      </c>
      <c r="AA85" s="127">
        <f>SUM(Z78:Z83)</f>
        <v>185.95</v>
      </c>
    </row>
    <row r="86" ht="15.75" customHeight="1">
      <c r="C86" s="128"/>
      <c r="D86" s="129" t="s">
        <v>24</v>
      </c>
      <c r="E86" s="130">
        <f>D85+G85</f>
        <v>66.3</v>
      </c>
      <c r="F86" s="127"/>
      <c r="G86" s="127"/>
      <c r="H86" s="127"/>
      <c r="J86" s="129" t="s">
        <v>4</v>
      </c>
      <c r="K86" s="130">
        <f>(J85+M85)</f>
        <v>189.5</v>
      </c>
      <c r="L86" s="127"/>
      <c r="M86" s="127"/>
      <c r="N86" s="127"/>
      <c r="O86" s="128"/>
      <c r="P86" s="131" t="s">
        <v>24</v>
      </c>
      <c r="Q86" s="127">
        <f>P85+S85</f>
        <v>54</v>
      </c>
      <c r="R86" s="127"/>
      <c r="S86" s="127"/>
      <c r="T86" s="127"/>
      <c r="U86" s="127"/>
    </row>
    <row r="87" ht="15.75" customHeight="1">
      <c r="D87" s="132" t="s">
        <v>25</v>
      </c>
      <c r="E87" s="133">
        <f>D85-E85</f>
        <v>27.8</v>
      </c>
      <c r="F87" s="127"/>
      <c r="G87" s="127"/>
      <c r="H87" s="127"/>
      <c r="J87" s="132" t="s">
        <v>25</v>
      </c>
      <c r="K87" s="133">
        <f>J85-K85</f>
        <v>46.95</v>
      </c>
      <c r="L87" s="127"/>
      <c r="M87" s="127" t="s">
        <v>30</v>
      </c>
      <c r="N87" s="127"/>
      <c r="O87" s="128"/>
      <c r="P87" s="132" t="s">
        <v>25</v>
      </c>
      <c r="Q87" s="133">
        <f>P85-Q85</f>
        <v>42.5</v>
      </c>
      <c r="R87" s="127"/>
      <c r="S87" s="127"/>
      <c r="T87" s="127"/>
      <c r="U87" s="127"/>
    </row>
    <row r="88" ht="15.75" customHeight="1">
      <c r="G88" s="127"/>
      <c r="J88" s="134"/>
      <c r="K88" s="127"/>
      <c r="L88" s="128"/>
      <c r="M88" s="127"/>
      <c r="N88" s="128"/>
      <c r="O88" s="128"/>
      <c r="P88" s="134"/>
      <c r="Q88" s="127"/>
    </row>
    <row r="89" ht="15.75" customHeight="1"/>
    <row r="90" ht="15.75" customHeight="1"/>
    <row r="91" ht="15.75" customHeight="1">
      <c r="C91" s="1" t="s">
        <v>0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3"/>
      <c r="R91" s="4"/>
      <c r="S91" s="4"/>
      <c r="T91" s="5" t="s">
        <v>1</v>
      </c>
      <c r="U91" s="6" t="s">
        <v>2</v>
      </c>
      <c r="V91" s="7" t="s">
        <v>3</v>
      </c>
      <c r="W91" s="8"/>
      <c r="X91" s="10" t="s">
        <v>4</v>
      </c>
      <c r="Y91" s="11"/>
      <c r="Z91" s="8"/>
    </row>
    <row r="92" ht="15.75" customHeight="1">
      <c r="A92" s="12"/>
      <c r="B92" s="193" t="s">
        <v>28</v>
      </c>
      <c r="C92" s="14"/>
      <c r="D92" s="14"/>
      <c r="E92" s="14"/>
      <c r="F92" s="15"/>
      <c r="G92" s="194"/>
      <c r="H92" s="195" t="s">
        <v>29</v>
      </c>
      <c r="I92" s="14"/>
      <c r="J92" s="14"/>
      <c r="K92" s="14"/>
      <c r="L92" s="15"/>
      <c r="M92" s="196"/>
      <c r="N92" s="197" t="s">
        <v>7</v>
      </c>
      <c r="O92" s="14"/>
      <c r="P92" s="14"/>
      <c r="Q92" s="14"/>
      <c r="R92" s="15"/>
      <c r="S92" s="198"/>
      <c r="T92" s="21"/>
      <c r="U92" s="22"/>
      <c r="V92" s="23"/>
      <c r="W92" s="24"/>
      <c r="X92" s="23"/>
      <c r="Y92" s="26"/>
      <c r="Z92" s="24"/>
    </row>
    <row r="93" ht="15.75" customHeight="1">
      <c r="A93" s="27" t="s">
        <v>8</v>
      </c>
      <c r="B93" s="199" t="s">
        <v>9</v>
      </c>
      <c r="C93" s="200" t="s">
        <v>10</v>
      </c>
      <c r="D93" s="201" t="s">
        <v>31</v>
      </c>
      <c r="E93" s="201" t="s">
        <v>12</v>
      </c>
      <c r="F93" s="202" t="s">
        <v>13</v>
      </c>
      <c r="G93" s="203" t="s">
        <v>14</v>
      </c>
      <c r="H93" s="204" t="s">
        <v>9</v>
      </c>
      <c r="I93" s="205" t="s">
        <v>10</v>
      </c>
      <c r="J93" s="205" t="s">
        <v>11</v>
      </c>
      <c r="K93" s="205" t="s">
        <v>12</v>
      </c>
      <c r="L93" s="206" t="s">
        <v>13</v>
      </c>
      <c r="M93" s="207" t="s">
        <v>14</v>
      </c>
      <c r="N93" s="208" t="s">
        <v>9</v>
      </c>
      <c r="O93" s="208" t="s">
        <v>10</v>
      </c>
      <c r="P93" s="209" t="s">
        <v>15</v>
      </c>
      <c r="Q93" s="210" t="s">
        <v>12</v>
      </c>
      <c r="R93" s="210" t="s">
        <v>13</v>
      </c>
      <c r="S93" s="211" t="s">
        <v>14</v>
      </c>
      <c r="T93" s="22"/>
      <c r="U93" s="41" t="s">
        <v>16</v>
      </c>
      <c r="V93" s="42" t="s">
        <v>17</v>
      </c>
      <c r="W93" s="43" t="s">
        <v>18</v>
      </c>
      <c r="X93" s="45" t="s">
        <v>20</v>
      </c>
      <c r="Y93" s="46" t="s">
        <v>21</v>
      </c>
      <c r="Z93" s="47" t="s">
        <v>22</v>
      </c>
    </row>
    <row r="94" ht="15.75" customHeight="1">
      <c r="A94" s="48">
        <v>45810.0</v>
      </c>
      <c r="B94" s="212"/>
      <c r="C94" s="213"/>
      <c r="D94" s="214"/>
      <c r="E94" s="215"/>
      <c r="F94" s="262"/>
      <c r="G94" s="263"/>
      <c r="H94" s="218">
        <v>10.0</v>
      </c>
      <c r="I94" s="219">
        <v>50.0</v>
      </c>
      <c r="J94" s="219">
        <f t="shared" ref="J94:J100" si="50">(I94*0.6)</f>
        <v>30</v>
      </c>
      <c r="K94" s="219">
        <v>11.6</v>
      </c>
      <c r="L94" s="216"/>
      <c r="M94" s="265"/>
      <c r="N94" s="222">
        <v>4.0</v>
      </c>
      <c r="O94" s="223">
        <v>40.0</v>
      </c>
      <c r="P94" s="224">
        <f t="shared" ref="P94:P100" si="51">(O94*0.3)</f>
        <v>12</v>
      </c>
      <c r="Q94" s="225">
        <v>3.0</v>
      </c>
      <c r="R94" s="267"/>
      <c r="S94" s="268"/>
      <c r="T94" s="65">
        <f>(B94+H94+N94)</f>
        <v>14</v>
      </c>
      <c r="U94" s="66"/>
      <c r="V94" s="67">
        <v>0.0</v>
      </c>
      <c r="W94" s="68">
        <v>3.6</v>
      </c>
      <c r="X94" s="70">
        <f t="shared" ref="X94:X100" si="52">((C94+I94+O94)+(U94+V94))-W94-E94-K94-Q94</f>
        <v>71.8</v>
      </c>
      <c r="Y94" s="71">
        <f>($E$14+$K$14+$Q$14)</f>
        <v>352.95</v>
      </c>
      <c r="Z94" s="66">
        <f t="shared" ref="Z94:Z100" si="53">((((C94+I94)*0.4))+(O94*0.7)-W94)</f>
        <v>44.4</v>
      </c>
    </row>
    <row r="95" ht="15.75" customHeight="1">
      <c r="A95" s="48">
        <v>45811.0</v>
      </c>
      <c r="B95" s="228"/>
      <c r="C95" s="213"/>
      <c r="D95" s="214">
        <f t="shared" ref="D95:D100" si="54">(C95*0.6)</f>
        <v>0</v>
      </c>
      <c r="E95" s="215"/>
      <c r="F95" s="169"/>
      <c r="G95" s="263"/>
      <c r="H95" s="266">
        <v>9.0</v>
      </c>
      <c r="I95" s="231">
        <v>45.0</v>
      </c>
      <c r="J95" s="219">
        <f t="shared" si="50"/>
        <v>27</v>
      </c>
      <c r="K95" s="231">
        <v>13.0</v>
      </c>
      <c r="L95" s="236">
        <v>1.0</v>
      </c>
      <c r="M95" s="237">
        <v>5.0</v>
      </c>
      <c r="N95" s="232">
        <v>4.0</v>
      </c>
      <c r="O95" s="223">
        <v>18.0</v>
      </c>
      <c r="P95" s="224">
        <f t="shared" si="51"/>
        <v>5.4</v>
      </c>
      <c r="Q95" s="233"/>
      <c r="R95" s="269"/>
      <c r="S95" s="270"/>
      <c r="T95" s="65" t="s">
        <v>33</v>
      </c>
      <c r="U95" s="85"/>
      <c r="V95" s="86"/>
      <c r="W95" s="87">
        <v>16.8</v>
      </c>
      <c r="X95" s="70">
        <f t="shared" si="52"/>
        <v>33.2</v>
      </c>
      <c r="Y95" s="71">
        <f t="shared" ref="Y95:Y98" si="55">(E104+K104+Q104)</f>
        <v>0</v>
      </c>
      <c r="Z95" s="66">
        <f t="shared" si="53"/>
        <v>13.8</v>
      </c>
    </row>
    <row r="96" ht="15.75" customHeight="1">
      <c r="A96" s="48">
        <v>45812.0</v>
      </c>
      <c r="B96" s="228"/>
      <c r="C96" s="213"/>
      <c r="D96" s="214">
        <f t="shared" si="54"/>
        <v>0</v>
      </c>
      <c r="E96" s="215"/>
      <c r="F96" s="169"/>
      <c r="G96" s="263"/>
      <c r="H96" s="230">
        <v>7.0</v>
      </c>
      <c r="I96" s="231">
        <v>35.0</v>
      </c>
      <c r="J96" s="219">
        <f t="shared" si="50"/>
        <v>21</v>
      </c>
      <c r="K96" s="231">
        <v>10.5</v>
      </c>
      <c r="L96" s="169"/>
      <c r="M96" s="170"/>
      <c r="N96" s="232">
        <v>2.0</v>
      </c>
      <c r="O96" s="223">
        <v>10.0</v>
      </c>
      <c r="P96" s="224">
        <f t="shared" si="51"/>
        <v>3</v>
      </c>
      <c r="Q96" s="233"/>
      <c r="R96" s="269"/>
      <c r="S96" s="270"/>
      <c r="T96" s="65">
        <f t="shared" ref="T96:T99" si="56">(B96+H96+N96)</f>
        <v>9</v>
      </c>
      <c r="U96" s="85"/>
      <c r="V96" s="86">
        <v>1.8</v>
      </c>
      <c r="W96" s="87"/>
      <c r="X96" s="70">
        <f t="shared" si="52"/>
        <v>36.3</v>
      </c>
      <c r="Y96" s="71">
        <f t="shared" si="55"/>
        <v>0</v>
      </c>
      <c r="Z96" s="66">
        <f t="shared" si="53"/>
        <v>21</v>
      </c>
    </row>
    <row r="97" ht="15.75" customHeight="1">
      <c r="A97" s="48">
        <v>45813.0</v>
      </c>
      <c r="B97" s="228"/>
      <c r="C97" s="213"/>
      <c r="D97" s="214">
        <f t="shared" si="54"/>
        <v>0</v>
      </c>
      <c r="E97" s="215"/>
      <c r="F97" s="239"/>
      <c r="G97" s="263"/>
      <c r="H97" s="230">
        <v>4.0</v>
      </c>
      <c r="I97" s="231">
        <v>20.0</v>
      </c>
      <c r="J97" s="219">
        <f t="shared" si="50"/>
        <v>12</v>
      </c>
      <c r="K97" s="231">
        <v>15.5</v>
      </c>
      <c r="L97" s="236"/>
      <c r="M97" s="237"/>
      <c r="N97" s="232">
        <v>1.0</v>
      </c>
      <c r="O97" s="223">
        <v>5.0</v>
      </c>
      <c r="P97" s="224">
        <f t="shared" si="51"/>
        <v>1.5</v>
      </c>
      <c r="Q97" s="233"/>
      <c r="R97" s="234"/>
      <c r="S97" s="235"/>
      <c r="T97" s="65">
        <f t="shared" si="56"/>
        <v>5</v>
      </c>
      <c r="U97" s="85"/>
      <c r="V97" s="86"/>
      <c r="W97" s="87"/>
      <c r="X97" s="70">
        <f t="shared" si="52"/>
        <v>9.5</v>
      </c>
      <c r="Y97" s="71">
        <f t="shared" si="55"/>
        <v>0</v>
      </c>
      <c r="Z97" s="66">
        <f t="shared" si="53"/>
        <v>11.5</v>
      </c>
    </row>
    <row r="98" ht="15.75" customHeight="1">
      <c r="A98" s="48">
        <v>45814.0</v>
      </c>
      <c r="B98" s="228"/>
      <c r="C98" s="213"/>
      <c r="D98" s="214">
        <f t="shared" si="54"/>
        <v>0</v>
      </c>
      <c r="E98" s="215"/>
      <c r="F98" s="239"/>
      <c r="G98" s="263"/>
      <c r="H98" s="230">
        <v>7.0</v>
      </c>
      <c r="I98" s="231">
        <v>35.0</v>
      </c>
      <c r="J98" s="219">
        <f t="shared" si="50"/>
        <v>21</v>
      </c>
      <c r="K98" s="231">
        <v>18.6</v>
      </c>
      <c r="L98" s="236"/>
      <c r="M98" s="237"/>
      <c r="N98" s="232">
        <v>1.0</v>
      </c>
      <c r="O98" s="223">
        <v>5.0</v>
      </c>
      <c r="P98" s="224">
        <f t="shared" si="51"/>
        <v>1.5</v>
      </c>
      <c r="Q98" s="233">
        <v>20.0</v>
      </c>
      <c r="R98" s="234"/>
      <c r="S98" s="235"/>
      <c r="T98" s="65">
        <f t="shared" si="56"/>
        <v>8</v>
      </c>
      <c r="U98" s="85"/>
      <c r="V98" s="86"/>
      <c r="W98" s="87"/>
      <c r="X98" s="70">
        <f t="shared" si="52"/>
        <v>1.4</v>
      </c>
      <c r="Y98" s="71">
        <f t="shared" si="55"/>
        <v>0</v>
      </c>
      <c r="Z98" s="66">
        <f t="shared" si="53"/>
        <v>17.5</v>
      </c>
    </row>
    <row r="99" ht="15.75" customHeight="1">
      <c r="A99" s="48">
        <v>45815.0</v>
      </c>
      <c r="B99" s="228"/>
      <c r="C99" s="213"/>
      <c r="D99" s="214">
        <f t="shared" si="54"/>
        <v>0</v>
      </c>
      <c r="E99" s="215"/>
      <c r="F99" s="239"/>
      <c r="G99" s="263"/>
      <c r="H99" s="230">
        <v>19.0</v>
      </c>
      <c r="I99" s="231">
        <v>98.0</v>
      </c>
      <c r="J99" s="219">
        <f t="shared" si="50"/>
        <v>58.8</v>
      </c>
      <c r="K99" s="231">
        <v>32.0</v>
      </c>
      <c r="L99" s="236"/>
      <c r="M99" s="237"/>
      <c r="N99" s="232">
        <v>18.0</v>
      </c>
      <c r="O99" s="223">
        <v>91.0</v>
      </c>
      <c r="P99" s="224">
        <f t="shared" si="51"/>
        <v>27.3</v>
      </c>
      <c r="Q99" s="233">
        <v>7.0</v>
      </c>
      <c r="R99" s="234"/>
      <c r="S99" s="235"/>
      <c r="T99" s="65">
        <f t="shared" si="56"/>
        <v>37</v>
      </c>
      <c r="U99" s="85">
        <v>26.0</v>
      </c>
      <c r="V99" s="86">
        <v>1.0</v>
      </c>
      <c r="W99" s="87">
        <v>3.6</v>
      </c>
      <c r="X99" s="70">
        <f t="shared" si="52"/>
        <v>173.4</v>
      </c>
      <c r="Y99" s="71">
        <f>(E108+K103+Q103)</f>
        <v>92.3</v>
      </c>
      <c r="Z99" s="66">
        <f t="shared" si="53"/>
        <v>99.3</v>
      </c>
    </row>
    <row r="100" ht="15.75" customHeight="1">
      <c r="A100" s="48">
        <v>45816.0</v>
      </c>
      <c r="B100" s="241"/>
      <c r="C100" s="213"/>
      <c r="D100" s="214">
        <f t="shared" si="54"/>
        <v>0</v>
      </c>
      <c r="E100" s="215"/>
      <c r="F100" s="243"/>
      <c r="G100" s="263"/>
      <c r="H100" s="245">
        <v>9.0</v>
      </c>
      <c r="I100" s="246">
        <v>45.0</v>
      </c>
      <c r="J100" s="219">
        <f t="shared" si="50"/>
        <v>27</v>
      </c>
      <c r="K100" s="231">
        <v>24.0</v>
      </c>
      <c r="L100" s="247"/>
      <c r="M100" s="248"/>
      <c r="N100" s="249"/>
      <c r="O100" s="223"/>
      <c r="P100" s="224">
        <f t="shared" si="51"/>
        <v>0</v>
      </c>
      <c r="Q100" s="250"/>
      <c r="R100" s="251"/>
      <c r="S100" s="252"/>
      <c r="T100" s="65">
        <f>(B100+H100+N100+L100)</f>
        <v>9</v>
      </c>
      <c r="U100" s="108"/>
      <c r="V100" s="109"/>
      <c r="W100" s="110"/>
      <c r="X100" s="70">
        <f t="shared" si="52"/>
        <v>21</v>
      </c>
      <c r="Y100" s="71">
        <f>(E109+K109+Q109)</f>
        <v>0</v>
      </c>
      <c r="Z100" s="66">
        <f t="shared" si="53"/>
        <v>18</v>
      </c>
    </row>
    <row r="101" ht="15.75" customHeight="1">
      <c r="A101" s="112" t="s">
        <v>23</v>
      </c>
      <c r="B101" s="253">
        <f t="shared" ref="B101:E101" si="57">SUM(B94:B100)</f>
        <v>0</v>
      </c>
      <c r="C101" s="254">
        <f t="shared" si="57"/>
        <v>0</v>
      </c>
      <c r="D101" s="254">
        <f t="shared" si="57"/>
        <v>0</v>
      </c>
      <c r="E101" s="254">
        <f t="shared" si="57"/>
        <v>0</v>
      </c>
      <c r="F101" s="256">
        <f t="shared" ref="F101:G101" si="58">SUM(F95:F100)</f>
        <v>0</v>
      </c>
      <c r="G101" s="263">
        <f t="shared" si="58"/>
        <v>0</v>
      </c>
      <c r="H101" s="257">
        <f t="shared" ref="H101:K101" si="59">SUM(H94:H100)</f>
        <v>65</v>
      </c>
      <c r="I101" s="258">
        <f t="shared" si="59"/>
        <v>328</v>
      </c>
      <c r="J101" s="258">
        <f t="shared" si="59"/>
        <v>196.8</v>
      </c>
      <c r="K101" s="258">
        <f t="shared" si="59"/>
        <v>125.2</v>
      </c>
      <c r="L101" s="257"/>
      <c r="M101" s="257">
        <f t="shared" ref="M101:Q101" si="60">SUM(M94:M100)</f>
        <v>5</v>
      </c>
      <c r="N101" s="259">
        <f t="shared" si="60"/>
        <v>30</v>
      </c>
      <c r="O101" s="260">
        <f t="shared" si="60"/>
        <v>169</v>
      </c>
      <c r="P101" s="260">
        <f t="shared" si="60"/>
        <v>50.7</v>
      </c>
      <c r="Q101" s="260">
        <f t="shared" si="60"/>
        <v>30</v>
      </c>
      <c r="R101" s="261"/>
      <c r="S101" s="261"/>
      <c r="T101" s="121">
        <f>SUM(T94:T100)</f>
        <v>82</v>
      </c>
      <c r="U101" s="122"/>
      <c r="V101" s="123"/>
      <c r="W101" s="123">
        <f t="shared" ref="W101:Z101" si="61">SUM(W94:W100)</f>
        <v>24</v>
      </c>
      <c r="X101" s="125">
        <f t="shared" si="61"/>
        <v>346.6</v>
      </c>
      <c r="Y101" s="125">
        <f t="shared" si="61"/>
        <v>445.25</v>
      </c>
      <c r="Z101" s="126">
        <f t="shared" si="61"/>
        <v>225.5</v>
      </c>
    </row>
    <row r="102" ht="15.75" customHeight="1">
      <c r="C102" s="128"/>
      <c r="D102" s="129" t="s">
        <v>24</v>
      </c>
      <c r="E102" s="130">
        <f>D101+G101</f>
        <v>0</v>
      </c>
      <c r="F102" s="127"/>
      <c r="G102" s="127"/>
      <c r="H102" s="127"/>
      <c r="J102" s="129" t="s">
        <v>4</v>
      </c>
      <c r="K102" s="130">
        <f>(J101+M101)</f>
        <v>201.8</v>
      </c>
      <c r="L102" s="127"/>
      <c r="M102" s="127"/>
      <c r="N102" s="127"/>
      <c r="O102" s="128"/>
      <c r="P102" s="131" t="s">
        <v>24</v>
      </c>
      <c r="Q102" s="127">
        <f>P101+S101</f>
        <v>50.7</v>
      </c>
      <c r="R102" s="127"/>
      <c r="S102" s="127"/>
      <c r="T102" s="127"/>
      <c r="U102" s="127"/>
    </row>
    <row r="103" ht="15.75" customHeight="1">
      <c r="D103" s="132" t="s">
        <v>25</v>
      </c>
      <c r="E103" s="133">
        <f>D101-E101</f>
        <v>0</v>
      </c>
      <c r="F103" s="127"/>
      <c r="G103" s="127"/>
      <c r="H103" s="127"/>
      <c r="J103" s="132" t="s">
        <v>25</v>
      </c>
      <c r="K103" s="133">
        <f>J101-K101</f>
        <v>71.6</v>
      </c>
      <c r="L103" s="127">
        <f>K103-25</f>
        <v>46.6</v>
      </c>
      <c r="M103" s="127"/>
      <c r="N103" s="127"/>
      <c r="O103" s="128"/>
      <c r="P103" s="132" t="s">
        <v>25</v>
      </c>
      <c r="Q103" s="133">
        <f>P101-Q101</f>
        <v>20.7</v>
      </c>
      <c r="R103" s="127"/>
      <c r="S103" s="127"/>
      <c r="T103" s="127"/>
      <c r="U103" s="127"/>
    </row>
    <row r="104" ht="15.75" customHeight="1">
      <c r="G104" s="127"/>
      <c r="J104" s="134"/>
      <c r="K104" s="127"/>
      <c r="L104" s="128"/>
      <c r="M104" s="127"/>
      <c r="N104" s="128"/>
      <c r="O104" s="128"/>
      <c r="P104" s="134"/>
      <c r="Q104" s="127"/>
    </row>
    <row r="105" ht="15.75" customHeight="1"/>
    <row r="106" ht="15.75" customHeight="1"/>
    <row r="107" ht="15.75" customHeight="1"/>
    <row r="108" ht="15.75" customHeight="1"/>
    <row r="109" ht="15.75" customHeight="1">
      <c r="C109" s="1" t="s">
        <v>0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3"/>
      <c r="R109" s="4"/>
      <c r="S109" s="4"/>
      <c r="T109" s="5" t="s">
        <v>1</v>
      </c>
      <c r="U109" s="6" t="s">
        <v>2</v>
      </c>
      <c r="V109" s="7" t="s">
        <v>3</v>
      </c>
      <c r="W109" s="8"/>
      <c r="X109" s="10" t="s">
        <v>4</v>
      </c>
      <c r="Y109" s="11"/>
      <c r="Z109" s="8"/>
    </row>
    <row r="110" ht="15.75" customHeight="1">
      <c r="A110" s="12"/>
      <c r="B110" s="193" t="s">
        <v>28</v>
      </c>
      <c r="C110" s="14"/>
      <c r="D110" s="14"/>
      <c r="E110" s="14"/>
      <c r="F110" s="15"/>
      <c r="G110" s="194"/>
      <c r="H110" s="195" t="s">
        <v>29</v>
      </c>
      <c r="I110" s="14"/>
      <c r="J110" s="14"/>
      <c r="K110" s="14"/>
      <c r="L110" s="15"/>
      <c r="M110" s="196"/>
      <c r="N110" s="197" t="s">
        <v>7</v>
      </c>
      <c r="O110" s="14"/>
      <c r="P110" s="14"/>
      <c r="Q110" s="14"/>
      <c r="R110" s="15"/>
      <c r="S110" s="198"/>
      <c r="T110" s="21"/>
      <c r="U110" s="22"/>
      <c r="V110" s="23"/>
      <c r="W110" s="24"/>
      <c r="X110" s="23"/>
      <c r="Y110" s="26"/>
      <c r="Z110" s="24"/>
    </row>
    <row r="111" ht="15.75" customHeight="1">
      <c r="A111" s="27" t="s">
        <v>8</v>
      </c>
      <c r="B111" s="199" t="s">
        <v>9</v>
      </c>
      <c r="C111" s="200" t="s">
        <v>10</v>
      </c>
      <c r="D111" s="201" t="s">
        <v>31</v>
      </c>
      <c r="E111" s="201" t="s">
        <v>12</v>
      </c>
      <c r="F111" s="202" t="s">
        <v>13</v>
      </c>
      <c r="G111" s="203" t="s">
        <v>14</v>
      </c>
      <c r="H111" s="204" t="s">
        <v>9</v>
      </c>
      <c r="I111" s="205" t="s">
        <v>10</v>
      </c>
      <c r="J111" s="205" t="s">
        <v>11</v>
      </c>
      <c r="K111" s="205" t="s">
        <v>12</v>
      </c>
      <c r="L111" s="206" t="s">
        <v>13</v>
      </c>
      <c r="M111" s="207" t="s">
        <v>14</v>
      </c>
      <c r="N111" s="208" t="s">
        <v>9</v>
      </c>
      <c r="O111" s="208" t="s">
        <v>10</v>
      </c>
      <c r="P111" s="209" t="s">
        <v>15</v>
      </c>
      <c r="Q111" s="210" t="s">
        <v>12</v>
      </c>
      <c r="R111" s="210" t="s">
        <v>13</v>
      </c>
      <c r="S111" s="211" t="s">
        <v>14</v>
      </c>
      <c r="T111" s="22"/>
      <c r="U111" s="41" t="s">
        <v>16</v>
      </c>
      <c r="V111" s="42" t="s">
        <v>17</v>
      </c>
      <c r="W111" s="43" t="s">
        <v>18</v>
      </c>
      <c r="X111" s="45" t="s">
        <v>20</v>
      </c>
      <c r="Y111" s="46" t="s">
        <v>21</v>
      </c>
      <c r="Z111" s="47" t="s">
        <v>22</v>
      </c>
    </row>
    <row r="112" ht="15.75" customHeight="1">
      <c r="A112" s="48">
        <v>45817.0</v>
      </c>
      <c r="B112" s="212"/>
      <c r="C112" s="213"/>
      <c r="D112" s="214"/>
      <c r="E112" s="215"/>
      <c r="F112" s="262"/>
      <c r="G112" s="263"/>
      <c r="H112" s="218">
        <v>10.0</v>
      </c>
      <c r="I112" s="219">
        <v>51.0</v>
      </c>
      <c r="J112" s="219">
        <f t="shared" ref="J112:J118" si="62">(I112*0.6)</f>
        <v>30.6</v>
      </c>
      <c r="K112" s="219">
        <v>18.5</v>
      </c>
      <c r="L112" s="216">
        <v>1.0</v>
      </c>
      <c r="M112" s="265">
        <v>5.0</v>
      </c>
      <c r="N112" s="222">
        <v>3.0</v>
      </c>
      <c r="O112" s="223">
        <v>15.0</v>
      </c>
      <c r="P112" s="224">
        <f t="shared" ref="P112:P118" si="63">(O112*0.3)</f>
        <v>4.5</v>
      </c>
      <c r="Q112" s="225">
        <v>0.45</v>
      </c>
      <c r="R112" s="267"/>
      <c r="S112" s="268"/>
      <c r="T112" s="65">
        <f t="shared" ref="T112:T117" si="64">(B112+H112+N112)</f>
        <v>13</v>
      </c>
      <c r="U112" s="66"/>
      <c r="V112" s="67">
        <v>0.0</v>
      </c>
      <c r="W112" s="68">
        <v>25.0</v>
      </c>
      <c r="X112" s="70">
        <f t="shared" ref="X112:X118" si="65">((C112+I112+O112)+(U112+V112))-W112-E112-K112-Q112</f>
        <v>22.05</v>
      </c>
      <c r="Y112" s="71">
        <f>($E$14+$K$14+$Q$14)</f>
        <v>352.95</v>
      </c>
      <c r="Z112" s="66">
        <f t="shared" ref="Z112:Z116" si="66">((((C112+I112)*0.4))+(O112*0.7)-W112)</f>
        <v>5.9</v>
      </c>
    </row>
    <row r="113" ht="15.75" customHeight="1">
      <c r="A113" s="48">
        <v>45818.0</v>
      </c>
      <c r="B113" s="228"/>
      <c r="C113" s="213"/>
      <c r="D113" s="214">
        <f t="shared" ref="D113:D118" si="67">(C113*0.6)</f>
        <v>0</v>
      </c>
      <c r="E113" s="215"/>
      <c r="F113" s="169"/>
      <c r="G113" s="263"/>
      <c r="H113" s="266">
        <v>6.0</v>
      </c>
      <c r="I113" s="231">
        <v>31.0</v>
      </c>
      <c r="J113" s="219">
        <f t="shared" si="62"/>
        <v>18.6</v>
      </c>
      <c r="K113" s="231">
        <v>10.0</v>
      </c>
      <c r="L113" s="236"/>
      <c r="M113" s="237"/>
      <c r="N113" s="232"/>
      <c r="O113" s="223"/>
      <c r="P113" s="224">
        <f t="shared" si="63"/>
        <v>0</v>
      </c>
      <c r="Q113" s="233"/>
      <c r="R113" s="269"/>
      <c r="S113" s="270"/>
      <c r="T113" s="65">
        <f t="shared" si="64"/>
        <v>6</v>
      </c>
      <c r="U113" s="85"/>
      <c r="V113" s="86"/>
      <c r="W113" s="87"/>
      <c r="X113" s="70">
        <f t="shared" si="65"/>
        <v>21</v>
      </c>
      <c r="Y113" s="71">
        <f t="shared" ref="Y113:Y116" si="68">(E122+K122+Q122)</f>
        <v>23.2</v>
      </c>
      <c r="Z113" s="66">
        <f t="shared" si="66"/>
        <v>12.4</v>
      </c>
    </row>
    <row r="114" ht="15.75" customHeight="1">
      <c r="A114" s="48">
        <v>45819.0</v>
      </c>
      <c r="B114" s="228"/>
      <c r="C114" s="213"/>
      <c r="D114" s="214">
        <f t="shared" si="67"/>
        <v>0</v>
      </c>
      <c r="E114" s="215"/>
      <c r="F114" s="169"/>
      <c r="G114" s="263"/>
      <c r="H114" s="230">
        <v>6.0</v>
      </c>
      <c r="I114" s="231">
        <v>30.0</v>
      </c>
      <c r="J114" s="219">
        <f t="shared" si="62"/>
        <v>18</v>
      </c>
      <c r="K114" s="231">
        <v>14.1</v>
      </c>
      <c r="L114" s="236"/>
      <c r="M114" s="237"/>
      <c r="N114" s="232">
        <v>4.0</v>
      </c>
      <c r="O114" s="223">
        <v>17.0</v>
      </c>
      <c r="P114" s="224">
        <f t="shared" si="63"/>
        <v>5.1</v>
      </c>
      <c r="Q114" s="233"/>
      <c r="R114" s="269"/>
      <c r="S114" s="270"/>
      <c r="T114" s="65">
        <f t="shared" si="64"/>
        <v>10</v>
      </c>
      <c r="U114" s="85">
        <v>4.6</v>
      </c>
      <c r="V114" s="86">
        <v>0.5</v>
      </c>
      <c r="W114" s="87">
        <v>32.0</v>
      </c>
      <c r="X114" s="70">
        <f t="shared" si="65"/>
        <v>6</v>
      </c>
      <c r="Y114" s="71">
        <f t="shared" si="68"/>
        <v>0</v>
      </c>
      <c r="Z114" s="66">
        <f t="shared" si="66"/>
        <v>-8.1</v>
      </c>
    </row>
    <row r="115" ht="15.75" customHeight="1">
      <c r="A115" s="48">
        <v>45820.0</v>
      </c>
      <c r="B115" s="228"/>
      <c r="C115" s="213"/>
      <c r="D115" s="214">
        <f t="shared" si="67"/>
        <v>0</v>
      </c>
      <c r="E115" s="215"/>
      <c r="F115" s="239"/>
      <c r="G115" s="263"/>
      <c r="H115" s="230">
        <v>11.0</v>
      </c>
      <c r="I115" s="231">
        <v>55.0</v>
      </c>
      <c r="J115" s="219">
        <f t="shared" si="62"/>
        <v>33</v>
      </c>
      <c r="K115" s="231">
        <v>14.9</v>
      </c>
      <c r="L115" s="236"/>
      <c r="M115" s="237"/>
      <c r="N115" s="232"/>
      <c r="O115" s="223"/>
      <c r="P115" s="224">
        <f t="shared" si="63"/>
        <v>0</v>
      </c>
      <c r="Q115" s="233"/>
      <c r="R115" s="234"/>
      <c r="S115" s="235"/>
      <c r="T115" s="65">
        <f t="shared" si="64"/>
        <v>11</v>
      </c>
      <c r="U115" s="85"/>
      <c r="V115" s="86"/>
      <c r="W115" s="87"/>
      <c r="X115" s="70">
        <f t="shared" si="65"/>
        <v>40.1</v>
      </c>
      <c r="Y115" s="71">
        <f t="shared" si="68"/>
        <v>0</v>
      </c>
      <c r="Z115" s="66">
        <f t="shared" si="66"/>
        <v>22</v>
      </c>
    </row>
    <row r="116" ht="15.75" customHeight="1">
      <c r="A116" s="48">
        <v>45821.0</v>
      </c>
      <c r="B116" s="228"/>
      <c r="C116" s="213"/>
      <c r="D116" s="214">
        <f t="shared" si="67"/>
        <v>0</v>
      </c>
      <c r="E116" s="215"/>
      <c r="F116" s="239"/>
      <c r="G116" s="263"/>
      <c r="H116" s="230">
        <v>13.0</v>
      </c>
      <c r="I116" s="231">
        <v>66.0</v>
      </c>
      <c r="J116" s="219">
        <f t="shared" si="62"/>
        <v>39.6</v>
      </c>
      <c r="K116" s="231">
        <v>7.3</v>
      </c>
      <c r="L116" s="169">
        <v>1.0</v>
      </c>
      <c r="M116" s="170">
        <v>5.0</v>
      </c>
      <c r="N116" s="232"/>
      <c r="O116" s="223"/>
      <c r="P116" s="224">
        <f t="shared" si="63"/>
        <v>0</v>
      </c>
      <c r="Q116" s="233"/>
      <c r="R116" s="234"/>
      <c r="S116" s="235"/>
      <c r="T116" s="65">
        <f t="shared" si="64"/>
        <v>13</v>
      </c>
      <c r="U116" s="85">
        <v>15.0</v>
      </c>
      <c r="V116" s="86"/>
      <c r="W116" s="87"/>
      <c r="X116" s="70">
        <f t="shared" si="65"/>
        <v>73.7</v>
      </c>
      <c r="Y116" s="71">
        <f t="shared" si="68"/>
        <v>0</v>
      </c>
      <c r="Z116" s="66">
        <f t="shared" si="66"/>
        <v>26.4</v>
      </c>
    </row>
    <row r="117" ht="15.75" customHeight="1">
      <c r="A117" s="48">
        <v>45822.0</v>
      </c>
      <c r="B117" s="228"/>
      <c r="C117" s="213"/>
      <c r="D117" s="214">
        <f t="shared" si="67"/>
        <v>0</v>
      </c>
      <c r="E117" s="215"/>
      <c r="F117" s="239"/>
      <c r="G117" s="263"/>
      <c r="H117" s="230">
        <v>18.0</v>
      </c>
      <c r="I117" s="231">
        <v>93.0</v>
      </c>
      <c r="J117" s="219">
        <f t="shared" si="62"/>
        <v>55.8</v>
      </c>
      <c r="K117" s="231">
        <v>32.6</v>
      </c>
      <c r="L117" s="236"/>
      <c r="M117" s="237"/>
      <c r="N117" s="232">
        <v>16.0</v>
      </c>
      <c r="O117" s="223">
        <v>85.0</v>
      </c>
      <c r="P117" s="224">
        <f t="shared" si="63"/>
        <v>25.5</v>
      </c>
      <c r="Q117" s="233">
        <v>0.75</v>
      </c>
      <c r="R117" s="234"/>
      <c r="S117" s="235"/>
      <c r="T117" s="65">
        <f t="shared" si="64"/>
        <v>34</v>
      </c>
      <c r="U117" s="85">
        <v>15.0</v>
      </c>
      <c r="V117" s="86">
        <v>11.25</v>
      </c>
      <c r="W117" s="87">
        <v>18.75</v>
      </c>
      <c r="X117" s="70">
        <f t="shared" si="65"/>
        <v>152.15</v>
      </c>
      <c r="Y117" s="71">
        <f>(E126+K121+Q121)</f>
        <v>136.6</v>
      </c>
      <c r="Z117" s="66">
        <f>((((C117+I117)*0.4))+(O117*0.7)-W117)+V117</f>
        <v>89.2</v>
      </c>
    </row>
    <row r="118" ht="15.75" customHeight="1">
      <c r="A118" s="48">
        <v>45823.0</v>
      </c>
      <c r="B118" s="241"/>
      <c r="C118" s="213"/>
      <c r="D118" s="214">
        <f t="shared" si="67"/>
        <v>0</v>
      </c>
      <c r="E118" s="215"/>
      <c r="F118" s="243"/>
      <c r="G118" s="263"/>
      <c r="H118" s="245">
        <v>5.0</v>
      </c>
      <c r="I118" s="246"/>
      <c r="J118" s="219">
        <f t="shared" si="62"/>
        <v>0</v>
      </c>
      <c r="K118" s="231"/>
      <c r="L118" s="247">
        <v>5.0</v>
      </c>
      <c r="M118" s="248">
        <v>25.0</v>
      </c>
      <c r="N118" s="249">
        <v>3.0</v>
      </c>
      <c r="O118" s="223">
        <v>15.0</v>
      </c>
      <c r="P118" s="224">
        <f t="shared" si="63"/>
        <v>4.5</v>
      </c>
      <c r="Q118" s="250"/>
      <c r="R118" s="251"/>
      <c r="S118" s="252"/>
      <c r="T118" s="65">
        <f>(B118+H118+N118+L118)</f>
        <v>13</v>
      </c>
      <c r="U118" s="108"/>
      <c r="V118" s="109"/>
      <c r="W118" s="110"/>
      <c r="X118" s="70">
        <f t="shared" si="65"/>
        <v>15</v>
      </c>
      <c r="Y118" s="71">
        <f>(E127+K127+Q127)</f>
        <v>0</v>
      </c>
      <c r="Z118" s="66">
        <f>((((C118+I118)*0.4))+(O118*0.7)-W118)</f>
        <v>10.5</v>
      </c>
    </row>
    <row r="119" ht="15.75" customHeight="1">
      <c r="A119" s="112" t="s">
        <v>23</v>
      </c>
      <c r="B119" s="253">
        <f t="shared" ref="B119:E119" si="69">SUM(B112:B118)</f>
        <v>0</v>
      </c>
      <c r="C119" s="254">
        <f t="shared" si="69"/>
        <v>0</v>
      </c>
      <c r="D119" s="254">
        <f t="shared" si="69"/>
        <v>0</v>
      </c>
      <c r="E119" s="254">
        <f t="shared" si="69"/>
        <v>0</v>
      </c>
      <c r="F119" s="256">
        <f t="shared" ref="F119:G119" si="70">SUM(F113:F118)</f>
        <v>0</v>
      </c>
      <c r="G119" s="263">
        <f t="shared" si="70"/>
        <v>0</v>
      </c>
      <c r="H119" s="257">
        <f t="shared" ref="H119:Q119" si="71">SUM(H112:H118)</f>
        <v>69</v>
      </c>
      <c r="I119" s="258">
        <f t="shared" si="71"/>
        <v>326</v>
      </c>
      <c r="J119" s="258">
        <f t="shared" si="71"/>
        <v>195.6</v>
      </c>
      <c r="K119" s="258">
        <f t="shared" si="71"/>
        <v>97.4</v>
      </c>
      <c r="L119" s="257">
        <f t="shared" si="71"/>
        <v>7</v>
      </c>
      <c r="M119" s="257">
        <f t="shared" si="71"/>
        <v>35</v>
      </c>
      <c r="N119" s="259">
        <f t="shared" si="71"/>
        <v>26</v>
      </c>
      <c r="O119" s="260">
        <f t="shared" si="71"/>
        <v>132</v>
      </c>
      <c r="P119" s="260">
        <f t="shared" si="71"/>
        <v>39.6</v>
      </c>
      <c r="Q119" s="260">
        <f t="shared" si="71"/>
        <v>1.2</v>
      </c>
      <c r="R119" s="261"/>
      <c r="S119" s="261"/>
      <c r="T119" s="121">
        <f>SUM(T112:T118)</f>
        <v>100</v>
      </c>
      <c r="U119" s="122"/>
      <c r="V119" s="123"/>
      <c r="W119" s="123">
        <f t="shared" ref="W119:Z119" si="72">SUM(W112:W118)</f>
        <v>75.75</v>
      </c>
      <c r="X119" s="125">
        <f t="shared" si="72"/>
        <v>330</v>
      </c>
      <c r="Y119" s="125">
        <f t="shared" si="72"/>
        <v>512.75</v>
      </c>
      <c r="Z119" s="126">
        <f t="shared" si="72"/>
        <v>158.3</v>
      </c>
    </row>
    <row r="120" ht="15.75" customHeight="1">
      <c r="C120" s="128"/>
      <c r="D120" s="129" t="s">
        <v>24</v>
      </c>
      <c r="E120" s="130">
        <f>D119+G119</f>
        <v>0</v>
      </c>
      <c r="F120" s="127"/>
      <c r="G120" s="127"/>
      <c r="H120" s="127"/>
      <c r="J120" s="129" t="s">
        <v>4</v>
      </c>
      <c r="K120" s="130">
        <f>(J119+M119)</f>
        <v>230.6</v>
      </c>
      <c r="L120" s="127"/>
      <c r="M120" s="127"/>
      <c r="N120" s="127"/>
      <c r="O120" s="128"/>
      <c r="P120" s="131" t="s">
        <v>24</v>
      </c>
      <c r="Q120" s="127">
        <f>P119+S119</f>
        <v>39.6</v>
      </c>
      <c r="R120" s="127"/>
      <c r="S120" s="127"/>
      <c r="T120" s="127"/>
      <c r="U120" s="127"/>
    </row>
    <row r="121" ht="15.75" customHeight="1">
      <c r="D121" s="132" t="s">
        <v>25</v>
      </c>
      <c r="E121" s="133">
        <f>D119-E119</f>
        <v>0</v>
      </c>
      <c r="F121" s="127"/>
      <c r="G121" s="127"/>
      <c r="H121" s="127"/>
      <c r="J121" s="132" t="s">
        <v>25</v>
      </c>
      <c r="K121" s="133">
        <f>J119-K119</f>
        <v>98.2</v>
      </c>
      <c r="L121" s="127"/>
      <c r="M121" s="127"/>
      <c r="N121" s="127"/>
      <c r="O121" s="128"/>
      <c r="P121" s="132" t="s">
        <v>25</v>
      </c>
      <c r="Q121" s="133">
        <f>P119-Q119</f>
        <v>38.4</v>
      </c>
      <c r="R121" s="127"/>
      <c r="S121" s="127"/>
      <c r="T121" s="127"/>
      <c r="U121" s="127"/>
    </row>
    <row r="122" ht="15.75" customHeight="1">
      <c r="G122" s="127"/>
      <c r="J122" s="271" t="s">
        <v>34</v>
      </c>
      <c r="K122" s="272">
        <f>(K121-75)</f>
        <v>23.2</v>
      </c>
      <c r="L122" s="128"/>
      <c r="M122" s="127"/>
      <c r="N122" s="128"/>
      <c r="O122" s="128"/>
      <c r="P122" s="134"/>
      <c r="Q122" s="127"/>
    </row>
    <row r="123" ht="15.75" customHeight="1"/>
    <row r="124" ht="15.75" customHeight="1"/>
    <row r="125" ht="15.75" customHeight="1"/>
    <row r="126" ht="15.75" customHeight="1">
      <c r="C126" s="1" t="s">
        <v>0</v>
      </c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3"/>
      <c r="R126" s="4"/>
      <c r="S126" s="4"/>
      <c r="T126" s="5" t="s">
        <v>1</v>
      </c>
      <c r="U126" s="6" t="s">
        <v>2</v>
      </c>
      <c r="V126" s="7" t="s">
        <v>3</v>
      </c>
      <c r="W126" s="8"/>
      <c r="X126" s="10" t="s">
        <v>4</v>
      </c>
      <c r="Y126" s="11"/>
      <c r="Z126" s="8"/>
    </row>
    <row r="127" ht="15.75" customHeight="1">
      <c r="A127" s="12"/>
      <c r="B127" s="193" t="s">
        <v>35</v>
      </c>
      <c r="C127" s="14"/>
      <c r="D127" s="14"/>
      <c r="E127" s="14"/>
      <c r="F127" s="15"/>
      <c r="G127" s="194"/>
      <c r="H127" s="195" t="s">
        <v>29</v>
      </c>
      <c r="I127" s="14"/>
      <c r="J127" s="14"/>
      <c r="K127" s="14"/>
      <c r="L127" s="15"/>
      <c r="M127" s="196"/>
      <c r="N127" s="197" t="s">
        <v>7</v>
      </c>
      <c r="O127" s="14"/>
      <c r="P127" s="14"/>
      <c r="Q127" s="14"/>
      <c r="R127" s="15"/>
      <c r="S127" s="198"/>
      <c r="T127" s="21"/>
      <c r="U127" s="22"/>
      <c r="V127" s="23"/>
      <c r="W127" s="24"/>
      <c r="X127" s="23"/>
      <c r="Y127" s="26"/>
      <c r="Z127" s="24"/>
    </row>
    <row r="128" ht="15.75" customHeight="1">
      <c r="A128" s="27" t="s">
        <v>8</v>
      </c>
      <c r="B128" s="199" t="s">
        <v>9</v>
      </c>
      <c r="C128" s="200" t="s">
        <v>10</v>
      </c>
      <c r="D128" s="201" t="s">
        <v>36</v>
      </c>
      <c r="E128" s="201" t="s">
        <v>12</v>
      </c>
      <c r="F128" s="202" t="s">
        <v>13</v>
      </c>
      <c r="G128" s="203" t="s">
        <v>14</v>
      </c>
      <c r="H128" s="204" t="s">
        <v>9</v>
      </c>
      <c r="I128" s="205" t="s">
        <v>10</v>
      </c>
      <c r="J128" s="205" t="s">
        <v>11</v>
      </c>
      <c r="K128" s="205" t="s">
        <v>12</v>
      </c>
      <c r="L128" s="206" t="s">
        <v>13</v>
      </c>
      <c r="M128" s="207" t="s">
        <v>14</v>
      </c>
      <c r="N128" s="208" t="s">
        <v>9</v>
      </c>
      <c r="O128" s="208" t="s">
        <v>10</v>
      </c>
      <c r="P128" s="209" t="s">
        <v>15</v>
      </c>
      <c r="Q128" s="210" t="s">
        <v>12</v>
      </c>
      <c r="R128" s="210" t="s">
        <v>13</v>
      </c>
      <c r="S128" s="211" t="s">
        <v>14</v>
      </c>
      <c r="T128" s="22"/>
      <c r="U128" s="41" t="s">
        <v>16</v>
      </c>
      <c r="V128" s="42" t="s">
        <v>17</v>
      </c>
      <c r="W128" s="43" t="s">
        <v>18</v>
      </c>
      <c r="X128" s="45" t="s">
        <v>20</v>
      </c>
      <c r="Y128" s="46" t="s">
        <v>21</v>
      </c>
      <c r="Z128" s="47" t="s">
        <v>22</v>
      </c>
    </row>
    <row r="129" ht="15.75" customHeight="1">
      <c r="A129" s="48">
        <v>45824.0</v>
      </c>
      <c r="B129" s="212">
        <v>4.0</v>
      </c>
      <c r="C129" s="213">
        <v>20.0</v>
      </c>
      <c r="D129" s="214">
        <f t="shared" ref="D129:D135" si="73">(C129*0.6)</f>
        <v>12</v>
      </c>
      <c r="E129" s="215">
        <v>13.75</v>
      </c>
      <c r="F129" s="262"/>
      <c r="G129" s="263"/>
      <c r="H129" s="218">
        <v>5.0</v>
      </c>
      <c r="I129" s="219">
        <v>25.0</v>
      </c>
      <c r="J129" s="219">
        <f t="shared" ref="J129:J135" si="74">(I129*0.6)</f>
        <v>15</v>
      </c>
      <c r="K129" s="219">
        <v>16.05</v>
      </c>
      <c r="L129" s="220"/>
      <c r="M129" s="273"/>
      <c r="N129" s="222">
        <v>0.0</v>
      </c>
      <c r="O129" s="223">
        <v>0.0</v>
      </c>
      <c r="P129" s="224">
        <f t="shared" ref="P129:P135" si="75">(O129*0.3)</f>
        <v>0</v>
      </c>
      <c r="Q129" s="225"/>
      <c r="R129" s="267"/>
      <c r="S129" s="268"/>
      <c r="T129" s="65">
        <f t="shared" ref="T129:T135" si="76">(B129+H129+N129)+(F129+L129)</f>
        <v>9</v>
      </c>
      <c r="U129" s="66"/>
      <c r="V129" s="67"/>
      <c r="W129" s="68">
        <v>23.7</v>
      </c>
      <c r="X129" s="70"/>
      <c r="Y129" s="71">
        <f>($E$14+$K$14+$Q$14)</f>
        <v>352.95</v>
      </c>
      <c r="Z129" s="66">
        <f t="shared" ref="Z129:Z133" si="77">((((C129+I129)*0.4))+(O129*0.7)-W129)</f>
        <v>-5.7</v>
      </c>
    </row>
    <row r="130" ht="15.75" customHeight="1">
      <c r="A130" s="48">
        <v>45825.0</v>
      </c>
      <c r="B130" s="228"/>
      <c r="C130" s="213"/>
      <c r="D130" s="214">
        <f t="shared" si="73"/>
        <v>0</v>
      </c>
      <c r="E130" s="215"/>
      <c r="F130" s="239">
        <v>1.0</v>
      </c>
      <c r="G130" s="263">
        <v>2.0</v>
      </c>
      <c r="H130" s="266">
        <v>3.0</v>
      </c>
      <c r="I130" s="231">
        <v>15.0</v>
      </c>
      <c r="J130" s="219">
        <f t="shared" si="74"/>
        <v>9</v>
      </c>
      <c r="K130" s="231">
        <v>14.75</v>
      </c>
      <c r="L130" s="236"/>
      <c r="M130" s="237"/>
      <c r="N130" s="232">
        <v>1.0</v>
      </c>
      <c r="O130" s="223">
        <v>6.0</v>
      </c>
      <c r="P130" s="224">
        <f t="shared" si="75"/>
        <v>1.8</v>
      </c>
      <c r="Q130" s="233"/>
      <c r="R130" s="269"/>
      <c r="S130" s="270"/>
      <c r="T130" s="65">
        <f t="shared" si="76"/>
        <v>5</v>
      </c>
      <c r="U130" s="85"/>
      <c r="V130" s="86"/>
      <c r="W130" s="87">
        <v>2.25</v>
      </c>
      <c r="X130" s="70"/>
      <c r="Y130" s="71"/>
      <c r="Z130" s="66">
        <f t="shared" si="77"/>
        <v>7.95</v>
      </c>
    </row>
    <row r="131" ht="15.75" customHeight="1">
      <c r="A131" s="48">
        <v>45826.0</v>
      </c>
      <c r="B131" s="228">
        <v>4.0</v>
      </c>
      <c r="C131" s="213">
        <v>21.0</v>
      </c>
      <c r="D131" s="214">
        <f t="shared" si="73"/>
        <v>12.6</v>
      </c>
      <c r="E131" s="215"/>
      <c r="F131" s="239">
        <v>1.0</v>
      </c>
      <c r="G131" s="263">
        <v>6.0</v>
      </c>
      <c r="H131" s="230">
        <v>4.0</v>
      </c>
      <c r="I131" s="231">
        <v>20.0</v>
      </c>
      <c r="J131" s="219">
        <f t="shared" si="74"/>
        <v>12</v>
      </c>
      <c r="K131" s="231">
        <v>3.0</v>
      </c>
      <c r="L131" s="236"/>
      <c r="M131" s="237"/>
      <c r="N131" s="232">
        <v>2.0</v>
      </c>
      <c r="O131" s="223">
        <v>11.0</v>
      </c>
      <c r="P131" s="224">
        <f t="shared" si="75"/>
        <v>3.3</v>
      </c>
      <c r="Q131" s="233"/>
      <c r="R131" s="269"/>
      <c r="S131" s="270"/>
      <c r="T131" s="65">
        <f t="shared" si="76"/>
        <v>11</v>
      </c>
      <c r="U131" s="85"/>
      <c r="V131" s="86"/>
      <c r="W131" s="87">
        <v>2.9</v>
      </c>
      <c r="X131" s="70"/>
      <c r="Y131" s="71"/>
      <c r="Z131" s="66">
        <f t="shared" si="77"/>
        <v>21.2</v>
      </c>
    </row>
    <row r="132" ht="15.75" customHeight="1">
      <c r="A132" s="48">
        <v>45827.0</v>
      </c>
      <c r="B132" s="228">
        <v>4.0</v>
      </c>
      <c r="C132" s="213">
        <v>20.0</v>
      </c>
      <c r="D132" s="214">
        <f t="shared" si="73"/>
        <v>12</v>
      </c>
      <c r="E132" s="215">
        <v>2.5</v>
      </c>
      <c r="F132" s="239"/>
      <c r="G132" s="263"/>
      <c r="H132" s="230">
        <v>5.0</v>
      </c>
      <c r="I132" s="231">
        <v>25.0</v>
      </c>
      <c r="J132" s="219">
        <f t="shared" si="74"/>
        <v>15</v>
      </c>
      <c r="K132" s="231">
        <v>14.0</v>
      </c>
      <c r="L132" s="236"/>
      <c r="M132" s="237"/>
      <c r="N132" s="232">
        <v>2.0</v>
      </c>
      <c r="O132" s="223">
        <v>10.0</v>
      </c>
      <c r="P132" s="224">
        <f t="shared" si="75"/>
        <v>3</v>
      </c>
      <c r="Q132" s="233"/>
      <c r="R132" s="234"/>
      <c r="S132" s="235"/>
      <c r="T132" s="65">
        <f t="shared" si="76"/>
        <v>11</v>
      </c>
      <c r="U132" s="85">
        <v>2.5</v>
      </c>
      <c r="V132" s="86"/>
      <c r="W132" s="87">
        <v>4.0</v>
      </c>
      <c r="X132" s="70">
        <f t="shared" ref="X132:X135" si="78">((C132+I132+O132)+(U132+V132))-W132-E132-K132-Q132</f>
        <v>37</v>
      </c>
      <c r="Y132" s="71"/>
      <c r="Z132" s="66">
        <f t="shared" si="77"/>
        <v>21</v>
      </c>
    </row>
    <row r="133" ht="15.75" customHeight="1">
      <c r="A133" s="48">
        <v>45828.0</v>
      </c>
      <c r="B133" s="228">
        <v>7.0</v>
      </c>
      <c r="C133" s="213">
        <v>37.0</v>
      </c>
      <c r="D133" s="214">
        <f t="shared" si="73"/>
        <v>22.2</v>
      </c>
      <c r="E133" s="215"/>
      <c r="F133" s="239">
        <v>1.0</v>
      </c>
      <c r="G133" s="263">
        <v>5.0</v>
      </c>
      <c r="H133" s="230">
        <v>7.0</v>
      </c>
      <c r="I133" s="231">
        <v>36.0</v>
      </c>
      <c r="J133" s="219">
        <f t="shared" si="74"/>
        <v>21.6</v>
      </c>
      <c r="K133" s="231">
        <v>15.75</v>
      </c>
      <c r="L133" s="236"/>
      <c r="M133" s="237"/>
      <c r="N133" s="232">
        <v>2.0</v>
      </c>
      <c r="O133" s="223">
        <v>10.0</v>
      </c>
      <c r="P133" s="224">
        <f t="shared" si="75"/>
        <v>3</v>
      </c>
      <c r="Q133" s="233"/>
      <c r="R133" s="234"/>
      <c r="S133" s="235"/>
      <c r="T133" s="65">
        <f t="shared" si="76"/>
        <v>17</v>
      </c>
      <c r="U133" s="85"/>
      <c r="V133" s="86"/>
      <c r="W133" s="87">
        <v>32.0</v>
      </c>
      <c r="X133" s="70">
        <f t="shared" si="78"/>
        <v>35.25</v>
      </c>
      <c r="Y133" s="71"/>
      <c r="Z133" s="66">
        <f t="shared" si="77"/>
        <v>4.2</v>
      </c>
    </row>
    <row r="134" ht="15.75" customHeight="1">
      <c r="A134" s="48">
        <v>45829.0</v>
      </c>
      <c r="B134" s="228">
        <v>9.0</v>
      </c>
      <c r="C134" s="213">
        <v>46.0</v>
      </c>
      <c r="D134" s="214">
        <f t="shared" si="73"/>
        <v>27.6</v>
      </c>
      <c r="E134" s="215">
        <v>3.0</v>
      </c>
      <c r="F134" s="239"/>
      <c r="G134" s="263"/>
      <c r="H134" s="230">
        <v>12.0</v>
      </c>
      <c r="I134" s="231">
        <v>60.0</v>
      </c>
      <c r="J134" s="219">
        <f t="shared" si="74"/>
        <v>36</v>
      </c>
      <c r="K134" s="231">
        <v>11.1</v>
      </c>
      <c r="L134" s="236">
        <v>1.0</v>
      </c>
      <c r="M134" s="237">
        <v>5.0</v>
      </c>
      <c r="N134" s="232">
        <v>8.0</v>
      </c>
      <c r="O134" s="223">
        <v>40.0</v>
      </c>
      <c r="P134" s="224">
        <f t="shared" si="75"/>
        <v>12</v>
      </c>
      <c r="Q134" s="233"/>
      <c r="R134" s="234"/>
      <c r="S134" s="235"/>
      <c r="T134" s="65">
        <f t="shared" si="76"/>
        <v>30</v>
      </c>
      <c r="U134" s="85"/>
      <c r="V134" s="86"/>
      <c r="W134" s="87"/>
      <c r="X134" s="70">
        <f t="shared" si="78"/>
        <v>131.9</v>
      </c>
      <c r="Y134" s="71"/>
      <c r="Z134" s="66">
        <f>((((C134+I134)*0.4))+(O134*0.7)-W134)+V134</f>
        <v>70.4</v>
      </c>
    </row>
    <row r="135" ht="15.75" customHeight="1">
      <c r="A135" s="48">
        <v>45830.0</v>
      </c>
      <c r="B135" s="241">
        <v>9.0</v>
      </c>
      <c r="C135" s="274">
        <v>48.0</v>
      </c>
      <c r="D135" s="275">
        <f t="shared" si="73"/>
        <v>28.8</v>
      </c>
      <c r="E135" s="276"/>
      <c r="F135" s="243">
        <v>3.0</v>
      </c>
      <c r="G135" s="277">
        <v>17.0</v>
      </c>
      <c r="H135" s="245"/>
      <c r="I135" s="246"/>
      <c r="J135" s="278">
        <f t="shared" si="74"/>
        <v>0</v>
      </c>
      <c r="K135" s="246"/>
      <c r="L135" s="247"/>
      <c r="M135" s="248"/>
      <c r="N135" s="249">
        <v>9.0</v>
      </c>
      <c r="O135" s="279">
        <v>45.0</v>
      </c>
      <c r="P135" s="280">
        <f t="shared" si="75"/>
        <v>13.5</v>
      </c>
      <c r="Q135" s="250"/>
      <c r="R135" s="251"/>
      <c r="S135" s="252"/>
      <c r="T135" s="281">
        <f t="shared" si="76"/>
        <v>21</v>
      </c>
      <c r="U135" s="282"/>
      <c r="V135" s="283"/>
      <c r="W135" s="284"/>
      <c r="X135" s="285">
        <f t="shared" si="78"/>
        <v>93</v>
      </c>
      <c r="Y135" s="286"/>
      <c r="Z135" s="287">
        <f>((((C135+I135)*0.4))+(O135*0.7)-W135)</f>
        <v>50.7</v>
      </c>
    </row>
    <row r="136" ht="15.75" customHeight="1">
      <c r="A136" s="112" t="s">
        <v>23</v>
      </c>
      <c r="B136" s="253">
        <f t="shared" ref="B136:E136" si="79">SUM(B129:B135)</f>
        <v>37</v>
      </c>
      <c r="C136" s="254">
        <f t="shared" si="79"/>
        <v>192</v>
      </c>
      <c r="D136" s="255">
        <f t="shared" si="79"/>
        <v>115.2</v>
      </c>
      <c r="E136" s="254">
        <f t="shared" si="79"/>
        <v>19.25</v>
      </c>
      <c r="F136" s="256">
        <f t="shared" ref="F136:G136" si="80">SUM(F130:F135)</f>
        <v>6</v>
      </c>
      <c r="G136" s="288">
        <f t="shared" si="80"/>
        <v>30</v>
      </c>
      <c r="H136" s="257">
        <f t="shared" ref="H136:Q136" si="81">SUM(H129:H135)</f>
        <v>36</v>
      </c>
      <c r="I136" s="258">
        <f t="shared" si="81"/>
        <v>181</v>
      </c>
      <c r="J136" s="255">
        <f t="shared" si="81"/>
        <v>108.6</v>
      </c>
      <c r="K136" s="258">
        <f t="shared" si="81"/>
        <v>74.65</v>
      </c>
      <c r="L136" s="257">
        <f t="shared" si="81"/>
        <v>1</v>
      </c>
      <c r="M136" s="257">
        <f t="shared" si="81"/>
        <v>5</v>
      </c>
      <c r="N136" s="259">
        <f t="shared" si="81"/>
        <v>24</v>
      </c>
      <c r="O136" s="260">
        <f t="shared" si="81"/>
        <v>122</v>
      </c>
      <c r="P136" s="260">
        <f t="shared" si="81"/>
        <v>36.6</v>
      </c>
      <c r="Q136" s="260">
        <f t="shared" si="81"/>
        <v>0</v>
      </c>
      <c r="R136" s="261"/>
      <c r="S136" s="261"/>
      <c r="T136" s="121">
        <f>SUM(T129:T135)</f>
        <v>104</v>
      </c>
      <c r="U136" s="122"/>
      <c r="V136" s="123">
        <f t="shared" ref="V136:Z136" si="82">SUM(V129:V135)</f>
        <v>0</v>
      </c>
      <c r="W136" s="123">
        <f t="shared" si="82"/>
        <v>64.85</v>
      </c>
      <c r="X136" s="125">
        <f t="shared" si="82"/>
        <v>297.15</v>
      </c>
      <c r="Y136" s="125">
        <f t="shared" si="82"/>
        <v>352.95</v>
      </c>
      <c r="Z136" s="126">
        <f t="shared" si="82"/>
        <v>169.75</v>
      </c>
      <c r="AA136" s="127"/>
    </row>
    <row r="137" ht="15.75" customHeight="1">
      <c r="C137" s="128"/>
      <c r="D137" s="129" t="s">
        <v>24</v>
      </c>
      <c r="E137" s="130">
        <f>D136+G136</f>
        <v>145.2</v>
      </c>
      <c r="F137" s="127"/>
      <c r="G137" s="127"/>
      <c r="H137" s="127"/>
      <c r="J137" s="129" t="s">
        <v>4</v>
      </c>
      <c r="K137" s="130">
        <f>(J136+M136)</f>
        <v>113.6</v>
      </c>
      <c r="L137" s="127"/>
      <c r="M137" s="127"/>
      <c r="N137" s="127"/>
      <c r="O137" s="128"/>
      <c r="P137" s="131" t="s">
        <v>24</v>
      </c>
      <c r="Q137" s="127">
        <f>P136+S136</f>
        <v>36.6</v>
      </c>
      <c r="R137" s="127"/>
      <c r="S137" s="127"/>
      <c r="T137" s="127"/>
      <c r="U137" s="127"/>
    </row>
    <row r="138" ht="15.75" customHeight="1">
      <c r="D138" s="132" t="s">
        <v>25</v>
      </c>
      <c r="E138" s="133">
        <f>D136-E136</f>
        <v>95.95</v>
      </c>
      <c r="F138" s="127"/>
      <c r="G138" s="127"/>
      <c r="H138" s="127"/>
      <c r="J138" s="132" t="s">
        <v>25</v>
      </c>
      <c r="K138" s="133">
        <f>J136-K136</f>
        <v>33.95</v>
      </c>
      <c r="L138" s="127"/>
      <c r="M138" s="127"/>
      <c r="N138" s="127"/>
      <c r="O138" s="128"/>
      <c r="P138" s="132" t="s">
        <v>25</v>
      </c>
      <c r="Q138" s="133">
        <f>P136-Q136</f>
        <v>36.6</v>
      </c>
      <c r="R138" s="127"/>
      <c r="S138" s="127"/>
      <c r="T138" s="127"/>
      <c r="U138" s="127"/>
    </row>
    <row r="139" ht="15.75" customHeight="1">
      <c r="E139" s="127">
        <f>(E138-50)</f>
        <v>45.95</v>
      </c>
      <c r="G139" s="127"/>
      <c r="J139" s="271" t="s">
        <v>34</v>
      </c>
      <c r="K139" s="272">
        <f>(K138-25)</f>
        <v>8.95</v>
      </c>
      <c r="L139" s="128"/>
      <c r="M139" s="127"/>
      <c r="N139" s="128"/>
      <c r="O139" s="128"/>
      <c r="P139" s="134"/>
      <c r="Q139" s="127"/>
    </row>
    <row r="140" ht="15.75" customHeight="1"/>
    <row r="141" ht="15.75" customHeight="1"/>
    <row r="142" ht="15.75" customHeight="1"/>
    <row r="143" ht="15.75" customHeight="1"/>
    <row r="144" ht="15.75" customHeight="1">
      <c r="C144" s="1" t="s">
        <v>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3"/>
      <c r="R144" s="4"/>
      <c r="S144" s="4"/>
      <c r="T144" s="5" t="s">
        <v>1</v>
      </c>
      <c r="U144" s="6" t="s">
        <v>2</v>
      </c>
      <c r="V144" s="7" t="s">
        <v>3</v>
      </c>
      <c r="W144" s="8"/>
      <c r="X144" s="10" t="s">
        <v>4</v>
      </c>
      <c r="Y144" s="11"/>
      <c r="Z144" s="8"/>
    </row>
    <row r="145" ht="15.75" customHeight="1">
      <c r="A145" s="12"/>
      <c r="B145" s="193" t="s">
        <v>35</v>
      </c>
      <c r="C145" s="14"/>
      <c r="D145" s="14"/>
      <c r="E145" s="14"/>
      <c r="F145" s="15"/>
      <c r="G145" s="194"/>
      <c r="H145" s="195" t="s">
        <v>29</v>
      </c>
      <c r="I145" s="14"/>
      <c r="J145" s="14"/>
      <c r="K145" s="14"/>
      <c r="L145" s="15"/>
      <c r="M145" s="196"/>
      <c r="N145" s="197" t="s">
        <v>7</v>
      </c>
      <c r="O145" s="14"/>
      <c r="P145" s="14"/>
      <c r="Q145" s="14"/>
      <c r="R145" s="15"/>
      <c r="S145" s="198"/>
      <c r="T145" s="21"/>
      <c r="U145" s="22"/>
      <c r="V145" s="23"/>
      <c r="W145" s="24"/>
      <c r="X145" s="23"/>
      <c r="Y145" s="26"/>
      <c r="Z145" s="24"/>
    </row>
    <row r="146" ht="15.75" customHeight="1">
      <c r="A146" s="27" t="s">
        <v>8</v>
      </c>
      <c r="B146" s="199" t="s">
        <v>9</v>
      </c>
      <c r="C146" s="200" t="s">
        <v>10</v>
      </c>
      <c r="D146" s="201" t="s">
        <v>37</v>
      </c>
      <c r="E146" s="201" t="s">
        <v>12</v>
      </c>
      <c r="F146" s="202" t="s">
        <v>13</v>
      </c>
      <c r="G146" s="203" t="s">
        <v>14</v>
      </c>
      <c r="H146" s="204" t="s">
        <v>9</v>
      </c>
      <c r="I146" s="205" t="s">
        <v>10</v>
      </c>
      <c r="J146" s="205" t="s">
        <v>38</v>
      </c>
      <c r="K146" s="205" t="s">
        <v>12</v>
      </c>
      <c r="L146" s="206" t="s">
        <v>13</v>
      </c>
      <c r="M146" s="207" t="s">
        <v>14</v>
      </c>
      <c r="N146" s="208" t="s">
        <v>9</v>
      </c>
      <c r="O146" s="208" t="s">
        <v>10</v>
      </c>
      <c r="P146" s="209" t="s">
        <v>15</v>
      </c>
      <c r="Q146" s="210" t="s">
        <v>12</v>
      </c>
      <c r="R146" s="210" t="s">
        <v>13</v>
      </c>
      <c r="S146" s="211" t="s">
        <v>14</v>
      </c>
      <c r="T146" s="22"/>
      <c r="U146" s="41" t="s">
        <v>16</v>
      </c>
      <c r="V146" s="42" t="s">
        <v>17</v>
      </c>
      <c r="W146" s="43" t="s">
        <v>18</v>
      </c>
      <c r="X146" s="45" t="s">
        <v>20</v>
      </c>
      <c r="Y146" s="46" t="s">
        <v>21</v>
      </c>
      <c r="Z146" s="47" t="s">
        <v>22</v>
      </c>
    </row>
    <row r="147" ht="15.75" customHeight="1">
      <c r="A147" s="48">
        <v>45831.0</v>
      </c>
      <c r="B147" s="212">
        <v>6.0</v>
      </c>
      <c r="C147" s="213">
        <v>30.0</v>
      </c>
      <c r="D147" s="214">
        <f t="shared" ref="D147:D153" si="83">(C147*0.5)</f>
        <v>15</v>
      </c>
      <c r="E147" s="215">
        <v>3.0</v>
      </c>
      <c r="F147" s="262">
        <v>3.0</v>
      </c>
      <c r="G147" s="263">
        <v>12.5</v>
      </c>
      <c r="H147" s="218"/>
      <c r="I147" s="219"/>
      <c r="J147" s="219"/>
      <c r="K147" s="219"/>
      <c r="L147" s="220"/>
      <c r="M147" s="273"/>
      <c r="N147" s="222">
        <v>7.0</v>
      </c>
      <c r="O147" s="223">
        <v>35.0</v>
      </c>
      <c r="P147" s="224">
        <f t="shared" ref="P147:P153" si="84">(O147*0.3)</f>
        <v>10.5</v>
      </c>
      <c r="Q147" s="225"/>
      <c r="R147" s="267"/>
      <c r="S147" s="268"/>
      <c r="T147" s="65">
        <f t="shared" ref="T147:T153" si="85">(B147+H147+N147)+(F147+L147)</f>
        <v>16</v>
      </c>
      <c r="U147" s="66"/>
      <c r="V147" s="67"/>
      <c r="W147" s="68"/>
      <c r="X147" s="70"/>
      <c r="Y147" s="71"/>
      <c r="Z147" s="66">
        <f t="shared" ref="Z147:Z151" si="86">((((C147+I147)*0.4))+(O147*0.7)-W147)</f>
        <v>36.5</v>
      </c>
    </row>
    <row r="148" ht="15.75" customHeight="1">
      <c r="A148" s="48">
        <v>45832.0</v>
      </c>
      <c r="B148" s="228">
        <v>5.0</v>
      </c>
      <c r="C148" s="213">
        <v>25.0</v>
      </c>
      <c r="D148" s="214">
        <f t="shared" si="83"/>
        <v>12.5</v>
      </c>
      <c r="E148" s="215">
        <v>3.75</v>
      </c>
      <c r="F148" s="239">
        <v>1.0</v>
      </c>
      <c r="G148" s="263">
        <v>5.0</v>
      </c>
      <c r="H148" s="266">
        <v>1.0</v>
      </c>
      <c r="I148" s="231">
        <v>5.0</v>
      </c>
      <c r="J148" s="219">
        <f t="shared" ref="J148:J152" si="87">(I148*0.5)</f>
        <v>2.5</v>
      </c>
      <c r="K148" s="231">
        <v>5.75</v>
      </c>
      <c r="L148" s="236"/>
      <c r="M148" s="237"/>
      <c r="N148" s="232">
        <v>4.0</v>
      </c>
      <c r="O148" s="223">
        <v>20.0</v>
      </c>
      <c r="P148" s="224">
        <f t="shared" si="84"/>
        <v>6</v>
      </c>
      <c r="Q148" s="233"/>
      <c r="R148" s="269"/>
      <c r="S148" s="270"/>
      <c r="T148" s="65">
        <f t="shared" si="85"/>
        <v>11</v>
      </c>
      <c r="U148" s="85"/>
      <c r="V148" s="86"/>
      <c r="W148" s="87"/>
      <c r="X148" s="70"/>
      <c r="Y148" s="71"/>
      <c r="Z148" s="66">
        <f t="shared" si="86"/>
        <v>26</v>
      </c>
    </row>
    <row r="149" ht="15.75" customHeight="1">
      <c r="A149" s="48">
        <v>45833.0</v>
      </c>
      <c r="B149" s="228">
        <v>5.0</v>
      </c>
      <c r="C149" s="213">
        <f>(5+5+7+6+5)</f>
        <v>28</v>
      </c>
      <c r="D149" s="214">
        <f t="shared" si="83"/>
        <v>14</v>
      </c>
      <c r="E149" s="215"/>
      <c r="F149" s="239"/>
      <c r="G149" s="263"/>
      <c r="H149" s="230"/>
      <c r="I149" s="231"/>
      <c r="J149" s="219">
        <f t="shared" si="87"/>
        <v>0</v>
      </c>
      <c r="K149" s="231">
        <v>7.75</v>
      </c>
      <c r="L149" s="236"/>
      <c r="M149" s="237"/>
      <c r="N149" s="232"/>
      <c r="O149" s="223"/>
      <c r="P149" s="224">
        <f t="shared" si="84"/>
        <v>0</v>
      </c>
      <c r="Q149" s="233"/>
      <c r="R149" s="269"/>
      <c r="S149" s="270"/>
      <c r="T149" s="65">
        <f t="shared" si="85"/>
        <v>5</v>
      </c>
      <c r="U149" s="85"/>
      <c r="V149" s="86"/>
      <c r="W149" s="87"/>
      <c r="X149" s="70"/>
      <c r="Y149" s="71"/>
      <c r="Z149" s="66">
        <f t="shared" si="86"/>
        <v>11.2</v>
      </c>
    </row>
    <row r="150" ht="15.75" customHeight="1">
      <c r="A150" s="48">
        <v>45834.0</v>
      </c>
      <c r="B150" s="228">
        <v>3.0</v>
      </c>
      <c r="C150" s="213">
        <f>(16)</f>
        <v>16</v>
      </c>
      <c r="D150" s="214">
        <f t="shared" si="83"/>
        <v>8</v>
      </c>
      <c r="E150" s="215"/>
      <c r="F150" s="239"/>
      <c r="G150" s="263"/>
      <c r="H150" s="230">
        <v>2.0</v>
      </c>
      <c r="I150" s="231">
        <v>10.0</v>
      </c>
      <c r="J150" s="219">
        <f t="shared" si="87"/>
        <v>5</v>
      </c>
      <c r="K150" s="231">
        <v>2.75</v>
      </c>
      <c r="L150" s="236"/>
      <c r="M150" s="237"/>
      <c r="N150" s="232">
        <v>4.0</v>
      </c>
      <c r="O150" s="223">
        <v>23.0</v>
      </c>
      <c r="P150" s="224">
        <f t="shared" si="84"/>
        <v>6.9</v>
      </c>
      <c r="Q150" s="233"/>
      <c r="R150" s="234"/>
      <c r="S150" s="235"/>
      <c r="T150" s="65">
        <f t="shared" si="85"/>
        <v>9</v>
      </c>
      <c r="U150" s="85"/>
      <c r="V150" s="86"/>
      <c r="W150" s="87"/>
      <c r="X150" s="70">
        <f>((C150+I150+O150)+(U150+V150))-W150-E150-K150-Q150</f>
        <v>46.25</v>
      </c>
      <c r="Y150" s="71"/>
      <c r="Z150" s="66">
        <f t="shared" si="86"/>
        <v>26.5</v>
      </c>
    </row>
    <row r="151" ht="15.75" customHeight="1">
      <c r="A151" s="48">
        <v>45835.0</v>
      </c>
      <c r="B151" s="228">
        <v>4.0</v>
      </c>
      <c r="C151" s="213">
        <v>20.0</v>
      </c>
      <c r="D151" s="214">
        <f t="shared" si="83"/>
        <v>10</v>
      </c>
      <c r="E151" s="215"/>
      <c r="F151" s="239">
        <v>1.0</v>
      </c>
      <c r="G151" s="263">
        <v>6.0</v>
      </c>
      <c r="H151" s="230">
        <v>9.0</v>
      </c>
      <c r="I151" s="231">
        <v>45.0</v>
      </c>
      <c r="J151" s="219">
        <f t="shared" si="87"/>
        <v>22.5</v>
      </c>
      <c r="K151" s="231">
        <v>9.0</v>
      </c>
      <c r="L151" s="236">
        <v>1.0</v>
      </c>
      <c r="M151" s="237">
        <v>5.0</v>
      </c>
      <c r="N151" s="232"/>
      <c r="O151" s="223"/>
      <c r="P151" s="224">
        <f t="shared" si="84"/>
        <v>0</v>
      </c>
      <c r="Q151" s="233"/>
      <c r="R151" s="234"/>
      <c r="S151" s="235"/>
      <c r="T151" s="65">
        <f t="shared" si="85"/>
        <v>15</v>
      </c>
      <c r="U151" s="85">
        <v>3.5</v>
      </c>
      <c r="V151" s="86"/>
      <c r="W151" s="87"/>
      <c r="X151" s="70"/>
      <c r="Y151" s="71"/>
      <c r="Z151" s="66">
        <f t="shared" si="86"/>
        <v>26</v>
      </c>
    </row>
    <row r="152" ht="15.75" customHeight="1">
      <c r="A152" s="48">
        <v>45836.0</v>
      </c>
      <c r="B152" s="228">
        <v>10.0</v>
      </c>
      <c r="C152" s="213">
        <v>51.0</v>
      </c>
      <c r="D152" s="214">
        <f t="shared" si="83"/>
        <v>25.5</v>
      </c>
      <c r="E152" s="215"/>
      <c r="F152" s="239"/>
      <c r="G152" s="263"/>
      <c r="H152" s="230">
        <v>8.0</v>
      </c>
      <c r="I152" s="231">
        <f>37+7</f>
        <v>44</v>
      </c>
      <c r="J152" s="219">
        <f t="shared" si="87"/>
        <v>22</v>
      </c>
      <c r="K152" s="231">
        <f>19+5+3+0.75</f>
        <v>27.75</v>
      </c>
      <c r="L152" s="236"/>
      <c r="M152" s="237"/>
      <c r="N152" s="232">
        <v>9.0</v>
      </c>
      <c r="O152" s="223">
        <v>45.0</v>
      </c>
      <c r="P152" s="224">
        <f t="shared" si="84"/>
        <v>13.5</v>
      </c>
      <c r="Q152" s="233"/>
      <c r="R152" s="234"/>
      <c r="S152" s="235"/>
      <c r="T152" s="65">
        <f t="shared" si="85"/>
        <v>27</v>
      </c>
      <c r="U152" s="85"/>
      <c r="V152" s="86"/>
      <c r="W152" s="87"/>
      <c r="X152" s="70">
        <f>((C152+I152+O152)+(U152+V152))-W152-E152-K152-Q152</f>
        <v>112.25</v>
      </c>
      <c r="Y152" s="71"/>
      <c r="Z152" s="66">
        <f>((((C152+I152)*0.4))+(O152*0.7)-W152)+V152</f>
        <v>69.5</v>
      </c>
    </row>
    <row r="153" ht="15.75" customHeight="1">
      <c r="A153" s="48">
        <v>45837.0</v>
      </c>
      <c r="B153" s="241"/>
      <c r="C153" s="241"/>
      <c r="D153" s="214">
        <f t="shared" si="83"/>
        <v>0</v>
      </c>
      <c r="E153" s="241"/>
      <c r="F153" s="241">
        <v>11.0</v>
      </c>
      <c r="G153" s="241">
        <v>57.0</v>
      </c>
      <c r="H153" s="245">
        <v>5.0</v>
      </c>
      <c r="I153" s="246">
        <v>25.0</v>
      </c>
      <c r="J153" s="219">
        <f>(I153*0.6)</f>
        <v>15</v>
      </c>
      <c r="K153" s="246"/>
      <c r="L153" s="247">
        <v>6.0</v>
      </c>
      <c r="M153" s="248">
        <v>30.0</v>
      </c>
      <c r="N153" s="249"/>
      <c r="O153" s="279"/>
      <c r="P153" s="280">
        <f t="shared" si="84"/>
        <v>0</v>
      </c>
      <c r="Q153" s="250"/>
      <c r="R153" s="251"/>
      <c r="S153" s="252"/>
      <c r="T153" s="281">
        <f t="shared" si="85"/>
        <v>22</v>
      </c>
      <c r="U153" s="282"/>
      <c r="V153" s="283"/>
      <c r="W153" s="284"/>
      <c r="X153" s="285"/>
      <c r="Y153" s="286"/>
      <c r="Z153" s="287">
        <f>((((C153+I153)*0.4))+(O153*0.7)-W153)</f>
        <v>10</v>
      </c>
    </row>
    <row r="154" ht="15.75" customHeight="1">
      <c r="A154" s="112" t="s">
        <v>23</v>
      </c>
      <c r="B154" s="253">
        <f t="shared" ref="B154:Q154" si="88">SUM(B147:B153)</f>
        <v>33</v>
      </c>
      <c r="C154" s="254">
        <f t="shared" si="88"/>
        <v>170</v>
      </c>
      <c r="D154" s="255">
        <f t="shared" si="88"/>
        <v>85</v>
      </c>
      <c r="E154" s="254">
        <f t="shared" si="88"/>
        <v>6.75</v>
      </c>
      <c r="F154" s="256">
        <f t="shared" si="88"/>
        <v>16</v>
      </c>
      <c r="G154" s="288">
        <f t="shared" si="88"/>
        <v>80.5</v>
      </c>
      <c r="H154" s="257">
        <f t="shared" si="88"/>
        <v>25</v>
      </c>
      <c r="I154" s="258">
        <f t="shared" si="88"/>
        <v>129</v>
      </c>
      <c r="J154" s="255">
        <f t="shared" si="88"/>
        <v>67</v>
      </c>
      <c r="K154" s="258">
        <f t="shared" si="88"/>
        <v>53</v>
      </c>
      <c r="L154" s="257">
        <f t="shared" si="88"/>
        <v>7</v>
      </c>
      <c r="M154" s="257">
        <f t="shared" si="88"/>
        <v>35</v>
      </c>
      <c r="N154" s="259">
        <f t="shared" si="88"/>
        <v>24</v>
      </c>
      <c r="O154" s="260">
        <f t="shared" si="88"/>
        <v>123</v>
      </c>
      <c r="P154" s="260">
        <f t="shared" si="88"/>
        <v>36.9</v>
      </c>
      <c r="Q154" s="260">
        <f t="shared" si="88"/>
        <v>0</v>
      </c>
      <c r="R154" s="261"/>
      <c r="S154" s="261"/>
      <c r="T154" s="121">
        <f>SUM(T147:T153)</f>
        <v>105</v>
      </c>
      <c r="U154" s="122"/>
      <c r="V154" s="123">
        <f t="shared" ref="V154:Z154" si="89">SUM(V147:V153)</f>
        <v>0</v>
      </c>
      <c r="W154" s="123">
        <f t="shared" si="89"/>
        <v>0</v>
      </c>
      <c r="X154" s="125">
        <f t="shared" si="89"/>
        <v>158.5</v>
      </c>
      <c r="Y154" s="125">
        <f t="shared" si="89"/>
        <v>0</v>
      </c>
      <c r="Z154" s="126">
        <f t="shared" si="89"/>
        <v>205.7</v>
      </c>
      <c r="AA154" s="127"/>
    </row>
    <row r="155" ht="15.75" customHeight="1">
      <c r="C155" s="128"/>
      <c r="D155" s="129" t="s">
        <v>24</v>
      </c>
      <c r="E155" s="130">
        <f>D154+G154</f>
        <v>165.5</v>
      </c>
      <c r="F155" s="127"/>
      <c r="G155" s="127"/>
      <c r="H155" s="127"/>
      <c r="J155" s="129" t="s">
        <v>4</v>
      </c>
      <c r="K155" s="130">
        <f>(J154+M154)</f>
        <v>102</v>
      </c>
      <c r="L155" s="127"/>
      <c r="M155" s="127"/>
      <c r="N155" s="127"/>
      <c r="O155" s="128"/>
      <c r="P155" s="131" t="s">
        <v>24</v>
      </c>
      <c r="Q155" s="127">
        <f>P154+S154</f>
        <v>36.9</v>
      </c>
      <c r="R155" s="127"/>
      <c r="S155" s="127"/>
      <c r="T155" s="127"/>
      <c r="U155" s="127"/>
    </row>
    <row r="156" ht="15.75" customHeight="1">
      <c r="D156" s="132" t="s">
        <v>25</v>
      </c>
      <c r="E156" s="133">
        <f>D154-E154</f>
        <v>78.25</v>
      </c>
      <c r="F156" s="127"/>
      <c r="G156" s="127"/>
      <c r="H156" s="127"/>
      <c r="J156" s="132" t="s">
        <v>25</v>
      </c>
      <c r="K156" s="133">
        <f>J154-K154</f>
        <v>14</v>
      </c>
      <c r="L156" s="127"/>
      <c r="M156" s="127"/>
      <c r="N156" s="127"/>
      <c r="O156" s="128"/>
      <c r="P156" s="132" t="s">
        <v>25</v>
      </c>
      <c r="Q156" s="133">
        <f>P154-Q154</f>
        <v>36.9</v>
      </c>
      <c r="R156" s="127"/>
      <c r="S156" s="127"/>
      <c r="T156" s="127"/>
      <c r="U156" s="127"/>
    </row>
    <row r="157" ht="15.75" customHeight="1">
      <c r="E157" s="127">
        <f>(E156-50)</f>
        <v>28.25</v>
      </c>
      <c r="G157" s="127"/>
      <c r="J157" s="271" t="s">
        <v>34</v>
      </c>
      <c r="K157" s="272"/>
      <c r="L157" s="128"/>
      <c r="M157" s="127"/>
      <c r="N157" s="128"/>
      <c r="O157" s="128"/>
      <c r="P157" s="134"/>
      <c r="Q157" s="127"/>
    </row>
    <row r="158" ht="15.75" customHeight="1"/>
    <row r="159" ht="15.75" customHeight="1">
      <c r="W159" s="131" t="s">
        <v>26</v>
      </c>
    </row>
    <row r="160" ht="15.75" customHeight="1">
      <c r="I160" s="131" t="s">
        <v>26</v>
      </c>
      <c r="K160" s="131" t="s">
        <v>26</v>
      </c>
    </row>
    <row r="161" ht="15.75" customHeight="1"/>
    <row r="162" ht="15.75" customHeight="1">
      <c r="C162" s="1" t="s">
        <v>0</v>
      </c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3"/>
      <c r="R162" s="4"/>
      <c r="S162" s="4"/>
      <c r="T162" s="5" t="s">
        <v>1</v>
      </c>
      <c r="U162" s="6" t="s">
        <v>2</v>
      </c>
      <c r="V162" s="7" t="s">
        <v>3</v>
      </c>
      <c r="W162" s="8"/>
      <c r="X162" s="10" t="s">
        <v>4</v>
      </c>
      <c r="Y162" s="11"/>
      <c r="Z162" s="8"/>
    </row>
    <row r="163" ht="15.75" customHeight="1">
      <c r="A163" s="12"/>
      <c r="B163" s="193" t="s">
        <v>35</v>
      </c>
      <c r="C163" s="14"/>
      <c r="D163" s="14"/>
      <c r="E163" s="14"/>
      <c r="F163" s="15"/>
      <c r="G163" s="194"/>
      <c r="H163" s="195" t="s">
        <v>29</v>
      </c>
      <c r="I163" s="14"/>
      <c r="J163" s="14"/>
      <c r="K163" s="14"/>
      <c r="L163" s="15"/>
      <c r="M163" s="196"/>
      <c r="N163" s="197" t="s">
        <v>7</v>
      </c>
      <c r="O163" s="14"/>
      <c r="P163" s="14"/>
      <c r="Q163" s="14"/>
      <c r="R163" s="15"/>
      <c r="S163" s="198"/>
      <c r="T163" s="21"/>
      <c r="U163" s="22"/>
      <c r="V163" s="23"/>
      <c r="W163" s="24"/>
      <c r="X163" s="23"/>
      <c r="Y163" s="26"/>
      <c r="Z163" s="24"/>
    </row>
    <row r="164" ht="15.75" customHeight="1">
      <c r="A164" s="27" t="s">
        <v>8</v>
      </c>
      <c r="B164" s="199" t="s">
        <v>9</v>
      </c>
      <c r="C164" s="200" t="s">
        <v>10</v>
      </c>
      <c r="D164" s="201" t="s">
        <v>37</v>
      </c>
      <c r="E164" s="201" t="s">
        <v>12</v>
      </c>
      <c r="F164" s="202" t="s">
        <v>13</v>
      </c>
      <c r="G164" s="203" t="s">
        <v>14</v>
      </c>
      <c r="H164" s="204" t="s">
        <v>9</v>
      </c>
      <c r="I164" s="205" t="s">
        <v>10</v>
      </c>
      <c r="J164" s="205" t="s">
        <v>38</v>
      </c>
      <c r="K164" s="205" t="s">
        <v>12</v>
      </c>
      <c r="L164" s="206" t="s">
        <v>13</v>
      </c>
      <c r="M164" s="207" t="s">
        <v>14</v>
      </c>
      <c r="N164" s="208" t="s">
        <v>9</v>
      </c>
      <c r="O164" s="208" t="s">
        <v>10</v>
      </c>
      <c r="P164" s="209" t="s">
        <v>15</v>
      </c>
      <c r="Q164" s="210" t="s">
        <v>12</v>
      </c>
      <c r="R164" s="210" t="s">
        <v>13</v>
      </c>
      <c r="S164" s="211" t="s">
        <v>14</v>
      </c>
      <c r="T164" s="22"/>
      <c r="U164" s="41" t="s">
        <v>16</v>
      </c>
      <c r="V164" s="42" t="s">
        <v>17</v>
      </c>
      <c r="W164" s="43" t="s">
        <v>18</v>
      </c>
      <c r="X164" s="45" t="s">
        <v>20</v>
      </c>
      <c r="Y164" s="46" t="s">
        <v>21</v>
      </c>
      <c r="Z164" s="47" t="s">
        <v>22</v>
      </c>
    </row>
    <row r="165" ht="15.75" customHeight="1">
      <c r="A165" s="48">
        <v>45838.0</v>
      </c>
      <c r="B165" s="212">
        <v>0.0</v>
      </c>
      <c r="C165" s="213"/>
      <c r="D165" s="214">
        <f>(C165*0.5)</f>
        <v>0</v>
      </c>
      <c r="E165" s="215"/>
      <c r="F165" s="262"/>
      <c r="G165" s="263"/>
      <c r="H165" s="218">
        <v>4.0</v>
      </c>
      <c r="I165" s="219">
        <v>20.0</v>
      </c>
      <c r="J165" s="219">
        <f t="shared" ref="J165:J171" si="90">(I165*0.6)</f>
        <v>12</v>
      </c>
      <c r="K165" s="219">
        <f>(0.5+1.6+1.5)</f>
        <v>3.6</v>
      </c>
      <c r="L165" s="220">
        <v>1.0</v>
      </c>
      <c r="M165" s="273">
        <v>5.0</v>
      </c>
      <c r="N165" s="222">
        <v>1.0</v>
      </c>
      <c r="O165" s="223">
        <v>15.0</v>
      </c>
      <c r="P165" s="224">
        <f t="shared" ref="P165:P171" si="91">(O165*0.3)</f>
        <v>4.5</v>
      </c>
      <c r="Q165" s="225"/>
      <c r="R165" s="267"/>
      <c r="S165" s="268"/>
      <c r="T165" s="65">
        <f t="shared" ref="T165:T171" si="92">(B165+H165+N165)+(F165+L165)</f>
        <v>6</v>
      </c>
      <c r="U165" s="66"/>
      <c r="V165" s="67"/>
      <c r="W165" s="68"/>
      <c r="X165" s="70"/>
      <c r="Y165" s="71"/>
      <c r="Z165" s="66">
        <f t="shared" ref="Z165:Z169" si="93">((((C165+I165)*0.4))+(O165*0.7)-W165)</f>
        <v>18.5</v>
      </c>
    </row>
    <row r="166" ht="15.75" customHeight="1">
      <c r="A166" s="48">
        <v>45839.0</v>
      </c>
      <c r="B166" s="228">
        <v>3.0</v>
      </c>
      <c r="C166" s="213">
        <v>15.0</v>
      </c>
      <c r="D166" s="214">
        <f t="shared" ref="D166:D171" si="94">(C166*0.6)</f>
        <v>9</v>
      </c>
      <c r="E166" s="215">
        <v>5.5</v>
      </c>
      <c r="F166" s="239">
        <v>1.0</v>
      </c>
      <c r="G166" s="263">
        <v>2.5</v>
      </c>
      <c r="H166" s="266">
        <v>5.0</v>
      </c>
      <c r="I166" s="231">
        <v>25.0</v>
      </c>
      <c r="J166" s="219">
        <f t="shared" si="90"/>
        <v>15</v>
      </c>
      <c r="K166" s="231">
        <f>(5+0.75+4.5)</f>
        <v>10.25</v>
      </c>
      <c r="L166" s="236"/>
      <c r="M166" s="237"/>
      <c r="N166" s="232">
        <v>3.0</v>
      </c>
      <c r="O166" s="223">
        <v>15.0</v>
      </c>
      <c r="P166" s="224">
        <f t="shared" si="91"/>
        <v>4.5</v>
      </c>
      <c r="Q166" s="233"/>
      <c r="R166" s="269"/>
      <c r="S166" s="270"/>
      <c r="T166" s="65">
        <f t="shared" si="92"/>
        <v>12</v>
      </c>
      <c r="U166" s="85"/>
      <c r="V166" s="86"/>
      <c r="W166" s="87"/>
      <c r="X166" s="70"/>
      <c r="Y166" s="71"/>
      <c r="Z166" s="66">
        <f t="shared" si="93"/>
        <v>26.5</v>
      </c>
    </row>
    <row r="167" ht="15.75" customHeight="1">
      <c r="A167" s="48">
        <v>45840.0</v>
      </c>
      <c r="B167" s="228">
        <v>4.0</v>
      </c>
      <c r="C167" s="213">
        <v>20.0</v>
      </c>
      <c r="D167" s="214">
        <f t="shared" si="94"/>
        <v>12</v>
      </c>
      <c r="E167" s="215">
        <v>5.0</v>
      </c>
      <c r="F167" s="239"/>
      <c r="G167" s="263"/>
      <c r="H167" s="230">
        <v>6.0</v>
      </c>
      <c r="I167" s="231">
        <v>31.0</v>
      </c>
      <c r="J167" s="219">
        <f t="shared" si="90"/>
        <v>18.6</v>
      </c>
      <c r="K167" s="231">
        <v>12.25</v>
      </c>
      <c r="L167" s="236"/>
      <c r="M167" s="237"/>
      <c r="N167" s="232">
        <v>2.0</v>
      </c>
      <c r="O167" s="223">
        <v>10.0</v>
      </c>
      <c r="P167" s="224">
        <f t="shared" si="91"/>
        <v>3</v>
      </c>
      <c r="Q167" s="233"/>
      <c r="R167" s="269"/>
      <c r="S167" s="270"/>
      <c r="T167" s="65">
        <f t="shared" si="92"/>
        <v>12</v>
      </c>
      <c r="U167" s="85"/>
      <c r="V167" s="86"/>
      <c r="W167" s="87"/>
      <c r="X167" s="70"/>
      <c r="Y167" s="71"/>
      <c r="Z167" s="66">
        <f t="shared" si="93"/>
        <v>27.4</v>
      </c>
    </row>
    <row r="168" ht="15.75" customHeight="1">
      <c r="A168" s="48">
        <v>45841.0</v>
      </c>
      <c r="B168" s="228">
        <v>5.0</v>
      </c>
      <c r="C168" s="213">
        <v>26.0</v>
      </c>
      <c r="D168" s="214">
        <f t="shared" si="94"/>
        <v>15.6</v>
      </c>
      <c r="E168" s="215">
        <v>3.0</v>
      </c>
      <c r="F168" s="239"/>
      <c r="G168" s="263"/>
      <c r="H168" s="230">
        <v>3.0</v>
      </c>
      <c r="I168" s="231">
        <v>16.0</v>
      </c>
      <c r="J168" s="219">
        <f t="shared" si="90"/>
        <v>9.6</v>
      </c>
      <c r="K168" s="231">
        <v>12.5</v>
      </c>
      <c r="L168" s="236"/>
      <c r="M168" s="237"/>
      <c r="N168" s="232"/>
      <c r="O168" s="223"/>
      <c r="P168" s="224">
        <f t="shared" si="91"/>
        <v>0</v>
      </c>
      <c r="Q168" s="233"/>
      <c r="R168" s="234"/>
      <c r="S168" s="235"/>
      <c r="T168" s="65">
        <f t="shared" si="92"/>
        <v>8</v>
      </c>
      <c r="U168" s="85"/>
      <c r="V168" s="86"/>
      <c r="W168" s="87"/>
      <c r="X168" s="70">
        <f t="shared" ref="X168:X171" si="95">((C168+I168+O168)+(U168+V168))-W168-E168-K168-Q168</f>
        <v>26.5</v>
      </c>
      <c r="Y168" s="71"/>
      <c r="Z168" s="66">
        <f t="shared" si="93"/>
        <v>16.8</v>
      </c>
    </row>
    <row r="169" ht="15.75" customHeight="1">
      <c r="A169" s="48">
        <v>45842.0</v>
      </c>
      <c r="B169" s="228">
        <v>9.0</v>
      </c>
      <c r="C169" s="213">
        <v>45.0</v>
      </c>
      <c r="D169" s="214">
        <f t="shared" si="94"/>
        <v>27</v>
      </c>
      <c r="E169" s="215">
        <v>1.5</v>
      </c>
      <c r="F169" s="239">
        <v>1.0</v>
      </c>
      <c r="G169" s="263">
        <v>5.0</v>
      </c>
      <c r="H169" s="230">
        <v>11.0</v>
      </c>
      <c r="I169" s="231">
        <v>55.0</v>
      </c>
      <c r="J169" s="219">
        <f t="shared" si="90"/>
        <v>33</v>
      </c>
      <c r="K169" s="231">
        <v>19.25</v>
      </c>
      <c r="L169" s="236">
        <v>2.0</v>
      </c>
      <c r="M169" s="237">
        <v>11.0</v>
      </c>
      <c r="N169" s="232">
        <v>1.0</v>
      </c>
      <c r="O169" s="223">
        <v>5.0</v>
      </c>
      <c r="P169" s="224">
        <f t="shared" si="91"/>
        <v>1.5</v>
      </c>
      <c r="Q169" s="233"/>
      <c r="R169" s="234"/>
      <c r="S169" s="235"/>
      <c r="T169" s="65">
        <f t="shared" si="92"/>
        <v>24</v>
      </c>
      <c r="U169" s="85">
        <v>3.5</v>
      </c>
      <c r="V169" s="86"/>
      <c r="W169" s="87"/>
      <c r="X169" s="70">
        <f t="shared" si="95"/>
        <v>87.75</v>
      </c>
      <c r="Y169" s="71"/>
      <c r="Z169" s="66">
        <f t="shared" si="93"/>
        <v>43.5</v>
      </c>
    </row>
    <row r="170" ht="15.75" customHeight="1">
      <c r="A170" s="48">
        <v>45843.0</v>
      </c>
      <c r="B170" s="228">
        <v>10.0</v>
      </c>
      <c r="C170" s="213">
        <v>52.0</v>
      </c>
      <c r="D170" s="214">
        <f t="shared" si="94"/>
        <v>31.2</v>
      </c>
      <c r="E170" s="215"/>
      <c r="F170" s="239"/>
      <c r="G170" s="263"/>
      <c r="H170" s="230">
        <v>10.0</v>
      </c>
      <c r="I170" s="231">
        <v>52.0</v>
      </c>
      <c r="J170" s="219">
        <f t="shared" si="90"/>
        <v>31.2</v>
      </c>
      <c r="K170" s="231">
        <v>57.0</v>
      </c>
      <c r="L170" s="236"/>
      <c r="M170" s="237"/>
      <c r="N170" s="232">
        <v>11.0</v>
      </c>
      <c r="O170" s="223">
        <v>59.0</v>
      </c>
      <c r="P170" s="224">
        <f t="shared" si="91"/>
        <v>17.7</v>
      </c>
      <c r="Q170" s="233"/>
      <c r="R170" s="234"/>
      <c r="S170" s="235"/>
      <c r="T170" s="65">
        <f t="shared" si="92"/>
        <v>31</v>
      </c>
      <c r="U170" s="85"/>
      <c r="V170" s="86"/>
      <c r="W170" s="87"/>
      <c r="X170" s="70">
        <f t="shared" si="95"/>
        <v>106</v>
      </c>
      <c r="Y170" s="71"/>
      <c r="Z170" s="66">
        <f>((((C170+I170)*0.4))+(O170*0.7)-W170)+V170</f>
        <v>82.9</v>
      </c>
    </row>
    <row r="171" ht="15.75" customHeight="1">
      <c r="A171" s="48">
        <v>45844.0</v>
      </c>
      <c r="B171" s="241"/>
      <c r="C171" s="241"/>
      <c r="D171" s="214">
        <f t="shared" si="94"/>
        <v>0</v>
      </c>
      <c r="E171" s="241"/>
      <c r="F171" s="241">
        <v>3.0</v>
      </c>
      <c r="G171" s="241">
        <v>15.0</v>
      </c>
      <c r="H171" s="245"/>
      <c r="I171" s="246"/>
      <c r="J171" s="219">
        <f t="shared" si="90"/>
        <v>0</v>
      </c>
      <c r="K171" s="246"/>
      <c r="L171" s="247"/>
      <c r="M171" s="248"/>
      <c r="N171" s="249">
        <v>4.0</v>
      </c>
      <c r="O171" s="279">
        <v>20.0</v>
      </c>
      <c r="P171" s="280">
        <f t="shared" si="91"/>
        <v>6</v>
      </c>
      <c r="Q171" s="250"/>
      <c r="R171" s="251"/>
      <c r="S171" s="252"/>
      <c r="T171" s="281">
        <f t="shared" si="92"/>
        <v>7</v>
      </c>
      <c r="U171" s="282"/>
      <c r="V171" s="283"/>
      <c r="W171" s="284"/>
      <c r="X171" s="70">
        <f t="shared" si="95"/>
        <v>20</v>
      </c>
      <c r="Y171" s="286"/>
      <c r="Z171" s="287">
        <f>((((C171+I171)*0.4))+(O171*0.7)-W171)</f>
        <v>14</v>
      </c>
    </row>
    <row r="172" ht="15.75" customHeight="1">
      <c r="A172" s="112" t="s">
        <v>23</v>
      </c>
      <c r="B172" s="253">
        <f t="shared" ref="B172:Q172" si="96">SUM(B165:B171)</f>
        <v>31</v>
      </c>
      <c r="C172" s="254">
        <f t="shared" si="96"/>
        <v>158</v>
      </c>
      <c r="D172" s="255">
        <f t="shared" si="96"/>
        <v>94.8</v>
      </c>
      <c r="E172" s="254">
        <f t="shared" si="96"/>
        <v>15</v>
      </c>
      <c r="F172" s="256">
        <f t="shared" si="96"/>
        <v>5</v>
      </c>
      <c r="G172" s="288">
        <f t="shared" si="96"/>
        <v>22.5</v>
      </c>
      <c r="H172" s="257">
        <f t="shared" si="96"/>
        <v>39</v>
      </c>
      <c r="I172" s="258">
        <f t="shared" si="96"/>
        <v>199</v>
      </c>
      <c r="J172" s="255">
        <f t="shared" si="96"/>
        <v>119.4</v>
      </c>
      <c r="K172" s="258">
        <f t="shared" si="96"/>
        <v>114.85</v>
      </c>
      <c r="L172" s="257">
        <f t="shared" si="96"/>
        <v>3</v>
      </c>
      <c r="M172" s="257">
        <f t="shared" si="96"/>
        <v>16</v>
      </c>
      <c r="N172" s="259">
        <f t="shared" si="96"/>
        <v>22</v>
      </c>
      <c r="O172" s="260">
        <f t="shared" si="96"/>
        <v>124</v>
      </c>
      <c r="P172" s="260">
        <f t="shared" si="96"/>
        <v>37.2</v>
      </c>
      <c r="Q172" s="260">
        <f t="shared" si="96"/>
        <v>0</v>
      </c>
      <c r="R172" s="261"/>
      <c r="S172" s="261"/>
      <c r="T172" s="121">
        <f>SUM(T165:T171)</f>
        <v>100</v>
      </c>
      <c r="U172" s="122"/>
      <c r="V172" s="123">
        <f t="shared" ref="V172:Z172" si="97">SUM(V165:V171)</f>
        <v>0</v>
      </c>
      <c r="W172" s="123">
        <f t="shared" si="97"/>
        <v>0</v>
      </c>
      <c r="X172" s="125">
        <f t="shared" si="97"/>
        <v>240.25</v>
      </c>
      <c r="Y172" s="125">
        <f t="shared" si="97"/>
        <v>0</v>
      </c>
      <c r="Z172" s="126">
        <f t="shared" si="97"/>
        <v>229.6</v>
      </c>
      <c r="AA172" s="127"/>
    </row>
    <row r="173" ht="15.75" customHeight="1">
      <c r="C173" s="128"/>
      <c r="D173" s="129" t="s">
        <v>24</v>
      </c>
      <c r="E173" s="130">
        <f>D172+G172</f>
        <v>117.3</v>
      </c>
      <c r="F173" s="127"/>
      <c r="G173" s="127"/>
      <c r="H173" s="127"/>
      <c r="J173" s="129" t="s">
        <v>4</v>
      </c>
      <c r="K173" s="130">
        <f>(J172+M172)</f>
        <v>135.4</v>
      </c>
      <c r="L173" s="127"/>
      <c r="M173" s="127"/>
      <c r="N173" s="127"/>
      <c r="O173" s="128"/>
      <c r="P173" s="131" t="s">
        <v>24</v>
      </c>
      <c r="Q173" s="127">
        <f>P172+S172</f>
        <v>37.2</v>
      </c>
      <c r="R173" s="127"/>
      <c r="S173" s="127"/>
      <c r="T173" s="127"/>
      <c r="U173" s="127"/>
    </row>
    <row r="174" ht="15.75" customHeight="1">
      <c r="D174" s="132" t="s">
        <v>25</v>
      </c>
      <c r="E174" s="133">
        <f>D172-E172</f>
        <v>79.8</v>
      </c>
      <c r="F174" s="127"/>
      <c r="G174" s="127"/>
      <c r="H174" s="127"/>
      <c r="J174" s="132" t="s">
        <v>25</v>
      </c>
      <c r="K174" s="133">
        <f>J172-K172</f>
        <v>4.55</v>
      </c>
      <c r="L174" s="127"/>
      <c r="M174" s="127"/>
      <c r="N174" s="127"/>
      <c r="O174" s="128"/>
      <c r="P174" s="132" t="s">
        <v>25</v>
      </c>
      <c r="Q174" s="133">
        <f>P172-Q172</f>
        <v>37.2</v>
      </c>
      <c r="R174" s="127"/>
      <c r="S174" s="127"/>
      <c r="T174" s="127"/>
      <c r="U174" s="127"/>
    </row>
    <row r="175" ht="15.75" customHeight="1">
      <c r="E175" s="127"/>
      <c r="G175" s="127"/>
      <c r="J175" s="271" t="s">
        <v>34</v>
      </c>
      <c r="K175" s="272"/>
      <c r="L175" s="128"/>
      <c r="M175" s="127"/>
      <c r="N175" s="128"/>
      <c r="O175" s="128"/>
      <c r="P175" s="134"/>
      <c r="Q175" s="127"/>
    </row>
    <row r="176" ht="15.75" customHeight="1"/>
    <row r="177" ht="15.75" customHeight="1">
      <c r="W177" s="131" t="s">
        <v>26</v>
      </c>
    </row>
    <row r="178" ht="15.75" customHeight="1">
      <c r="C178" s="1" t="s">
        <v>0</v>
      </c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3"/>
      <c r="R178" s="4"/>
    </row>
    <row r="179" ht="15.75" customHeight="1">
      <c r="A179" s="12"/>
      <c r="B179" s="193" t="s">
        <v>35</v>
      </c>
      <c r="C179" s="14"/>
      <c r="D179" s="14"/>
      <c r="E179" s="14"/>
      <c r="F179" s="15"/>
      <c r="G179" s="194"/>
      <c r="H179" s="195" t="s">
        <v>29</v>
      </c>
      <c r="I179" s="14"/>
      <c r="J179" s="14"/>
      <c r="K179" s="14"/>
      <c r="L179" s="15"/>
      <c r="M179" s="196"/>
      <c r="N179" s="197" t="s">
        <v>7</v>
      </c>
      <c r="O179" s="14"/>
      <c r="P179" s="14"/>
      <c r="Q179" s="14"/>
      <c r="R179" s="15"/>
      <c r="S179" s="131" t="s">
        <v>26</v>
      </c>
    </row>
    <row r="180" ht="15.75" customHeight="1">
      <c r="A180" s="27" t="s">
        <v>8</v>
      </c>
      <c r="B180" s="199" t="s">
        <v>9</v>
      </c>
      <c r="C180" s="200" t="s">
        <v>10</v>
      </c>
      <c r="D180" s="201" t="s">
        <v>36</v>
      </c>
      <c r="E180" s="201" t="s">
        <v>12</v>
      </c>
      <c r="F180" s="202" t="s">
        <v>13</v>
      </c>
      <c r="G180" s="203" t="s">
        <v>14</v>
      </c>
      <c r="H180" s="204" t="s">
        <v>9</v>
      </c>
      <c r="I180" s="205" t="s">
        <v>10</v>
      </c>
      <c r="J180" s="205" t="s">
        <v>38</v>
      </c>
      <c r="K180" s="205" t="s">
        <v>12</v>
      </c>
      <c r="L180" s="206" t="s">
        <v>13</v>
      </c>
      <c r="M180" s="207" t="s">
        <v>14</v>
      </c>
      <c r="N180" s="208" t="s">
        <v>9</v>
      </c>
      <c r="O180" s="208" t="s">
        <v>10</v>
      </c>
      <c r="P180" s="209" t="s">
        <v>15</v>
      </c>
      <c r="Q180" s="210" t="s">
        <v>12</v>
      </c>
      <c r="R180" s="210" t="s">
        <v>13</v>
      </c>
    </row>
    <row r="181" ht="15.75" customHeight="1">
      <c r="A181" s="48">
        <v>45852.0</v>
      </c>
      <c r="B181" s="212">
        <v>5.0</v>
      </c>
      <c r="C181" s="213">
        <v>25.0</v>
      </c>
      <c r="D181" s="214">
        <f t="shared" ref="D181:D187" si="98">(C181*0.6)</f>
        <v>15</v>
      </c>
      <c r="E181" s="215">
        <v>2.0</v>
      </c>
      <c r="F181" s="262"/>
      <c r="G181" s="263"/>
      <c r="H181" s="218"/>
      <c r="I181" s="219"/>
      <c r="J181" s="219">
        <f t="shared" ref="J181:J187" si="99">(I181*0.6)</f>
        <v>0</v>
      </c>
      <c r="K181" s="219"/>
      <c r="L181" s="220"/>
      <c r="M181" s="273"/>
      <c r="N181" s="222">
        <v>3.0</v>
      </c>
      <c r="O181" s="223">
        <v>15.0</v>
      </c>
      <c r="P181" s="224">
        <f t="shared" ref="P181:P187" si="100">(O181*0.3)</f>
        <v>4.5</v>
      </c>
      <c r="Q181" s="225"/>
      <c r="R181" s="267"/>
    </row>
    <row r="182" ht="15.75" customHeight="1">
      <c r="A182" s="48">
        <v>45853.0</v>
      </c>
      <c r="B182" s="228">
        <v>3.0</v>
      </c>
      <c r="C182" s="213">
        <v>16.0</v>
      </c>
      <c r="D182" s="214">
        <f t="shared" si="98"/>
        <v>9.6</v>
      </c>
      <c r="E182" s="215">
        <v>3.5</v>
      </c>
      <c r="F182" s="239">
        <v>1.0</v>
      </c>
      <c r="G182" s="263">
        <v>5.0</v>
      </c>
      <c r="H182" s="266"/>
      <c r="I182" s="231"/>
      <c r="J182" s="219">
        <f t="shared" si="99"/>
        <v>0</v>
      </c>
      <c r="K182" s="231"/>
      <c r="L182" s="236"/>
      <c r="M182" s="237"/>
      <c r="N182" s="232">
        <v>4.0</v>
      </c>
      <c r="O182" s="223">
        <v>29.0</v>
      </c>
      <c r="P182" s="224">
        <f t="shared" si="100"/>
        <v>8.7</v>
      </c>
      <c r="Q182" s="233"/>
      <c r="R182" s="269"/>
    </row>
    <row r="183" ht="15.75" customHeight="1">
      <c r="A183" s="48">
        <v>45854.0</v>
      </c>
      <c r="B183" s="228">
        <v>3.0</v>
      </c>
      <c r="C183" s="213">
        <v>15.0</v>
      </c>
      <c r="D183" s="214">
        <f t="shared" si="98"/>
        <v>9</v>
      </c>
      <c r="E183" s="215">
        <v>2.0</v>
      </c>
      <c r="F183" s="239"/>
      <c r="G183" s="263"/>
      <c r="H183" s="230"/>
      <c r="I183" s="231"/>
      <c r="J183" s="219">
        <f t="shared" si="99"/>
        <v>0</v>
      </c>
      <c r="K183" s="231"/>
      <c r="L183" s="236"/>
      <c r="M183" s="237"/>
      <c r="N183" s="232">
        <v>5.0</v>
      </c>
      <c r="O183" s="223">
        <v>26.0</v>
      </c>
      <c r="P183" s="224">
        <f t="shared" si="100"/>
        <v>7.8</v>
      </c>
      <c r="Q183" s="233"/>
      <c r="R183" s="269"/>
    </row>
    <row r="184" ht="15.75" customHeight="1">
      <c r="A184" s="48">
        <v>45855.0</v>
      </c>
      <c r="B184" s="228"/>
      <c r="C184" s="213"/>
      <c r="D184" s="214">
        <f t="shared" si="98"/>
        <v>0</v>
      </c>
      <c r="E184" s="215"/>
      <c r="F184" s="239"/>
      <c r="G184" s="263"/>
      <c r="H184" s="230"/>
      <c r="I184" s="231"/>
      <c r="J184" s="219">
        <f t="shared" si="99"/>
        <v>0</v>
      </c>
      <c r="K184" s="231"/>
      <c r="L184" s="236"/>
      <c r="M184" s="237"/>
      <c r="N184" s="232">
        <v>7.0</v>
      </c>
      <c r="O184" s="223">
        <v>35.0</v>
      </c>
      <c r="P184" s="224">
        <f t="shared" si="100"/>
        <v>10.5</v>
      </c>
      <c r="Q184" s="233"/>
      <c r="R184" s="234"/>
    </row>
    <row r="185" ht="15.75" customHeight="1">
      <c r="A185" s="48">
        <v>45856.0</v>
      </c>
      <c r="B185" s="228">
        <v>2.0</v>
      </c>
      <c r="C185" s="213">
        <v>10.0</v>
      </c>
      <c r="D185" s="214">
        <f t="shared" si="98"/>
        <v>6</v>
      </c>
      <c r="E185" s="215">
        <v>15.0</v>
      </c>
      <c r="F185" s="239"/>
      <c r="G185" s="263"/>
      <c r="H185" s="230"/>
      <c r="I185" s="231"/>
      <c r="J185" s="219">
        <f t="shared" si="99"/>
        <v>0</v>
      </c>
      <c r="K185" s="231"/>
      <c r="L185" s="236"/>
      <c r="M185" s="237"/>
      <c r="N185" s="232">
        <v>6.0</v>
      </c>
      <c r="O185" s="223">
        <v>30.0</v>
      </c>
      <c r="P185" s="224">
        <f t="shared" si="100"/>
        <v>9</v>
      </c>
      <c r="Q185" s="233"/>
      <c r="R185" s="234"/>
    </row>
    <row r="186" ht="15.75" customHeight="1">
      <c r="A186" s="48">
        <v>45857.0</v>
      </c>
      <c r="B186" s="228">
        <v>13.0</v>
      </c>
      <c r="C186" s="213">
        <v>67.0</v>
      </c>
      <c r="D186" s="214">
        <f t="shared" si="98"/>
        <v>40.2</v>
      </c>
      <c r="E186" s="215"/>
      <c r="F186" s="239"/>
      <c r="G186" s="263"/>
      <c r="H186" s="230"/>
      <c r="I186" s="231"/>
      <c r="J186" s="219">
        <f t="shared" si="99"/>
        <v>0</v>
      </c>
      <c r="K186" s="231"/>
      <c r="L186" s="236"/>
      <c r="M186" s="237"/>
      <c r="N186" s="232">
        <v>16.0</v>
      </c>
      <c r="O186" s="223">
        <f>16*5+(4)</f>
        <v>84</v>
      </c>
      <c r="P186" s="224">
        <f t="shared" si="100"/>
        <v>25.2</v>
      </c>
      <c r="Q186" s="233"/>
      <c r="R186" s="234"/>
    </row>
    <row r="187" ht="15.75" customHeight="1">
      <c r="A187" s="48">
        <v>45858.0</v>
      </c>
      <c r="B187" s="241"/>
      <c r="C187" s="241"/>
      <c r="D187" s="214">
        <f t="shared" si="98"/>
        <v>0</v>
      </c>
      <c r="E187" s="241"/>
      <c r="F187" s="241">
        <v>8.0</v>
      </c>
      <c r="G187" s="241">
        <v>44.0</v>
      </c>
      <c r="H187" s="245"/>
      <c r="I187" s="246"/>
      <c r="J187" s="219">
        <f t="shared" si="99"/>
        <v>0</v>
      </c>
      <c r="K187" s="246"/>
      <c r="L187" s="247"/>
      <c r="M187" s="248"/>
      <c r="N187" s="249">
        <v>3.0</v>
      </c>
      <c r="O187" s="279">
        <v>15.0</v>
      </c>
      <c r="P187" s="280">
        <f t="shared" si="100"/>
        <v>4.5</v>
      </c>
      <c r="Q187" s="250"/>
      <c r="R187" s="251"/>
    </row>
    <row r="188" ht="15.75" customHeight="1">
      <c r="A188" s="112" t="s">
        <v>23</v>
      </c>
      <c r="B188" s="253">
        <f t="shared" ref="B188:Q188" si="101">SUM(B181:B187)</f>
        <v>26</v>
      </c>
      <c r="C188" s="254">
        <f t="shared" si="101"/>
        <v>133</v>
      </c>
      <c r="D188" s="255">
        <f t="shared" si="101"/>
        <v>79.8</v>
      </c>
      <c r="E188" s="254">
        <f t="shared" si="101"/>
        <v>22.5</v>
      </c>
      <c r="F188" s="256">
        <f t="shared" si="101"/>
        <v>9</v>
      </c>
      <c r="G188" s="288">
        <f t="shared" si="101"/>
        <v>49</v>
      </c>
      <c r="H188" s="257">
        <f t="shared" si="101"/>
        <v>0</v>
      </c>
      <c r="I188" s="258">
        <f t="shared" si="101"/>
        <v>0</v>
      </c>
      <c r="J188" s="255">
        <f t="shared" si="101"/>
        <v>0</v>
      </c>
      <c r="K188" s="258">
        <f t="shared" si="101"/>
        <v>0</v>
      </c>
      <c r="L188" s="257">
        <f t="shared" si="101"/>
        <v>0</v>
      </c>
      <c r="M188" s="257">
        <f t="shared" si="101"/>
        <v>0</v>
      </c>
      <c r="N188" s="259">
        <f t="shared" si="101"/>
        <v>44</v>
      </c>
      <c r="O188" s="260">
        <f t="shared" si="101"/>
        <v>234</v>
      </c>
      <c r="P188" s="260">
        <f t="shared" si="101"/>
        <v>70.2</v>
      </c>
      <c r="Q188" s="260">
        <f t="shared" si="101"/>
        <v>0</v>
      </c>
      <c r="R188" s="261"/>
    </row>
    <row r="189" ht="15.75" customHeight="1">
      <c r="C189" s="128"/>
      <c r="D189" s="129" t="s">
        <v>24</v>
      </c>
      <c r="E189" s="130">
        <f>D188+G188</f>
        <v>128.8</v>
      </c>
      <c r="F189" s="127"/>
      <c r="G189" s="127"/>
      <c r="H189" s="127"/>
      <c r="J189" s="129" t="s">
        <v>4</v>
      </c>
      <c r="K189" s="130">
        <f>(J188+M188)</f>
        <v>0</v>
      </c>
      <c r="L189" s="127"/>
      <c r="M189" s="127"/>
      <c r="N189" s="127"/>
      <c r="O189" s="128"/>
      <c r="P189" s="131" t="s">
        <v>24</v>
      </c>
      <c r="Q189" s="127">
        <f>P188+S188</f>
        <v>70.2</v>
      </c>
      <c r="R189" s="127"/>
    </row>
    <row r="190" ht="15.75" customHeight="1">
      <c r="D190" s="132" t="s">
        <v>25</v>
      </c>
      <c r="E190" s="133">
        <f>D188-E188</f>
        <v>57.3</v>
      </c>
      <c r="F190" s="127"/>
      <c r="G190" s="127"/>
      <c r="H190" s="127"/>
      <c r="J190" s="132" t="s">
        <v>25</v>
      </c>
      <c r="K190" s="133">
        <f>J188-K188</f>
        <v>0</v>
      </c>
      <c r="L190" s="127"/>
      <c r="M190" s="127"/>
      <c r="N190" s="127"/>
      <c r="O190" s="128"/>
      <c r="P190" s="132" t="s">
        <v>25</v>
      </c>
      <c r="Q190" s="133">
        <f>P188-Q188</f>
        <v>70.2</v>
      </c>
      <c r="R190" s="127"/>
    </row>
    <row r="191" ht="15.75" customHeight="1">
      <c r="E191" s="127"/>
      <c r="G191" s="127"/>
      <c r="J191" s="271" t="s">
        <v>34</v>
      </c>
      <c r="K191" s="272"/>
      <c r="L191" s="128"/>
      <c r="M191" s="127"/>
      <c r="N191" s="128"/>
      <c r="O191" s="128"/>
      <c r="P191" s="134"/>
      <c r="Q191" s="127"/>
    </row>
    <row r="192" ht="15.75" customHeight="1"/>
    <row r="193" ht="15.75" customHeight="1"/>
    <row r="194" ht="15.75" customHeight="1"/>
    <row r="195" ht="15.75" customHeight="1"/>
    <row r="196" ht="15.75" customHeight="1">
      <c r="C196" s="1" t="s">
        <v>0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3"/>
      <c r="R196" s="4"/>
      <c r="S196" s="4"/>
      <c r="T196" s="5" t="s">
        <v>1</v>
      </c>
      <c r="U196" s="6" t="s">
        <v>2</v>
      </c>
      <c r="V196" s="7" t="s">
        <v>3</v>
      </c>
      <c r="W196" s="8"/>
      <c r="X196" s="10" t="s">
        <v>4</v>
      </c>
      <c r="Y196" s="11"/>
      <c r="Z196" s="8"/>
    </row>
    <row r="197" ht="15.75" customHeight="1">
      <c r="A197" s="12"/>
      <c r="B197" s="13" t="s">
        <v>5</v>
      </c>
      <c r="C197" s="14"/>
      <c r="D197" s="14"/>
      <c r="E197" s="14"/>
      <c r="F197" s="15"/>
      <c r="G197" s="16"/>
      <c r="H197" s="289" t="s">
        <v>6</v>
      </c>
      <c r="I197" s="14"/>
      <c r="J197" s="14"/>
      <c r="K197" s="14"/>
      <c r="L197" s="15"/>
      <c r="M197" s="18"/>
      <c r="N197" s="19" t="s">
        <v>7</v>
      </c>
      <c r="O197" s="14"/>
      <c r="P197" s="14"/>
      <c r="Q197" s="14"/>
      <c r="R197" s="15"/>
      <c r="S197" s="20"/>
      <c r="T197" s="21"/>
      <c r="U197" s="22"/>
      <c r="V197" s="23"/>
      <c r="W197" s="24"/>
      <c r="X197" s="23"/>
      <c r="Y197" s="26"/>
      <c r="Z197" s="24"/>
    </row>
    <row r="198" ht="15.75" customHeight="1">
      <c r="A198" s="27" t="s">
        <v>8</v>
      </c>
      <c r="B198" s="28" t="s">
        <v>9</v>
      </c>
      <c r="C198" s="29" t="s">
        <v>10</v>
      </c>
      <c r="D198" s="30" t="s">
        <v>11</v>
      </c>
      <c r="E198" s="30" t="s">
        <v>12</v>
      </c>
      <c r="F198" s="31" t="s">
        <v>13</v>
      </c>
      <c r="G198" s="32" t="s">
        <v>14</v>
      </c>
      <c r="H198" s="33" t="s">
        <v>9</v>
      </c>
      <c r="I198" s="34" t="s">
        <v>10</v>
      </c>
      <c r="J198" s="34" t="s">
        <v>11</v>
      </c>
      <c r="K198" s="34" t="s">
        <v>12</v>
      </c>
      <c r="L198" s="35" t="s">
        <v>13</v>
      </c>
      <c r="M198" s="36" t="s">
        <v>14</v>
      </c>
      <c r="N198" s="37" t="s">
        <v>9</v>
      </c>
      <c r="O198" s="37" t="s">
        <v>10</v>
      </c>
      <c r="P198" s="38" t="s">
        <v>15</v>
      </c>
      <c r="Q198" s="39" t="s">
        <v>12</v>
      </c>
      <c r="R198" s="39" t="s">
        <v>13</v>
      </c>
      <c r="S198" s="40" t="s">
        <v>14</v>
      </c>
      <c r="T198" s="22"/>
      <c r="U198" s="41" t="s">
        <v>16</v>
      </c>
      <c r="V198" s="42" t="s">
        <v>17</v>
      </c>
      <c r="W198" s="43" t="s">
        <v>18</v>
      </c>
      <c r="X198" s="45" t="s">
        <v>20</v>
      </c>
      <c r="Y198" s="46" t="s">
        <v>21</v>
      </c>
      <c r="Z198" s="47" t="s">
        <v>22</v>
      </c>
    </row>
    <row r="199" ht="15.75" customHeight="1">
      <c r="A199" s="48">
        <v>45859.0</v>
      </c>
      <c r="B199" s="49">
        <v>5.0</v>
      </c>
      <c r="C199" s="50">
        <v>25.0</v>
      </c>
      <c r="D199" s="51">
        <f t="shared" ref="D199:D204" si="102">(C199*0.6)</f>
        <v>15</v>
      </c>
      <c r="E199" s="52">
        <v>5.0</v>
      </c>
      <c r="F199" s="53"/>
      <c r="G199" s="54"/>
      <c r="H199" s="55"/>
      <c r="I199" s="56"/>
      <c r="J199" s="56">
        <f t="shared" ref="J199:J204" si="103">I199*0.6</f>
        <v>0</v>
      </c>
      <c r="K199" s="56"/>
      <c r="L199" s="57"/>
      <c r="M199" s="58"/>
      <c r="N199" s="59">
        <v>2.0</v>
      </c>
      <c r="O199" s="60">
        <v>10.0</v>
      </c>
      <c r="P199" s="61">
        <f t="shared" ref="P199:P200" si="104">(O199*0.3)</f>
        <v>3</v>
      </c>
      <c r="Q199" s="62">
        <v>2.0</v>
      </c>
      <c r="R199" s="63"/>
      <c r="S199" s="64"/>
      <c r="T199" s="65">
        <f t="shared" ref="T199:T205" si="105">SUM(B199+F199+H199+L199+N199+R199)</f>
        <v>7</v>
      </c>
      <c r="U199" s="66">
        <v>10.0</v>
      </c>
      <c r="V199" s="67"/>
      <c r="W199" s="68">
        <v>2.25</v>
      </c>
      <c r="X199" s="70">
        <f t="shared" ref="X199:X203" si="106">(U199)+(C199+I199+O199)+(V199)-(E199+K199+Q199)-(W199)</f>
        <v>35.75</v>
      </c>
      <c r="Y199" s="71">
        <f t="shared" ref="Y199:Y205" si="107">(D199-E199)+(J199-K199)</f>
        <v>10</v>
      </c>
      <c r="Z199" s="66">
        <f t="shared" ref="Z199:Z205" si="108">(((C199+I199)*0.4)+(O199*0.7))-W199</f>
        <v>14.75</v>
      </c>
    </row>
    <row r="200" ht="15.75" customHeight="1">
      <c r="A200" s="48">
        <v>45860.0</v>
      </c>
      <c r="B200" s="72">
        <v>3.0</v>
      </c>
      <c r="C200" s="73">
        <v>15.0</v>
      </c>
      <c r="D200" s="51">
        <f t="shared" si="102"/>
        <v>9</v>
      </c>
      <c r="E200" s="74">
        <v>10.0</v>
      </c>
      <c r="F200" s="75">
        <v>1.0</v>
      </c>
      <c r="G200" s="76">
        <v>2.0</v>
      </c>
      <c r="H200" s="77"/>
      <c r="I200" s="78"/>
      <c r="J200" s="56">
        <f t="shared" si="103"/>
        <v>0</v>
      </c>
      <c r="K200" s="78"/>
      <c r="L200" s="79"/>
      <c r="M200" s="80"/>
      <c r="N200" s="81">
        <v>4.0</v>
      </c>
      <c r="O200" s="60">
        <v>20.0</v>
      </c>
      <c r="P200" s="61">
        <f t="shared" si="104"/>
        <v>6</v>
      </c>
      <c r="Q200" s="82"/>
      <c r="R200" s="83"/>
      <c r="S200" s="84"/>
      <c r="T200" s="65">
        <f t="shared" si="105"/>
        <v>8</v>
      </c>
      <c r="U200" s="85">
        <v>7.0</v>
      </c>
      <c r="V200" s="86"/>
      <c r="W200" s="87">
        <v>3.5</v>
      </c>
      <c r="X200" s="89">
        <f t="shared" si="106"/>
        <v>28.5</v>
      </c>
      <c r="Y200" s="90">
        <f t="shared" si="107"/>
        <v>-1</v>
      </c>
      <c r="Z200" s="66">
        <f t="shared" si="108"/>
        <v>16.5</v>
      </c>
    </row>
    <row r="201" ht="15.75" customHeight="1">
      <c r="A201" s="48">
        <v>45861.0</v>
      </c>
      <c r="B201" s="72">
        <v>2.0</v>
      </c>
      <c r="C201" s="73">
        <v>10.0</v>
      </c>
      <c r="D201" s="51">
        <f t="shared" si="102"/>
        <v>6</v>
      </c>
      <c r="E201" s="74">
        <v>13.0</v>
      </c>
      <c r="F201" s="75">
        <v>1.0</v>
      </c>
      <c r="G201" s="76">
        <v>7.0</v>
      </c>
      <c r="H201" s="77"/>
      <c r="I201" s="78"/>
      <c r="J201" s="56">
        <f t="shared" si="103"/>
        <v>0</v>
      </c>
      <c r="K201" s="78"/>
      <c r="L201" s="91"/>
      <c r="M201" s="92"/>
      <c r="N201" s="81">
        <v>2.0</v>
      </c>
      <c r="O201" s="60">
        <v>10.0</v>
      </c>
      <c r="P201" s="61">
        <f>(O201*0.25)</f>
        <v>2.5</v>
      </c>
      <c r="Q201" s="82"/>
      <c r="R201" s="83"/>
      <c r="S201" s="84"/>
      <c r="T201" s="65">
        <f t="shared" si="105"/>
        <v>5</v>
      </c>
      <c r="U201" s="85">
        <v>7.0</v>
      </c>
      <c r="V201" s="86"/>
      <c r="W201" s="87">
        <v>11.0</v>
      </c>
      <c r="X201" s="89">
        <f t="shared" si="106"/>
        <v>3</v>
      </c>
      <c r="Y201" s="90">
        <f t="shared" si="107"/>
        <v>-7</v>
      </c>
      <c r="Z201" s="66">
        <f t="shared" si="108"/>
        <v>0</v>
      </c>
    </row>
    <row r="202" ht="15.75" customHeight="1">
      <c r="A202" s="48">
        <v>45862.0</v>
      </c>
      <c r="B202" s="72">
        <v>6.0</v>
      </c>
      <c r="C202" s="73">
        <v>33.0</v>
      </c>
      <c r="D202" s="51">
        <f t="shared" si="102"/>
        <v>19.8</v>
      </c>
      <c r="E202" s="74">
        <v>5.0</v>
      </c>
      <c r="F202" s="93"/>
      <c r="G202" s="76"/>
      <c r="H202" s="77"/>
      <c r="I202" s="78"/>
      <c r="J202" s="56">
        <f t="shared" si="103"/>
        <v>0</v>
      </c>
      <c r="K202" s="78"/>
      <c r="L202" s="91"/>
      <c r="M202" s="92"/>
      <c r="N202" s="81"/>
      <c r="O202" s="60"/>
      <c r="P202" s="61">
        <f t="shared" ref="P202:P203" si="109">(O202*0.3)</f>
        <v>0</v>
      </c>
      <c r="Q202" s="82"/>
      <c r="R202" s="83"/>
      <c r="S202" s="84"/>
      <c r="T202" s="65">
        <f t="shared" si="105"/>
        <v>6</v>
      </c>
      <c r="U202" s="85">
        <v>2.5</v>
      </c>
      <c r="V202" s="86"/>
      <c r="W202" s="87">
        <v>5.5</v>
      </c>
      <c r="X202" s="89">
        <f t="shared" si="106"/>
        <v>25</v>
      </c>
      <c r="Y202" s="90">
        <f t="shared" si="107"/>
        <v>14.8</v>
      </c>
      <c r="Z202" s="66">
        <f t="shared" si="108"/>
        <v>7.7</v>
      </c>
    </row>
    <row r="203" ht="15.75" customHeight="1">
      <c r="A203" s="48">
        <v>45863.0</v>
      </c>
      <c r="B203" s="72">
        <v>5.0</v>
      </c>
      <c r="C203" s="94">
        <f>(6+7+5+5+6)</f>
        <v>29</v>
      </c>
      <c r="D203" s="51">
        <f t="shared" si="102"/>
        <v>17.4</v>
      </c>
      <c r="E203" s="74"/>
      <c r="F203" s="75">
        <v>1.0</v>
      </c>
      <c r="G203" s="76">
        <v>2.0</v>
      </c>
      <c r="H203" s="77"/>
      <c r="I203" s="78"/>
      <c r="J203" s="56">
        <f t="shared" si="103"/>
        <v>0</v>
      </c>
      <c r="K203" s="78"/>
      <c r="L203" s="91"/>
      <c r="M203" s="92"/>
      <c r="N203" s="81">
        <v>5.0</v>
      </c>
      <c r="O203" s="60">
        <v>25.0</v>
      </c>
      <c r="P203" s="61">
        <f t="shared" si="109"/>
        <v>7.5</v>
      </c>
      <c r="Q203" s="82">
        <v>9.5</v>
      </c>
      <c r="R203" s="83"/>
      <c r="S203" s="84"/>
      <c r="T203" s="65">
        <f t="shared" si="105"/>
        <v>11</v>
      </c>
      <c r="U203" s="85">
        <v>10.75</v>
      </c>
      <c r="V203" s="86"/>
      <c r="W203" s="87">
        <f>18.95-9.5</f>
        <v>9.45</v>
      </c>
      <c r="X203" s="89">
        <f t="shared" si="106"/>
        <v>45.8</v>
      </c>
      <c r="Y203" s="90">
        <f t="shared" si="107"/>
        <v>17.4</v>
      </c>
      <c r="Z203" s="66">
        <f t="shared" si="108"/>
        <v>19.65</v>
      </c>
    </row>
    <row r="204" ht="15.75" customHeight="1">
      <c r="A204" s="48">
        <v>45864.0</v>
      </c>
      <c r="B204" s="72">
        <v>13.0</v>
      </c>
      <c r="C204" s="94">
        <v>68.0</v>
      </c>
      <c r="D204" s="51">
        <f t="shared" si="102"/>
        <v>40.8</v>
      </c>
      <c r="E204" s="74">
        <v>9.0</v>
      </c>
      <c r="F204" s="75"/>
      <c r="G204" s="76"/>
      <c r="H204" s="77"/>
      <c r="I204" s="78"/>
      <c r="J204" s="56">
        <f t="shared" si="103"/>
        <v>0</v>
      </c>
      <c r="K204" s="78"/>
      <c r="L204" s="91"/>
      <c r="M204" s="92"/>
      <c r="N204" s="81">
        <v>15.0</v>
      </c>
      <c r="O204" s="60">
        <v>45.0</v>
      </c>
      <c r="P204" s="61">
        <f t="shared" ref="P204:P205" si="110">(O204*0.25)</f>
        <v>11.25</v>
      </c>
      <c r="Q204" s="82">
        <v>7.5</v>
      </c>
      <c r="R204" s="83"/>
      <c r="S204" s="84"/>
      <c r="T204" s="65">
        <f t="shared" si="105"/>
        <v>28</v>
      </c>
      <c r="U204" s="85">
        <v>14.75</v>
      </c>
      <c r="V204" s="86"/>
      <c r="W204" s="87">
        <v>7.5</v>
      </c>
      <c r="X204" s="89"/>
      <c r="Y204" s="90">
        <f t="shared" si="107"/>
        <v>31.8</v>
      </c>
      <c r="Z204" s="66">
        <f t="shared" si="108"/>
        <v>51.2</v>
      </c>
    </row>
    <row r="205" ht="15.75" customHeight="1">
      <c r="A205" s="48">
        <v>45865.0</v>
      </c>
      <c r="B205" s="95"/>
      <c r="C205" s="96"/>
      <c r="D205" s="51"/>
      <c r="E205" s="97"/>
      <c r="F205" s="98">
        <v>8.0</v>
      </c>
      <c r="G205" s="99">
        <v>42.0</v>
      </c>
      <c r="H205" s="100"/>
      <c r="I205" s="101"/>
      <c r="J205" s="56"/>
      <c r="K205" s="78"/>
      <c r="L205" s="102"/>
      <c r="M205" s="103"/>
      <c r="N205" s="104"/>
      <c r="O205" s="60"/>
      <c r="P205" s="61">
        <f t="shared" si="110"/>
        <v>0</v>
      </c>
      <c r="Q205" s="105"/>
      <c r="R205" s="106"/>
      <c r="S205" s="107"/>
      <c r="T205" s="65">
        <f t="shared" si="105"/>
        <v>8</v>
      </c>
      <c r="U205" s="108"/>
      <c r="V205" s="109"/>
      <c r="W205" s="110"/>
      <c r="X205" s="183">
        <f>(U205)+(C205+I205+O205)+(V205)-(E205+K205+Q205)-(W205)</f>
        <v>0</v>
      </c>
      <c r="Y205" s="184">
        <f t="shared" si="107"/>
        <v>0</v>
      </c>
      <c r="Z205" s="66">
        <f t="shared" si="108"/>
        <v>0</v>
      </c>
    </row>
    <row r="206" ht="15.75" customHeight="1">
      <c r="A206" s="112" t="s">
        <v>23</v>
      </c>
      <c r="B206" s="113">
        <f t="shared" ref="B206:Q206" si="111">SUM(B199:B205)</f>
        <v>34</v>
      </c>
      <c r="C206" s="114">
        <f t="shared" si="111"/>
        <v>180</v>
      </c>
      <c r="D206" s="114">
        <f t="shared" si="111"/>
        <v>108</v>
      </c>
      <c r="E206" s="114">
        <f t="shared" si="111"/>
        <v>42</v>
      </c>
      <c r="F206" s="115">
        <f t="shared" si="111"/>
        <v>11</v>
      </c>
      <c r="G206" s="115">
        <f t="shared" si="111"/>
        <v>53</v>
      </c>
      <c r="H206" s="116">
        <f t="shared" si="111"/>
        <v>0</v>
      </c>
      <c r="I206" s="117">
        <f t="shared" si="111"/>
        <v>0</v>
      </c>
      <c r="J206" s="117">
        <f t="shared" si="111"/>
        <v>0</v>
      </c>
      <c r="K206" s="117">
        <f t="shared" si="111"/>
        <v>0</v>
      </c>
      <c r="L206" s="116">
        <f t="shared" si="111"/>
        <v>0</v>
      </c>
      <c r="M206" s="116">
        <f t="shared" si="111"/>
        <v>0</v>
      </c>
      <c r="N206" s="118">
        <f t="shared" si="111"/>
        <v>28</v>
      </c>
      <c r="O206" s="119">
        <f t="shared" si="111"/>
        <v>110</v>
      </c>
      <c r="P206" s="119">
        <f t="shared" si="111"/>
        <v>30.25</v>
      </c>
      <c r="Q206" s="119">
        <f t="shared" si="111"/>
        <v>19</v>
      </c>
      <c r="R206" s="120"/>
      <c r="S206" s="120"/>
      <c r="T206" s="121">
        <f>SUM(T199:T205)</f>
        <v>73</v>
      </c>
      <c r="U206" s="122"/>
      <c r="V206" s="123"/>
      <c r="W206" s="123">
        <f t="shared" ref="W206:Z206" si="112">SUM(W199:W205)</f>
        <v>39.2</v>
      </c>
      <c r="X206" s="125">
        <f t="shared" si="112"/>
        <v>138.05</v>
      </c>
      <c r="Y206" s="125">
        <f t="shared" si="112"/>
        <v>66</v>
      </c>
      <c r="Z206" s="126">
        <f t="shared" si="112"/>
        <v>109.8</v>
      </c>
      <c r="AA206" s="127"/>
    </row>
    <row r="207" ht="15.75" customHeight="1">
      <c r="C207" s="128"/>
      <c r="D207" s="129" t="s">
        <v>24</v>
      </c>
      <c r="E207" s="130">
        <f>D206+G206</f>
        <v>161</v>
      </c>
      <c r="F207" s="127"/>
      <c r="G207" s="127"/>
      <c r="H207" s="127"/>
      <c r="J207" s="129" t="s">
        <v>24</v>
      </c>
      <c r="K207" s="130">
        <f>J206+M206</f>
        <v>0</v>
      </c>
      <c r="L207" s="127"/>
      <c r="M207" s="127"/>
      <c r="N207" s="127"/>
      <c r="O207" s="128"/>
      <c r="P207" s="131" t="s">
        <v>24</v>
      </c>
      <c r="Q207" s="127">
        <f>P206+S206</f>
        <v>30.25</v>
      </c>
      <c r="R207" s="127"/>
      <c r="S207" s="127"/>
      <c r="T207" s="127"/>
      <c r="U207" s="127"/>
    </row>
    <row r="208" ht="15.75" customHeight="1">
      <c r="D208" s="132" t="s">
        <v>25</v>
      </c>
      <c r="E208" s="133">
        <f>D206-E206</f>
        <v>66</v>
      </c>
      <c r="F208" s="127"/>
      <c r="G208" s="127"/>
      <c r="H208" s="127"/>
      <c r="J208" s="132" t="s">
        <v>25</v>
      </c>
      <c r="K208" s="133">
        <f>J206-K206</f>
        <v>0</v>
      </c>
      <c r="L208" s="127"/>
      <c r="M208" s="127"/>
      <c r="N208" s="127"/>
      <c r="O208" s="128"/>
      <c r="P208" s="132" t="s">
        <v>25</v>
      </c>
      <c r="Q208" s="133">
        <f>P206-Q206</f>
        <v>11.25</v>
      </c>
      <c r="R208" s="127"/>
      <c r="S208" s="127"/>
      <c r="T208" s="127"/>
      <c r="U208" s="127"/>
    </row>
    <row r="209" ht="15.75" customHeight="1">
      <c r="J209" s="134"/>
      <c r="K209" s="127"/>
      <c r="L209" s="128"/>
      <c r="M209" s="128"/>
      <c r="N209" s="128"/>
      <c r="O209" s="128"/>
      <c r="P209" s="134"/>
      <c r="Q209" s="127"/>
    </row>
    <row r="210" ht="15.75" customHeight="1">
      <c r="J210" s="127"/>
    </row>
    <row r="211" ht="15.75" customHeight="1"/>
    <row r="212" ht="15.75" customHeight="1"/>
    <row r="213" ht="15.75" customHeight="1">
      <c r="C213" s="1" t="s">
        <v>0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3"/>
      <c r="R213" s="4"/>
      <c r="S213" s="4"/>
      <c r="T213" s="5" t="s">
        <v>1</v>
      </c>
      <c r="U213" s="6" t="s">
        <v>2</v>
      </c>
      <c r="V213" s="7" t="s">
        <v>3</v>
      </c>
      <c r="W213" s="8"/>
      <c r="X213" s="10" t="s">
        <v>4</v>
      </c>
      <c r="Y213" s="11"/>
      <c r="Z213" s="8"/>
    </row>
    <row r="214" ht="15.75" customHeight="1">
      <c r="A214" s="12"/>
      <c r="B214" s="13" t="s">
        <v>5</v>
      </c>
      <c r="C214" s="14"/>
      <c r="D214" s="14"/>
      <c r="E214" s="14"/>
      <c r="F214" s="15"/>
      <c r="G214" s="16"/>
      <c r="H214" s="289" t="s">
        <v>6</v>
      </c>
      <c r="I214" s="14"/>
      <c r="J214" s="14"/>
      <c r="K214" s="14"/>
      <c r="L214" s="15"/>
      <c r="M214" s="18"/>
      <c r="N214" s="19" t="s">
        <v>7</v>
      </c>
      <c r="O214" s="14"/>
      <c r="P214" s="14"/>
      <c r="Q214" s="14"/>
      <c r="R214" s="15"/>
      <c r="S214" s="20"/>
      <c r="T214" s="21"/>
      <c r="U214" s="22"/>
      <c r="V214" s="23"/>
      <c r="W214" s="24"/>
      <c r="X214" s="23"/>
      <c r="Y214" s="26"/>
      <c r="Z214" s="24"/>
    </row>
    <row r="215" ht="15.75" customHeight="1">
      <c r="A215" s="27" t="s">
        <v>8</v>
      </c>
      <c r="B215" s="28" t="s">
        <v>9</v>
      </c>
      <c r="C215" s="29" t="s">
        <v>10</v>
      </c>
      <c r="D215" s="30" t="s">
        <v>11</v>
      </c>
      <c r="E215" s="30" t="s">
        <v>12</v>
      </c>
      <c r="F215" s="31" t="s">
        <v>13</v>
      </c>
      <c r="G215" s="32" t="s">
        <v>14</v>
      </c>
      <c r="H215" s="33" t="s">
        <v>9</v>
      </c>
      <c r="I215" s="34" t="s">
        <v>10</v>
      </c>
      <c r="J215" s="34" t="s">
        <v>11</v>
      </c>
      <c r="K215" s="34" t="s">
        <v>12</v>
      </c>
      <c r="L215" s="35" t="s">
        <v>13</v>
      </c>
      <c r="M215" s="36" t="s">
        <v>14</v>
      </c>
      <c r="N215" s="37" t="s">
        <v>9</v>
      </c>
      <c r="O215" s="37" t="s">
        <v>10</v>
      </c>
      <c r="P215" s="38" t="s">
        <v>15</v>
      </c>
      <c r="Q215" s="39" t="s">
        <v>12</v>
      </c>
      <c r="R215" s="39" t="s">
        <v>13</v>
      </c>
      <c r="S215" s="40" t="s">
        <v>14</v>
      </c>
      <c r="T215" s="22"/>
      <c r="U215" s="41" t="s">
        <v>16</v>
      </c>
      <c r="V215" s="42" t="s">
        <v>17</v>
      </c>
      <c r="W215" s="43" t="s">
        <v>18</v>
      </c>
      <c r="X215" s="45" t="s">
        <v>20</v>
      </c>
      <c r="Y215" s="46" t="s">
        <v>21</v>
      </c>
      <c r="Z215" s="47" t="s">
        <v>22</v>
      </c>
    </row>
    <row r="216" ht="15.75" customHeight="1">
      <c r="A216" s="48">
        <v>45866.0</v>
      </c>
      <c r="B216" s="49">
        <v>8.0</v>
      </c>
      <c r="C216" s="50">
        <v>41.0</v>
      </c>
      <c r="D216" s="51">
        <f t="shared" ref="D216:D221" si="113">(C216*0.6)</f>
        <v>24.6</v>
      </c>
      <c r="E216" s="52">
        <v>1.0</v>
      </c>
      <c r="F216" s="53"/>
      <c r="G216" s="54"/>
      <c r="H216" s="55"/>
      <c r="I216" s="56"/>
      <c r="J216" s="56">
        <f t="shared" ref="J216:J221" si="114">I216*0.6</f>
        <v>0</v>
      </c>
      <c r="K216" s="56"/>
      <c r="L216" s="57"/>
      <c r="M216" s="58"/>
      <c r="N216" s="59">
        <v>0.0</v>
      </c>
      <c r="O216" s="60">
        <v>0.0</v>
      </c>
      <c r="P216" s="61">
        <f t="shared" ref="P216:P217" si="115">(O216*0.3)</f>
        <v>0</v>
      </c>
      <c r="Q216" s="62"/>
      <c r="R216" s="63"/>
      <c r="S216" s="64"/>
      <c r="T216" s="65">
        <f t="shared" ref="T216:T222" si="116">SUM(B216+F216+H216+L216+N216+R216)</f>
        <v>8</v>
      </c>
      <c r="U216" s="66">
        <v>0.0</v>
      </c>
      <c r="V216" s="67"/>
      <c r="W216" s="68"/>
      <c r="X216" s="70">
        <f t="shared" ref="X216:X222" si="117">(U216)+(C216+I216+O216)+(V216)-(E216+K216+Q216)-(W216)</f>
        <v>40</v>
      </c>
      <c r="Y216" s="71">
        <f t="shared" ref="Y216:Y222" si="118">(D216-E216)+(J216-K216)</f>
        <v>23.6</v>
      </c>
      <c r="Z216" s="66">
        <f t="shared" ref="Z216:Z222" si="119">(((C216+I216)*0.4)+(O216*0.7))-W216</f>
        <v>16.4</v>
      </c>
    </row>
    <row r="217" ht="15.75" customHeight="1">
      <c r="A217" s="48">
        <v>45867.0</v>
      </c>
      <c r="B217" s="72">
        <v>6.0</v>
      </c>
      <c r="C217" s="73">
        <v>30.0</v>
      </c>
      <c r="D217" s="51">
        <f t="shared" si="113"/>
        <v>18</v>
      </c>
      <c r="E217" s="74">
        <v>5.0</v>
      </c>
      <c r="F217" s="75"/>
      <c r="G217" s="76"/>
      <c r="H217" s="77"/>
      <c r="I217" s="78"/>
      <c r="J217" s="56">
        <f t="shared" si="114"/>
        <v>0</v>
      </c>
      <c r="K217" s="78"/>
      <c r="L217" s="79"/>
      <c r="M217" s="80"/>
      <c r="N217" s="81">
        <v>7.0</v>
      </c>
      <c r="O217" s="60">
        <v>38.0</v>
      </c>
      <c r="P217" s="61">
        <f t="shared" si="115"/>
        <v>11.4</v>
      </c>
      <c r="Q217" s="82"/>
      <c r="R217" s="83"/>
      <c r="S217" s="84"/>
      <c r="T217" s="65">
        <f t="shared" si="116"/>
        <v>13</v>
      </c>
      <c r="U217" s="85">
        <v>7.0</v>
      </c>
      <c r="V217" s="86"/>
      <c r="W217" s="87"/>
      <c r="X217" s="89">
        <f t="shared" si="117"/>
        <v>70</v>
      </c>
      <c r="Y217" s="90">
        <f t="shared" si="118"/>
        <v>13</v>
      </c>
      <c r="Z217" s="66">
        <f t="shared" si="119"/>
        <v>38.6</v>
      </c>
    </row>
    <row r="218" ht="15.75" customHeight="1">
      <c r="A218" s="48">
        <v>45868.0</v>
      </c>
      <c r="B218" s="72">
        <v>3.0</v>
      </c>
      <c r="C218" s="73">
        <v>16.0</v>
      </c>
      <c r="D218" s="51">
        <f t="shared" si="113"/>
        <v>9.6</v>
      </c>
      <c r="E218" s="74">
        <v>5.0</v>
      </c>
      <c r="F218" s="75"/>
      <c r="G218" s="76"/>
      <c r="H218" s="77"/>
      <c r="I218" s="78"/>
      <c r="J218" s="56">
        <f t="shared" si="114"/>
        <v>0</v>
      </c>
      <c r="K218" s="78"/>
      <c r="L218" s="91"/>
      <c r="M218" s="92"/>
      <c r="N218" s="81">
        <v>3.0</v>
      </c>
      <c r="O218" s="60">
        <v>15.0</v>
      </c>
      <c r="P218" s="61">
        <f>(O218*0.25)</f>
        <v>3.75</v>
      </c>
      <c r="Q218" s="82"/>
      <c r="R218" s="83"/>
      <c r="S218" s="84"/>
      <c r="T218" s="65">
        <f t="shared" si="116"/>
        <v>6</v>
      </c>
      <c r="U218" s="85">
        <v>7.0</v>
      </c>
      <c r="V218" s="86"/>
      <c r="W218" s="87"/>
      <c r="X218" s="89">
        <f t="shared" si="117"/>
        <v>33</v>
      </c>
      <c r="Y218" s="90">
        <f t="shared" si="118"/>
        <v>4.6</v>
      </c>
      <c r="Z218" s="66">
        <f t="shared" si="119"/>
        <v>16.9</v>
      </c>
    </row>
    <row r="219" ht="15.75" customHeight="1">
      <c r="A219" s="48">
        <v>45869.0</v>
      </c>
      <c r="B219" s="72">
        <v>3.0</v>
      </c>
      <c r="C219" s="73">
        <v>15.0</v>
      </c>
      <c r="D219" s="51">
        <f t="shared" si="113"/>
        <v>9</v>
      </c>
      <c r="E219" s="74">
        <v>36.5</v>
      </c>
      <c r="F219" s="93"/>
      <c r="G219" s="76"/>
      <c r="H219" s="77"/>
      <c r="I219" s="78"/>
      <c r="J219" s="56">
        <f t="shared" si="114"/>
        <v>0</v>
      </c>
      <c r="K219" s="78"/>
      <c r="L219" s="91"/>
      <c r="M219" s="92"/>
      <c r="N219" s="81">
        <v>6.0</v>
      </c>
      <c r="O219" s="60">
        <v>30.0</v>
      </c>
      <c r="P219" s="61">
        <f t="shared" ref="P219:P220" si="120">(O219*0.3)</f>
        <v>9</v>
      </c>
      <c r="Q219" s="82"/>
      <c r="R219" s="83"/>
      <c r="S219" s="84"/>
      <c r="T219" s="65">
        <f t="shared" si="116"/>
        <v>9</v>
      </c>
      <c r="U219" s="85">
        <v>2.5</v>
      </c>
      <c r="V219" s="86"/>
      <c r="W219" s="87"/>
      <c r="X219" s="89">
        <f t="shared" si="117"/>
        <v>11</v>
      </c>
      <c r="Y219" s="90">
        <f t="shared" si="118"/>
        <v>-27.5</v>
      </c>
      <c r="Z219" s="66">
        <f t="shared" si="119"/>
        <v>27</v>
      </c>
    </row>
    <row r="220" ht="15.75" customHeight="1">
      <c r="A220" s="48">
        <v>45870.0</v>
      </c>
      <c r="B220" s="72">
        <v>3.0</v>
      </c>
      <c r="C220" s="94">
        <v>15.0</v>
      </c>
      <c r="D220" s="51">
        <f t="shared" si="113"/>
        <v>9</v>
      </c>
      <c r="E220" s="74">
        <v>32.75</v>
      </c>
      <c r="F220" s="75">
        <v>1.0</v>
      </c>
      <c r="G220" s="76">
        <v>5.0</v>
      </c>
      <c r="H220" s="77"/>
      <c r="I220" s="78"/>
      <c r="J220" s="56">
        <f t="shared" si="114"/>
        <v>0</v>
      </c>
      <c r="K220" s="78"/>
      <c r="L220" s="91"/>
      <c r="M220" s="92"/>
      <c r="N220" s="81">
        <v>6.0</v>
      </c>
      <c r="O220" s="60">
        <v>30.0</v>
      </c>
      <c r="P220" s="61">
        <f t="shared" si="120"/>
        <v>9</v>
      </c>
      <c r="Q220" s="82"/>
      <c r="R220" s="83"/>
      <c r="S220" s="84"/>
      <c r="T220" s="65">
        <f t="shared" si="116"/>
        <v>10</v>
      </c>
      <c r="U220" s="85"/>
      <c r="V220" s="86"/>
      <c r="W220" s="87">
        <v>12.0</v>
      </c>
      <c r="X220" s="89">
        <f t="shared" si="117"/>
        <v>0.25</v>
      </c>
      <c r="Y220" s="90">
        <f t="shared" si="118"/>
        <v>-23.75</v>
      </c>
      <c r="Z220" s="66">
        <f t="shared" si="119"/>
        <v>15</v>
      </c>
    </row>
    <row r="221" ht="15.75" customHeight="1">
      <c r="A221" s="48">
        <v>45871.0</v>
      </c>
      <c r="B221" s="72">
        <v>11.0</v>
      </c>
      <c r="C221" s="94">
        <v>56.0</v>
      </c>
      <c r="D221" s="51">
        <f t="shared" si="113"/>
        <v>33.6</v>
      </c>
      <c r="E221" s="74">
        <v>8.5</v>
      </c>
      <c r="F221" s="75"/>
      <c r="G221" s="76"/>
      <c r="H221" s="77"/>
      <c r="I221" s="78"/>
      <c r="J221" s="56">
        <f t="shared" si="114"/>
        <v>0</v>
      </c>
      <c r="K221" s="78"/>
      <c r="L221" s="91"/>
      <c r="M221" s="92"/>
      <c r="N221" s="81">
        <v>10.0</v>
      </c>
      <c r="O221" s="60">
        <v>50.0</v>
      </c>
      <c r="P221" s="61">
        <f t="shared" ref="P221:P222" si="121">(O221*0.25)</f>
        <v>12.5</v>
      </c>
      <c r="Q221" s="82"/>
      <c r="R221" s="83">
        <v>1.0</v>
      </c>
      <c r="S221" s="84">
        <v>2.0</v>
      </c>
      <c r="T221" s="65">
        <f t="shared" si="116"/>
        <v>22</v>
      </c>
      <c r="U221" s="85"/>
      <c r="V221" s="86"/>
      <c r="W221" s="87"/>
      <c r="X221" s="70">
        <f t="shared" si="117"/>
        <v>97.5</v>
      </c>
      <c r="Y221" s="71">
        <f t="shared" si="118"/>
        <v>25.1</v>
      </c>
      <c r="Z221" s="66">
        <f t="shared" si="119"/>
        <v>57.4</v>
      </c>
    </row>
    <row r="222" ht="15.75" customHeight="1">
      <c r="A222" s="48">
        <v>45872.0</v>
      </c>
      <c r="B222" s="95"/>
      <c r="C222" s="96"/>
      <c r="D222" s="51"/>
      <c r="E222" s="97"/>
      <c r="F222" s="98">
        <v>8.0</v>
      </c>
      <c r="G222" s="99">
        <v>41.0</v>
      </c>
      <c r="H222" s="100"/>
      <c r="I222" s="101"/>
      <c r="J222" s="56"/>
      <c r="K222" s="78"/>
      <c r="L222" s="102"/>
      <c r="M222" s="103"/>
      <c r="N222" s="104">
        <v>9.0</v>
      </c>
      <c r="O222" s="60">
        <v>61.0</v>
      </c>
      <c r="P222" s="61">
        <f t="shared" si="121"/>
        <v>15.25</v>
      </c>
      <c r="Q222" s="105"/>
      <c r="R222" s="106"/>
      <c r="S222" s="107"/>
      <c r="T222" s="65">
        <f t="shared" si="116"/>
        <v>17</v>
      </c>
      <c r="U222" s="108"/>
      <c r="V222" s="109"/>
      <c r="W222" s="110">
        <v>10.0</v>
      </c>
      <c r="X222" s="89">
        <f t="shared" si="117"/>
        <v>51</v>
      </c>
      <c r="Y222" s="71">
        <f t="shared" si="118"/>
        <v>0</v>
      </c>
      <c r="Z222" s="66">
        <f t="shared" si="119"/>
        <v>32.7</v>
      </c>
    </row>
    <row r="223" ht="15.75" customHeight="1">
      <c r="A223" s="112" t="s">
        <v>23</v>
      </c>
      <c r="B223" s="113">
        <f t="shared" ref="B223:Q223" si="122">SUM(B216:B222)</f>
        <v>34</v>
      </c>
      <c r="C223" s="114">
        <f t="shared" si="122"/>
        <v>173</v>
      </c>
      <c r="D223" s="114">
        <f t="shared" si="122"/>
        <v>103.8</v>
      </c>
      <c r="E223" s="114">
        <f t="shared" si="122"/>
        <v>88.75</v>
      </c>
      <c r="F223" s="115">
        <f t="shared" si="122"/>
        <v>9</v>
      </c>
      <c r="G223" s="115">
        <f t="shared" si="122"/>
        <v>46</v>
      </c>
      <c r="H223" s="116">
        <f t="shared" si="122"/>
        <v>0</v>
      </c>
      <c r="I223" s="117">
        <f t="shared" si="122"/>
        <v>0</v>
      </c>
      <c r="J223" s="117">
        <f t="shared" si="122"/>
        <v>0</v>
      </c>
      <c r="K223" s="117">
        <f t="shared" si="122"/>
        <v>0</v>
      </c>
      <c r="L223" s="116">
        <f t="shared" si="122"/>
        <v>0</v>
      </c>
      <c r="M223" s="116">
        <f t="shared" si="122"/>
        <v>0</v>
      </c>
      <c r="N223" s="118">
        <f t="shared" si="122"/>
        <v>41</v>
      </c>
      <c r="O223" s="119">
        <f t="shared" si="122"/>
        <v>224</v>
      </c>
      <c r="P223" s="119">
        <f t="shared" si="122"/>
        <v>60.9</v>
      </c>
      <c r="Q223" s="119">
        <f t="shared" si="122"/>
        <v>0</v>
      </c>
      <c r="R223" s="120"/>
      <c r="S223" s="120"/>
      <c r="T223" s="121">
        <f>SUM(T216:T222)</f>
        <v>85</v>
      </c>
      <c r="U223" s="122"/>
      <c r="V223" s="123"/>
      <c r="W223" s="123">
        <f t="shared" ref="W223:Z223" si="123">SUM(W216:W222)</f>
        <v>22</v>
      </c>
      <c r="X223" s="125">
        <f t="shared" si="123"/>
        <v>302.75</v>
      </c>
      <c r="Y223" s="125">
        <f t="shared" si="123"/>
        <v>15.05</v>
      </c>
      <c r="Z223" s="126">
        <f t="shared" si="123"/>
        <v>204</v>
      </c>
      <c r="AA223" s="127"/>
    </row>
    <row r="224" ht="15.75" customHeight="1">
      <c r="C224" s="128"/>
      <c r="D224" s="129" t="s">
        <v>24</v>
      </c>
      <c r="E224" s="130">
        <f>D223+G223</f>
        <v>149.8</v>
      </c>
      <c r="F224" s="127"/>
      <c r="G224" s="127"/>
      <c r="H224" s="127"/>
      <c r="J224" s="129" t="s">
        <v>24</v>
      </c>
      <c r="K224" s="130">
        <f>J223+M223</f>
        <v>0</v>
      </c>
      <c r="L224" s="127"/>
      <c r="M224" s="127"/>
      <c r="N224" s="127"/>
      <c r="O224" s="128"/>
      <c r="P224" s="131" t="s">
        <v>24</v>
      </c>
      <c r="Q224" s="127">
        <f>P223+S223</f>
        <v>60.9</v>
      </c>
      <c r="R224" s="127"/>
      <c r="S224" s="127"/>
      <c r="T224" s="127"/>
      <c r="U224" s="127"/>
    </row>
    <row r="225" ht="15.75" customHeight="1">
      <c r="D225" s="132" t="s">
        <v>25</v>
      </c>
      <c r="E225" s="133">
        <f>D223-E223</f>
        <v>15.05</v>
      </c>
      <c r="F225" s="127"/>
      <c r="G225" s="127"/>
      <c r="H225" s="127"/>
      <c r="J225" s="132" t="s">
        <v>25</v>
      </c>
      <c r="K225" s="133">
        <f>J223-K223</f>
        <v>0</v>
      </c>
      <c r="L225" s="127"/>
      <c r="M225" s="127"/>
      <c r="N225" s="127"/>
      <c r="O225" s="128"/>
      <c r="P225" s="132" t="s">
        <v>25</v>
      </c>
      <c r="Q225" s="133">
        <f>P223-Q223</f>
        <v>60.9</v>
      </c>
      <c r="R225" s="127"/>
      <c r="S225" s="127"/>
      <c r="T225" s="127"/>
      <c r="U225" s="127"/>
    </row>
    <row r="226" ht="15.75" customHeight="1">
      <c r="J226" s="134"/>
      <c r="K226" s="127"/>
      <c r="L226" s="128"/>
      <c r="M226" s="128"/>
      <c r="N226" s="128"/>
      <c r="O226" s="128"/>
      <c r="P226" s="134"/>
      <c r="Q226" s="127"/>
    </row>
    <row r="227" ht="15.75" customHeight="1">
      <c r="J227" s="127"/>
    </row>
    <row r="228" ht="15.75" customHeight="1"/>
    <row r="229" ht="15.75" customHeight="1"/>
    <row r="230" ht="15.75" customHeight="1">
      <c r="C230" s="1" t="s">
        <v>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3"/>
      <c r="R230" s="4"/>
      <c r="S230" s="4"/>
      <c r="T230" s="5" t="s">
        <v>1</v>
      </c>
      <c r="U230" s="6" t="s">
        <v>2</v>
      </c>
      <c r="V230" s="7" t="s">
        <v>3</v>
      </c>
      <c r="W230" s="8"/>
      <c r="X230" s="9"/>
      <c r="Y230" s="10" t="s">
        <v>4</v>
      </c>
      <c r="Z230" s="11"/>
      <c r="AA230" s="8"/>
    </row>
    <row r="231" ht="15.75" customHeight="1">
      <c r="A231" s="12"/>
      <c r="B231" s="13" t="s">
        <v>5</v>
      </c>
      <c r="C231" s="14"/>
      <c r="D231" s="14"/>
      <c r="E231" s="14"/>
      <c r="F231" s="15"/>
      <c r="G231" s="16"/>
      <c r="H231" s="17" t="s">
        <v>6</v>
      </c>
      <c r="I231" s="14"/>
      <c r="J231" s="14"/>
      <c r="K231" s="14"/>
      <c r="L231" s="15"/>
      <c r="M231" s="18"/>
      <c r="N231" s="19" t="s">
        <v>7</v>
      </c>
      <c r="O231" s="14"/>
      <c r="P231" s="14"/>
      <c r="Q231" s="14"/>
      <c r="R231" s="15"/>
      <c r="S231" s="20"/>
      <c r="T231" s="21"/>
      <c r="U231" s="22"/>
      <c r="V231" s="23"/>
      <c r="W231" s="24"/>
      <c r="X231" s="25"/>
      <c r="Y231" s="23"/>
      <c r="Z231" s="26"/>
      <c r="AA231" s="24"/>
    </row>
    <row r="232" ht="15.75" customHeight="1">
      <c r="A232" s="27" t="s">
        <v>8</v>
      </c>
      <c r="B232" s="28" t="s">
        <v>9</v>
      </c>
      <c r="C232" s="29" t="s">
        <v>10</v>
      </c>
      <c r="D232" s="30" t="s">
        <v>11</v>
      </c>
      <c r="E232" s="30" t="s">
        <v>12</v>
      </c>
      <c r="F232" s="31" t="s">
        <v>13</v>
      </c>
      <c r="G232" s="32" t="s">
        <v>14</v>
      </c>
      <c r="H232" s="33" t="s">
        <v>9</v>
      </c>
      <c r="I232" s="34" t="s">
        <v>10</v>
      </c>
      <c r="J232" s="34" t="s">
        <v>11</v>
      </c>
      <c r="K232" s="34" t="s">
        <v>12</v>
      </c>
      <c r="L232" s="35" t="s">
        <v>13</v>
      </c>
      <c r="M232" s="36" t="s">
        <v>14</v>
      </c>
      <c r="N232" s="37" t="s">
        <v>9</v>
      </c>
      <c r="O232" s="37" t="s">
        <v>10</v>
      </c>
      <c r="P232" s="38" t="s">
        <v>15</v>
      </c>
      <c r="Q232" s="39" t="s">
        <v>12</v>
      </c>
      <c r="R232" s="39" t="s">
        <v>13</v>
      </c>
      <c r="S232" s="40" t="s">
        <v>14</v>
      </c>
      <c r="T232" s="22"/>
      <c r="U232" s="41" t="s">
        <v>16</v>
      </c>
      <c r="V232" s="42" t="s">
        <v>17</v>
      </c>
      <c r="W232" s="43" t="s">
        <v>18</v>
      </c>
      <c r="X232" s="44" t="s">
        <v>19</v>
      </c>
      <c r="Y232" s="45" t="s">
        <v>20</v>
      </c>
      <c r="Z232" s="46" t="s">
        <v>21</v>
      </c>
      <c r="AA232" s="47" t="s">
        <v>22</v>
      </c>
    </row>
    <row r="233" ht="15.75" customHeight="1">
      <c r="A233" s="48">
        <v>45873.0</v>
      </c>
      <c r="B233" s="49">
        <v>3.0</v>
      </c>
      <c r="C233" s="50">
        <v>15.0</v>
      </c>
      <c r="D233" s="51">
        <f t="shared" ref="D233:D238" si="124">(C233*0.6)</f>
        <v>9</v>
      </c>
      <c r="E233" s="52"/>
      <c r="F233" s="53"/>
      <c r="G233" s="54"/>
      <c r="H233" s="55"/>
      <c r="I233" s="56"/>
      <c r="J233" s="56">
        <f t="shared" ref="J233:J238" si="125">I233*0.6</f>
        <v>0</v>
      </c>
      <c r="K233" s="56"/>
      <c r="L233" s="57"/>
      <c r="M233" s="58"/>
      <c r="N233" s="59">
        <v>5.0</v>
      </c>
      <c r="O233" s="60">
        <v>25.0</v>
      </c>
      <c r="P233" s="61">
        <f t="shared" ref="P233:P239" si="126">(O233*0.3)</f>
        <v>7.5</v>
      </c>
      <c r="Q233" s="62"/>
      <c r="R233" s="63"/>
      <c r="S233" s="64"/>
      <c r="T233" s="65">
        <f t="shared" ref="T233:T239" si="127">SUM(B233+F233+H233+L233+N233+R233)</f>
        <v>8</v>
      </c>
      <c r="U233" s="66">
        <v>0.0</v>
      </c>
      <c r="V233" s="67"/>
      <c r="W233" s="68"/>
      <c r="X233" s="69"/>
      <c r="Y233" s="70" t="str">
        <f>(U233)+(C233+I233+O233)+(V233)-(E233+K233+Q233)-(W233)-Y233</f>
        <v>#REF!</v>
      </c>
      <c r="Z233" s="71">
        <f t="shared" ref="Z233:Z239" si="128">(D233-E233)+(J233-K233)</f>
        <v>9</v>
      </c>
      <c r="AA233" s="66">
        <f t="shared" ref="AA233:AA239" si="129">((C233*0.4)+(O233*0.7))-W233</f>
        <v>23.5</v>
      </c>
    </row>
    <row r="234" ht="15.75" customHeight="1">
      <c r="A234" s="48">
        <v>45874.0</v>
      </c>
      <c r="B234" s="72">
        <v>5.0</v>
      </c>
      <c r="C234" s="73">
        <v>26.0</v>
      </c>
      <c r="D234" s="51">
        <f t="shared" si="124"/>
        <v>15.6</v>
      </c>
      <c r="E234" s="74">
        <v>9.0</v>
      </c>
      <c r="F234" s="75">
        <v>1.0</v>
      </c>
      <c r="G234" s="76">
        <v>6.0</v>
      </c>
      <c r="H234" s="77"/>
      <c r="I234" s="78"/>
      <c r="J234" s="56">
        <f t="shared" si="125"/>
        <v>0</v>
      </c>
      <c r="K234" s="78"/>
      <c r="L234" s="79"/>
      <c r="M234" s="80"/>
      <c r="N234" s="81">
        <v>6.0</v>
      </c>
      <c r="O234" s="60">
        <v>30.0</v>
      </c>
      <c r="P234" s="61">
        <f t="shared" si="126"/>
        <v>9</v>
      </c>
      <c r="Q234" s="82"/>
      <c r="R234" s="83"/>
      <c r="S234" s="84"/>
      <c r="T234" s="65">
        <f t="shared" si="127"/>
        <v>12</v>
      </c>
      <c r="U234" s="85"/>
      <c r="V234" s="86"/>
      <c r="W234" s="87">
        <v>15.0</v>
      </c>
      <c r="X234" s="88">
        <v>12.0</v>
      </c>
      <c r="Y234" s="89">
        <f t="shared" ref="Y234:Y239" si="130">(U234)+(C234+I234+O234)+(V234)-(E234+K234+Q234)-(W234)-X234</f>
        <v>20</v>
      </c>
      <c r="Z234" s="90">
        <f t="shared" si="128"/>
        <v>6.6</v>
      </c>
      <c r="AA234" s="66">
        <f t="shared" si="129"/>
        <v>16.4</v>
      </c>
    </row>
    <row r="235" ht="15.75" customHeight="1">
      <c r="A235" s="48">
        <v>45875.0</v>
      </c>
      <c r="B235" s="72">
        <v>5.0</v>
      </c>
      <c r="C235" s="73">
        <v>25.0</v>
      </c>
      <c r="D235" s="51">
        <f t="shared" si="124"/>
        <v>15</v>
      </c>
      <c r="E235" s="74"/>
      <c r="F235" s="75">
        <v>1.0</v>
      </c>
      <c r="G235" s="76">
        <v>5.0</v>
      </c>
      <c r="H235" s="77"/>
      <c r="I235" s="78"/>
      <c r="J235" s="56">
        <f t="shared" si="125"/>
        <v>0</v>
      </c>
      <c r="K235" s="78"/>
      <c r="L235" s="91"/>
      <c r="M235" s="92"/>
      <c r="N235" s="81">
        <v>4.0</v>
      </c>
      <c r="O235" s="60">
        <v>26.0</v>
      </c>
      <c r="P235" s="61">
        <f t="shared" si="126"/>
        <v>7.8</v>
      </c>
      <c r="Q235" s="82"/>
      <c r="R235" s="83"/>
      <c r="S235" s="84"/>
      <c r="T235" s="65">
        <f t="shared" si="127"/>
        <v>10</v>
      </c>
      <c r="U235" s="85">
        <v>10.0</v>
      </c>
      <c r="V235" s="86"/>
      <c r="W235" s="87">
        <f>13</f>
        <v>13</v>
      </c>
      <c r="X235" s="88"/>
      <c r="Y235" s="89">
        <f t="shared" si="130"/>
        <v>48</v>
      </c>
      <c r="Z235" s="90">
        <f t="shared" si="128"/>
        <v>15</v>
      </c>
      <c r="AA235" s="66">
        <f t="shared" si="129"/>
        <v>15.2</v>
      </c>
    </row>
    <row r="236" ht="15.75" customHeight="1">
      <c r="A236" s="48">
        <v>45876.0</v>
      </c>
      <c r="B236" s="72">
        <v>3.0</v>
      </c>
      <c r="C236" s="73">
        <v>15.0</v>
      </c>
      <c r="D236" s="51">
        <f t="shared" si="124"/>
        <v>9</v>
      </c>
      <c r="E236" s="74">
        <v>11.0</v>
      </c>
      <c r="F236" s="93"/>
      <c r="G236" s="76"/>
      <c r="H236" s="77"/>
      <c r="I236" s="78"/>
      <c r="J236" s="56">
        <f t="shared" si="125"/>
        <v>0</v>
      </c>
      <c r="K236" s="78"/>
      <c r="L236" s="91"/>
      <c r="M236" s="92"/>
      <c r="N236" s="81">
        <v>4.0</v>
      </c>
      <c r="O236" s="60">
        <f>15+17</f>
        <v>32</v>
      </c>
      <c r="P236" s="61">
        <f t="shared" si="126"/>
        <v>9.6</v>
      </c>
      <c r="Q236" s="82"/>
      <c r="R236" s="83"/>
      <c r="S236" s="84"/>
      <c r="T236" s="65">
        <f t="shared" si="127"/>
        <v>7</v>
      </c>
      <c r="U236" s="85"/>
      <c r="V236" s="86"/>
      <c r="W236" s="87">
        <v>30.0</v>
      </c>
      <c r="X236" s="88"/>
      <c r="Y236" s="89">
        <f t="shared" si="130"/>
        <v>6</v>
      </c>
      <c r="Z236" s="90">
        <f t="shared" si="128"/>
        <v>-2</v>
      </c>
      <c r="AA236" s="66">
        <f t="shared" si="129"/>
        <v>-1.6</v>
      </c>
    </row>
    <row r="237" ht="15.75" customHeight="1">
      <c r="A237" s="48">
        <v>45877.0</v>
      </c>
      <c r="B237" s="72">
        <v>4.0</v>
      </c>
      <c r="C237" s="94">
        <v>22.0</v>
      </c>
      <c r="D237" s="51">
        <f t="shared" si="124"/>
        <v>13.2</v>
      </c>
      <c r="E237" s="74">
        <v>5.0</v>
      </c>
      <c r="F237" s="75"/>
      <c r="G237" s="76"/>
      <c r="H237" s="77"/>
      <c r="I237" s="78"/>
      <c r="J237" s="56">
        <f t="shared" si="125"/>
        <v>0</v>
      </c>
      <c r="K237" s="78"/>
      <c r="L237" s="91"/>
      <c r="M237" s="92"/>
      <c r="N237" s="81">
        <v>6.0</v>
      </c>
      <c r="O237" s="60">
        <f>(5+5+5+5+5+5+5)</f>
        <v>35</v>
      </c>
      <c r="P237" s="61">
        <f t="shared" si="126"/>
        <v>10.5</v>
      </c>
      <c r="Q237" s="82"/>
      <c r="R237" s="83"/>
      <c r="S237" s="84"/>
      <c r="T237" s="65">
        <f t="shared" si="127"/>
        <v>10</v>
      </c>
      <c r="U237" s="85"/>
      <c r="V237" s="86"/>
      <c r="W237" s="87">
        <v>15.0</v>
      </c>
      <c r="X237" s="88"/>
      <c r="Y237" s="89">
        <f t="shared" si="130"/>
        <v>37</v>
      </c>
      <c r="Z237" s="90">
        <f t="shared" si="128"/>
        <v>8.2</v>
      </c>
      <c r="AA237" s="66">
        <f t="shared" si="129"/>
        <v>18.3</v>
      </c>
    </row>
    <row r="238" ht="15.75" customHeight="1">
      <c r="A238" s="48">
        <v>45878.0</v>
      </c>
      <c r="B238" s="72">
        <v>6.0</v>
      </c>
      <c r="C238" s="94">
        <v>31.0</v>
      </c>
      <c r="D238" s="51">
        <f t="shared" si="124"/>
        <v>18.6</v>
      </c>
      <c r="E238" s="74">
        <v>12.0</v>
      </c>
      <c r="F238" s="75"/>
      <c r="G238" s="76"/>
      <c r="H238" s="77"/>
      <c r="I238" s="78"/>
      <c r="J238" s="56">
        <f t="shared" si="125"/>
        <v>0</v>
      </c>
      <c r="K238" s="78"/>
      <c r="L238" s="91"/>
      <c r="M238" s="92"/>
      <c r="N238" s="81">
        <v>5.0</v>
      </c>
      <c r="O238" s="60">
        <v>25.0</v>
      </c>
      <c r="P238" s="61">
        <f t="shared" si="126"/>
        <v>7.5</v>
      </c>
      <c r="Q238" s="82"/>
      <c r="R238" s="83"/>
      <c r="S238" s="84"/>
      <c r="T238" s="65">
        <f t="shared" si="127"/>
        <v>11</v>
      </c>
      <c r="U238" s="85"/>
      <c r="V238" s="86"/>
      <c r="W238" s="87"/>
      <c r="X238" s="69"/>
      <c r="Y238" s="89">
        <f t="shared" si="130"/>
        <v>44</v>
      </c>
      <c r="Z238" s="71">
        <f t="shared" si="128"/>
        <v>6.6</v>
      </c>
      <c r="AA238" s="66">
        <f t="shared" si="129"/>
        <v>29.9</v>
      </c>
    </row>
    <row r="239" ht="15.75" customHeight="1">
      <c r="A239" s="48">
        <v>45879.0</v>
      </c>
      <c r="B239" s="95"/>
      <c r="C239" s="96"/>
      <c r="D239" s="51"/>
      <c r="E239" s="97">
        <v>5.0</v>
      </c>
      <c r="F239" s="98">
        <v>4.0</v>
      </c>
      <c r="G239" s="99">
        <v>20.0</v>
      </c>
      <c r="H239" s="100"/>
      <c r="I239" s="101"/>
      <c r="J239" s="56"/>
      <c r="K239" s="78"/>
      <c r="L239" s="102"/>
      <c r="M239" s="103"/>
      <c r="N239" s="104">
        <v>9.0</v>
      </c>
      <c r="O239" s="60">
        <v>62.0</v>
      </c>
      <c r="P239" s="61">
        <f t="shared" si="126"/>
        <v>18.6</v>
      </c>
      <c r="Q239" s="105"/>
      <c r="R239" s="106"/>
      <c r="S239" s="107"/>
      <c r="T239" s="65">
        <f t="shared" si="127"/>
        <v>13</v>
      </c>
      <c r="U239" s="108"/>
      <c r="V239" s="109"/>
      <c r="W239" s="110"/>
      <c r="X239" s="111"/>
      <c r="Y239" s="89">
        <f t="shared" si="130"/>
        <v>57</v>
      </c>
      <c r="Z239" s="71">
        <f t="shared" si="128"/>
        <v>-5</v>
      </c>
      <c r="AA239" s="66">
        <f t="shared" si="129"/>
        <v>43.4</v>
      </c>
    </row>
    <row r="240" ht="15.75" customHeight="1">
      <c r="A240" s="112" t="s">
        <v>23</v>
      </c>
      <c r="B240" s="113">
        <f t="shared" ref="B240:Q240" si="131">SUM(B233:B239)</f>
        <v>26</v>
      </c>
      <c r="C240" s="114">
        <f t="shared" si="131"/>
        <v>134</v>
      </c>
      <c r="D240" s="114">
        <f t="shared" si="131"/>
        <v>80.4</v>
      </c>
      <c r="E240" s="114">
        <f t="shared" si="131"/>
        <v>42</v>
      </c>
      <c r="F240" s="115">
        <f t="shared" si="131"/>
        <v>6</v>
      </c>
      <c r="G240" s="115">
        <f t="shared" si="131"/>
        <v>31</v>
      </c>
      <c r="H240" s="116">
        <f t="shared" si="131"/>
        <v>0</v>
      </c>
      <c r="I240" s="117">
        <f t="shared" si="131"/>
        <v>0</v>
      </c>
      <c r="J240" s="117">
        <f t="shared" si="131"/>
        <v>0</v>
      </c>
      <c r="K240" s="117">
        <f t="shared" si="131"/>
        <v>0</v>
      </c>
      <c r="L240" s="116">
        <f t="shared" si="131"/>
        <v>0</v>
      </c>
      <c r="M240" s="116">
        <f t="shared" si="131"/>
        <v>0</v>
      </c>
      <c r="N240" s="118">
        <f t="shared" si="131"/>
        <v>39</v>
      </c>
      <c r="O240" s="119">
        <f t="shared" si="131"/>
        <v>235</v>
      </c>
      <c r="P240" s="119">
        <f t="shared" si="131"/>
        <v>70.5</v>
      </c>
      <c r="Q240" s="119">
        <f t="shared" si="131"/>
        <v>0</v>
      </c>
      <c r="R240" s="120"/>
      <c r="S240" s="120"/>
      <c r="T240" s="121">
        <f>SUM(T233:T239)</f>
        <v>71</v>
      </c>
      <c r="U240" s="122"/>
      <c r="V240" s="123"/>
      <c r="W240" s="123">
        <f>SUM(W233:W239)</f>
        <v>73</v>
      </c>
      <c r="X240" s="124"/>
      <c r="Y240" s="125" t="str">
        <f t="shared" ref="Y240:AA240" si="132">SUM(Y233:Y239)</f>
        <v>#REF!</v>
      </c>
      <c r="Z240" s="125">
        <f t="shared" si="132"/>
        <v>38.4</v>
      </c>
      <c r="AA240" s="126">
        <f t="shared" si="132"/>
        <v>145.1</v>
      </c>
      <c r="AB240" s="127"/>
    </row>
    <row r="241" ht="15.75" customHeight="1">
      <c r="C241" s="128"/>
      <c r="D241" s="129" t="s">
        <v>24</v>
      </c>
      <c r="E241" s="130">
        <f>D240+G240</f>
        <v>111.4</v>
      </c>
      <c r="F241" s="127"/>
      <c r="G241" s="127"/>
      <c r="H241" s="127"/>
      <c r="J241" s="129" t="s">
        <v>24</v>
      </c>
      <c r="K241" s="130">
        <f>J240+M240</f>
        <v>0</v>
      </c>
      <c r="L241" s="127"/>
      <c r="M241" s="127"/>
      <c r="N241" s="127"/>
      <c r="O241" s="128"/>
      <c r="P241" s="131" t="s">
        <v>24</v>
      </c>
      <c r="Q241" s="127">
        <f>P240+S240</f>
        <v>70.5</v>
      </c>
      <c r="R241" s="127"/>
      <c r="S241" s="127"/>
      <c r="T241" s="127"/>
      <c r="U241" s="127"/>
    </row>
    <row r="242" ht="15.75" customHeight="1">
      <c r="D242" s="132" t="s">
        <v>25</v>
      </c>
      <c r="E242" s="133">
        <f>D240-E240</f>
        <v>38.4</v>
      </c>
      <c r="F242" s="127"/>
      <c r="G242" s="127"/>
      <c r="H242" s="127"/>
      <c r="J242" s="132" t="s">
        <v>25</v>
      </c>
      <c r="K242" s="133">
        <f>J240-K240</f>
        <v>0</v>
      </c>
      <c r="L242" s="127"/>
      <c r="M242" s="127"/>
      <c r="N242" s="127" t="s">
        <v>26</v>
      </c>
      <c r="O242" s="128"/>
      <c r="P242" s="132" t="s">
        <v>25</v>
      </c>
      <c r="Q242" s="133">
        <f>P240-Q240</f>
        <v>70.5</v>
      </c>
      <c r="R242" s="127"/>
      <c r="S242" s="127"/>
      <c r="T242" s="127"/>
      <c r="U242" s="127"/>
    </row>
    <row r="243" ht="15.75" customHeight="1">
      <c r="J243" s="134"/>
      <c r="K243" s="127"/>
      <c r="L243" s="128"/>
      <c r="M243" s="128"/>
      <c r="N243" s="128"/>
      <c r="O243" s="128"/>
      <c r="P243" s="134"/>
      <c r="Q243" s="127"/>
      <c r="Z243" s="131" t="s">
        <v>26</v>
      </c>
    </row>
    <row r="244" ht="15.75" customHeight="1">
      <c r="F244" s="127"/>
      <c r="J244" s="127"/>
      <c r="V244" s="131" t="s">
        <v>26</v>
      </c>
    </row>
    <row r="245" ht="15.75" customHeight="1"/>
    <row r="246" ht="15.75" customHeight="1"/>
    <row r="247" ht="15.75" customHeight="1">
      <c r="C247" s="1" t="s">
        <v>0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3"/>
      <c r="R247" s="4"/>
      <c r="S247" s="4"/>
      <c r="T247" s="5" t="s">
        <v>1</v>
      </c>
      <c r="U247" s="6" t="s">
        <v>2</v>
      </c>
      <c r="V247" s="7" t="s">
        <v>3</v>
      </c>
      <c r="W247" s="8"/>
      <c r="X247" s="9"/>
      <c r="Y247" s="10" t="s">
        <v>4</v>
      </c>
      <c r="Z247" s="11"/>
      <c r="AA247" s="8"/>
    </row>
    <row r="248" ht="15.75" customHeight="1">
      <c r="A248" s="12"/>
      <c r="B248" s="13" t="s">
        <v>5</v>
      </c>
      <c r="C248" s="14"/>
      <c r="D248" s="14"/>
      <c r="E248" s="14"/>
      <c r="F248" s="15"/>
      <c r="G248" s="16"/>
      <c r="H248" s="17" t="s">
        <v>6</v>
      </c>
      <c r="I248" s="14"/>
      <c r="J248" s="14"/>
      <c r="K248" s="14"/>
      <c r="L248" s="15"/>
      <c r="M248" s="18"/>
      <c r="N248" s="19" t="s">
        <v>7</v>
      </c>
      <c r="O248" s="14"/>
      <c r="P248" s="14"/>
      <c r="Q248" s="14"/>
      <c r="R248" s="15"/>
      <c r="S248" s="20"/>
      <c r="T248" s="21"/>
      <c r="U248" s="22"/>
      <c r="V248" s="23"/>
      <c r="W248" s="24"/>
      <c r="X248" s="25"/>
      <c r="Y248" s="23"/>
      <c r="Z248" s="26"/>
      <c r="AA248" s="24"/>
    </row>
    <row r="249" ht="15.75" customHeight="1">
      <c r="A249" s="27" t="s">
        <v>8</v>
      </c>
      <c r="B249" s="28" t="s">
        <v>9</v>
      </c>
      <c r="C249" s="29" t="s">
        <v>10</v>
      </c>
      <c r="D249" s="30" t="s">
        <v>11</v>
      </c>
      <c r="E249" s="30" t="s">
        <v>12</v>
      </c>
      <c r="F249" s="31" t="s">
        <v>13</v>
      </c>
      <c r="G249" s="32" t="s">
        <v>14</v>
      </c>
      <c r="H249" s="33" t="s">
        <v>9</v>
      </c>
      <c r="I249" s="34" t="s">
        <v>10</v>
      </c>
      <c r="J249" s="34" t="s">
        <v>11</v>
      </c>
      <c r="K249" s="34" t="s">
        <v>12</v>
      </c>
      <c r="L249" s="35" t="s">
        <v>13</v>
      </c>
      <c r="M249" s="36" t="s">
        <v>14</v>
      </c>
      <c r="N249" s="37" t="s">
        <v>9</v>
      </c>
      <c r="O249" s="37" t="s">
        <v>10</v>
      </c>
      <c r="P249" s="38" t="s">
        <v>15</v>
      </c>
      <c r="Q249" s="39" t="s">
        <v>12</v>
      </c>
      <c r="R249" s="39" t="s">
        <v>13</v>
      </c>
      <c r="S249" s="40" t="s">
        <v>14</v>
      </c>
      <c r="T249" s="22"/>
      <c r="U249" s="41" t="s">
        <v>16</v>
      </c>
      <c r="V249" s="42" t="s">
        <v>17</v>
      </c>
      <c r="W249" s="43" t="s">
        <v>18</v>
      </c>
      <c r="X249" s="44" t="s">
        <v>19</v>
      </c>
      <c r="Y249" s="45" t="s">
        <v>20</v>
      </c>
      <c r="Z249" s="46" t="s">
        <v>21</v>
      </c>
      <c r="AA249" s="47" t="s">
        <v>22</v>
      </c>
    </row>
    <row r="250" ht="15.75" customHeight="1">
      <c r="A250" s="48">
        <v>45880.0</v>
      </c>
      <c r="B250" s="49">
        <v>8.0</v>
      </c>
      <c r="C250" s="50">
        <v>41.0</v>
      </c>
      <c r="D250" s="51">
        <f t="shared" ref="D250:D255" si="133">(C250*0.6)</f>
        <v>24.6</v>
      </c>
      <c r="E250" s="52">
        <v>2.0</v>
      </c>
      <c r="F250" s="53">
        <v>1.0</v>
      </c>
      <c r="G250" s="54">
        <v>2.0</v>
      </c>
      <c r="H250" s="55"/>
      <c r="I250" s="56"/>
      <c r="J250" s="56">
        <f t="shared" ref="J250:J255" si="134">I250*0.6</f>
        <v>0</v>
      </c>
      <c r="K250" s="56"/>
      <c r="L250" s="57"/>
      <c r="M250" s="58"/>
      <c r="N250" s="59">
        <v>8.0</v>
      </c>
      <c r="O250" s="60">
        <v>40.0</v>
      </c>
      <c r="P250" s="61">
        <f t="shared" ref="P250:P256" si="135">(O250*0.3)</f>
        <v>12</v>
      </c>
      <c r="Q250" s="62"/>
      <c r="R250" s="63"/>
      <c r="S250" s="64"/>
      <c r="T250" s="65">
        <f t="shared" ref="T250:T256" si="136">SUM(B250+F250+H250+L250+N250+R250)</f>
        <v>17</v>
      </c>
      <c r="U250" s="66">
        <v>0.0</v>
      </c>
      <c r="V250" s="67">
        <v>0.25</v>
      </c>
      <c r="W250" s="68">
        <v>6.05</v>
      </c>
      <c r="X250" s="69"/>
      <c r="Y250" s="70" t="str">
        <f>(U250)+(C250+I250+O250)+(V250)-(E250+K250+Q250)-(W250)-Y250</f>
        <v>#REF!</v>
      </c>
      <c r="Z250" s="71">
        <f t="shared" ref="Z250:Z256" si="137">(D250-E250)+(J250-K250)</f>
        <v>22.6</v>
      </c>
      <c r="AA250" s="66">
        <f t="shared" ref="AA250:AA256" si="138">((C250*0.4)+(O250*0.7))-W250</f>
        <v>38.35</v>
      </c>
    </row>
    <row r="251" ht="15.75" customHeight="1">
      <c r="A251" s="48">
        <v>45881.0</v>
      </c>
      <c r="B251" s="72">
        <v>3.0</v>
      </c>
      <c r="C251" s="73">
        <v>15.0</v>
      </c>
      <c r="D251" s="51">
        <f t="shared" si="133"/>
        <v>9</v>
      </c>
      <c r="E251" s="74">
        <f>1.5+2.75</f>
        <v>4.25</v>
      </c>
      <c r="F251" s="75"/>
      <c r="G251" s="76"/>
      <c r="H251" s="77"/>
      <c r="I251" s="78"/>
      <c r="J251" s="56">
        <f t="shared" si="134"/>
        <v>0</v>
      </c>
      <c r="K251" s="78"/>
      <c r="L251" s="79"/>
      <c r="M251" s="80"/>
      <c r="N251" s="81">
        <v>2.0</v>
      </c>
      <c r="O251" s="60">
        <v>10.0</v>
      </c>
      <c r="P251" s="61">
        <f t="shared" si="135"/>
        <v>3</v>
      </c>
      <c r="Q251" s="82">
        <v>1.0</v>
      </c>
      <c r="R251" s="83"/>
      <c r="S251" s="84"/>
      <c r="T251" s="65">
        <f t="shared" si="136"/>
        <v>5</v>
      </c>
      <c r="U251" s="85"/>
      <c r="V251" s="86"/>
      <c r="W251" s="87"/>
      <c r="X251" s="88"/>
      <c r="Y251" s="89"/>
      <c r="Z251" s="90">
        <f t="shared" si="137"/>
        <v>4.75</v>
      </c>
      <c r="AA251" s="66">
        <f t="shared" si="138"/>
        <v>13</v>
      </c>
    </row>
    <row r="252" ht="15.75" customHeight="1">
      <c r="A252" s="48">
        <v>45882.0</v>
      </c>
      <c r="B252" s="72">
        <v>6.0</v>
      </c>
      <c r="C252" s="73">
        <v>30.0</v>
      </c>
      <c r="D252" s="51">
        <f t="shared" si="133"/>
        <v>18</v>
      </c>
      <c r="E252" s="74">
        <v>5.0</v>
      </c>
      <c r="F252" s="75"/>
      <c r="G252" s="76"/>
      <c r="H252" s="77"/>
      <c r="I252" s="78"/>
      <c r="J252" s="56">
        <f t="shared" si="134"/>
        <v>0</v>
      </c>
      <c r="K252" s="78"/>
      <c r="L252" s="91"/>
      <c r="M252" s="92"/>
      <c r="N252" s="81">
        <v>5.0</v>
      </c>
      <c r="O252" s="60">
        <v>25.0</v>
      </c>
      <c r="P252" s="61">
        <f t="shared" si="135"/>
        <v>7.5</v>
      </c>
      <c r="Q252" s="82"/>
      <c r="R252" s="83"/>
      <c r="S252" s="84"/>
      <c r="T252" s="65">
        <f t="shared" si="136"/>
        <v>11</v>
      </c>
      <c r="U252" s="85"/>
      <c r="V252" s="86"/>
      <c r="W252" s="87"/>
      <c r="X252" s="88"/>
      <c r="Y252" s="89">
        <f t="shared" ref="Y252:Y256" si="139">(U252)+(C252+I252+O252)+(V252)-(E252+K252+Q252)-(W252)-X252</f>
        <v>50</v>
      </c>
      <c r="Z252" s="90">
        <f t="shared" si="137"/>
        <v>13</v>
      </c>
      <c r="AA252" s="66">
        <f t="shared" si="138"/>
        <v>29.5</v>
      </c>
    </row>
    <row r="253" ht="15.75" customHeight="1">
      <c r="A253" s="48">
        <v>45883.0</v>
      </c>
      <c r="B253" s="72">
        <v>6.0</v>
      </c>
      <c r="C253" s="73">
        <v>31.0</v>
      </c>
      <c r="D253" s="51">
        <f t="shared" si="133"/>
        <v>18.6</v>
      </c>
      <c r="E253" s="74">
        <v>3.0</v>
      </c>
      <c r="F253" s="93"/>
      <c r="G253" s="76"/>
      <c r="H253" s="77"/>
      <c r="I253" s="78"/>
      <c r="J253" s="56">
        <f t="shared" si="134"/>
        <v>0</v>
      </c>
      <c r="K253" s="78"/>
      <c r="L253" s="91"/>
      <c r="M253" s="92"/>
      <c r="N253" s="81">
        <v>5.0</v>
      </c>
      <c r="O253" s="60">
        <v>25.0</v>
      </c>
      <c r="P253" s="61">
        <f t="shared" si="135"/>
        <v>7.5</v>
      </c>
      <c r="Q253" s="82"/>
      <c r="R253" s="83"/>
      <c r="S253" s="84"/>
      <c r="T253" s="65">
        <f t="shared" si="136"/>
        <v>11</v>
      </c>
      <c r="U253" s="85"/>
      <c r="V253" s="86"/>
      <c r="W253" s="87">
        <v>11.0</v>
      </c>
      <c r="X253" s="88"/>
      <c r="Y253" s="89">
        <f t="shared" si="139"/>
        <v>42</v>
      </c>
      <c r="Z253" s="90">
        <f t="shared" si="137"/>
        <v>15.6</v>
      </c>
      <c r="AA253" s="66">
        <f t="shared" si="138"/>
        <v>18.9</v>
      </c>
    </row>
    <row r="254" ht="15.75" customHeight="1">
      <c r="A254" s="48">
        <v>45884.0</v>
      </c>
      <c r="B254" s="72">
        <v>7.0</v>
      </c>
      <c r="C254" s="94">
        <v>36.0</v>
      </c>
      <c r="D254" s="51">
        <f t="shared" si="133"/>
        <v>21.6</v>
      </c>
      <c r="E254" s="74">
        <v>2.0</v>
      </c>
      <c r="F254" s="75"/>
      <c r="G254" s="76"/>
      <c r="H254" s="77"/>
      <c r="I254" s="78"/>
      <c r="J254" s="56">
        <f t="shared" si="134"/>
        <v>0</v>
      </c>
      <c r="K254" s="78"/>
      <c r="L254" s="91"/>
      <c r="M254" s="92"/>
      <c r="N254" s="81">
        <v>6.0</v>
      </c>
      <c r="O254" s="60">
        <v>31.0</v>
      </c>
      <c r="P254" s="61">
        <f t="shared" si="135"/>
        <v>9.3</v>
      </c>
      <c r="Q254" s="82"/>
      <c r="R254" s="83"/>
      <c r="S254" s="84"/>
      <c r="T254" s="65">
        <f t="shared" si="136"/>
        <v>13</v>
      </c>
      <c r="U254" s="85"/>
      <c r="V254" s="86"/>
      <c r="W254" s="87"/>
      <c r="X254" s="88"/>
      <c r="Y254" s="89">
        <f t="shared" si="139"/>
        <v>65</v>
      </c>
      <c r="Z254" s="90">
        <f t="shared" si="137"/>
        <v>19.6</v>
      </c>
      <c r="AA254" s="66">
        <f t="shared" si="138"/>
        <v>36.1</v>
      </c>
    </row>
    <row r="255" ht="15.75" customHeight="1">
      <c r="A255" s="48">
        <v>45885.0</v>
      </c>
      <c r="B255" s="72">
        <v>16.0</v>
      </c>
      <c r="C255" s="94">
        <f>(16*5)+2</f>
        <v>82</v>
      </c>
      <c r="D255" s="51">
        <f t="shared" si="133"/>
        <v>49.2</v>
      </c>
      <c r="E255" s="74"/>
      <c r="F255" s="75"/>
      <c r="G255" s="76"/>
      <c r="H255" s="77"/>
      <c r="I255" s="78"/>
      <c r="J255" s="56">
        <f t="shared" si="134"/>
        <v>0</v>
      </c>
      <c r="K255" s="78"/>
      <c r="L255" s="91"/>
      <c r="M255" s="92"/>
      <c r="N255" s="81">
        <v>18.0</v>
      </c>
      <c r="O255" s="60">
        <v>90.0</v>
      </c>
      <c r="P255" s="61">
        <f t="shared" si="135"/>
        <v>27</v>
      </c>
      <c r="Q255" s="82"/>
      <c r="R255" s="83"/>
      <c r="S255" s="84"/>
      <c r="T255" s="65">
        <f t="shared" si="136"/>
        <v>34</v>
      </c>
      <c r="U255" s="85"/>
      <c r="V255" s="86"/>
      <c r="W255" s="87"/>
      <c r="X255" s="69"/>
      <c r="Y255" s="89">
        <f t="shared" si="139"/>
        <v>172</v>
      </c>
      <c r="Z255" s="71">
        <f t="shared" si="137"/>
        <v>49.2</v>
      </c>
      <c r="AA255" s="66">
        <f t="shared" si="138"/>
        <v>95.8</v>
      </c>
    </row>
    <row r="256" ht="15.75" customHeight="1">
      <c r="A256" s="48">
        <v>45886.0</v>
      </c>
      <c r="B256" s="95"/>
      <c r="C256" s="96"/>
      <c r="D256" s="51"/>
      <c r="E256" s="97"/>
      <c r="F256" s="98">
        <v>3.0</v>
      </c>
      <c r="G256" s="99">
        <v>17.0</v>
      </c>
      <c r="H256" s="100"/>
      <c r="I256" s="101"/>
      <c r="J256" s="56"/>
      <c r="K256" s="78"/>
      <c r="L256" s="102"/>
      <c r="M256" s="103"/>
      <c r="N256" s="104">
        <v>6.0</v>
      </c>
      <c r="O256" s="60">
        <v>40.0</v>
      </c>
      <c r="P256" s="61">
        <f t="shared" si="135"/>
        <v>12</v>
      </c>
      <c r="Q256" s="105"/>
      <c r="R256" s="106"/>
      <c r="S256" s="107"/>
      <c r="T256" s="65">
        <f t="shared" si="136"/>
        <v>9</v>
      </c>
      <c r="U256" s="108"/>
      <c r="V256" s="109"/>
      <c r="W256" s="110"/>
      <c r="X256" s="111"/>
      <c r="Y256" s="89">
        <f t="shared" si="139"/>
        <v>40</v>
      </c>
      <c r="Z256" s="71">
        <f t="shared" si="137"/>
        <v>0</v>
      </c>
      <c r="AA256" s="66">
        <f t="shared" si="138"/>
        <v>28</v>
      </c>
    </row>
    <row r="257" ht="15.75" customHeight="1">
      <c r="A257" s="112" t="s">
        <v>23</v>
      </c>
      <c r="B257" s="113">
        <f t="shared" ref="B257:Q257" si="140">SUM(B250:B256)</f>
        <v>46</v>
      </c>
      <c r="C257" s="114">
        <f t="shared" si="140"/>
        <v>235</v>
      </c>
      <c r="D257" s="114">
        <f t="shared" si="140"/>
        <v>141</v>
      </c>
      <c r="E257" s="114">
        <f t="shared" si="140"/>
        <v>16.25</v>
      </c>
      <c r="F257" s="115">
        <f t="shared" si="140"/>
        <v>4</v>
      </c>
      <c r="G257" s="115">
        <f t="shared" si="140"/>
        <v>19</v>
      </c>
      <c r="H257" s="116">
        <f t="shared" si="140"/>
        <v>0</v>
      </c>
      <c r="I257" s="117">
        <f t="shared" si="140"/>
        <v>0</v>
      </c>
      <c r="J257" s="117">
        <f t="shared" si="140"/>
        <v>0</v>
      </c>
      <c r="K257" s="117">
        <f t="shared" si="140"/>
        <v>0</v>
      </c>
      <c r="L257" s="116">
        <f t="shared" si="140"/>
        <v>0</v>
      </c>
      <c r="M257" s="116">
        <f t="shared" si="140"/>
        <v>0</v>
      </c>
      <c r="N257" s="118">
        <f t="shared" si="140"/>
        <v>50</v>
      </c>
      <c r="O257" s="119">
        <f t="shared" si="140"/>
        <v>261</v>
      </c>
      <c r="P257" s="119">
        <f t="shared" si="140"/>
        <v>78.3</v>
      </c>
      <c r="Q257" s="119">
        <f t="shared" si="140"/>
        <v>1</v>
      </c>
      <c r="R257" s="120"/>
      <c r="S257" s="120"/>
      <c r="T257" s="121">
        <f>SUM(T250:T256)</f>
        <v>100</v>
      </c>
      <c r="U257" s="122"/>
      <c r="V257" s="123"/>
      <c r="W257" s="123">
        <f>SUM(W250:W256)</f>
        <v>17.05</v>
      </c>
      <c r="X257" s="124"/>
      <c r="Y257" s="125" t="str">
        <f t="shared" ref="Y257:AA257" si="141">SUM(Y250:Y256)</f>
        <v>#REF!</v>
      </c>
      <c r="Z257" s="125">
        <f t="shared" si="141"/>
        <v>124.75</v>
      </c>
      <c r="AA257" s="126">
        <f t="shared" si="141"/>
        <v>259.65</v>
      </c>
      <c r="AB257" s="127"/>
    </row>
    <row r="258" ht="15.75" customHeight="1">
      <c r="C258" s="128"/>
      <c r="D258" s="129" t="s">
        <v>24</v>
      </c>
      <c r="E258" s="130">
        <f>D257+G257</f>
        <v>160</v>
      </c>
      <c r="F258" s="127"/>
      <c r="G258" s="127"/>
      <c r="H258" s="127"/>
      <c r="J258" s="129" t="s">
        <v>24</v>
      </c>
      <c r="K258" s="130">
        <f>J257+M257</f>
        <v>0</v>
      </c>
      <c r="L258" s="127"/>
      <c r="M258" s="127"/>
      <c r="N258" s="127"/>
      <c r="O258" s="128"/>
      <c r="P258" s="131" t="s">
        <v>24</v>
      </c>
      <c r="Q258" s="127">
        <f>P257+S257</f>
        <v>78.3</v>
      </c>
      <c r="R258" s="127"/>
      <c r="S258" s="127"/>
      <c r="T258" s="127"/>
      <c r="U258" s="127"/>
    </row>
    <row r="259" ht="15.75" customHeight="1">
      <c r="D259" s="132" t="s">
        <v>25</v>
      </c>
      <c r="E259" s="133">
        <f>D257-E257</f>
        <v>124.75</v>
      </c>
      <c r="F259" s="127"/>
      <c r="G259" s="127"/>
      <c r="H259" s="127"/>
      <c r="J259" s="132" t="s">
        <v>25</v>
      </c>
      <c r="K259" s="133">
        <f>J257-K257</f>
        <v>0</v>
      </c>
      <c r="L259" s="127"/>
      <c r="M259" s="127"/>
      <c r="N259" s="127" t="s">
        <v>26</v>
      </c>
      <c r="O259" s="128"/>
      <c r="P259" s="132" t="s">
        <v>25</v>
      </c>
      <c r="Q259" s="133">
        <f>P257-Q257</f>
        <v>77.3</v>
      </c>
      <c r="R259" s="127"/>
      <c r="S259" s="127"/>
      <c r="T259" s="127"/>
      <c r="U259" s="127"/>
    </row>
    <row r="260" ht="15.75" customHeight="1">
      <c r="J260" s="134"/>
      <c r="K260" s="127"/>
      <c r="L260" s="128"/>
      <c r="M260" s="128"/>
      <c r="N260" s="128"/>
      <c r="O260" s="128"/>
      <c r="P260" s="134"/>
      <c r="Q260" s="127"/>
      <c r="Z260" s="131" t="s">
        <v>26</v>
      </c>
    </row>
    <row r="261" ht="15.75" customHeight="1">
      <c r="F261" s="127" t="s">
        <v>27</v>
      </c>
      <c r="J261" s="127"/>
    </row>
    <row r="262" ht="15.75" customHeight="1">
      <c r="E262" s="127"/>
    </row>
    <row r="263" ht="15.75" customHeight="1"/>
    <row r="264" ht="15.75" customHeight="1">
      <c r="C264" s="1" t="s">
        <v>0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3"/>
      <c r="R264" s="4"/>
      <c r="S264" s="4"/>
      <c r="T264" s="5" t="s">
        <v>1</v>
      </c>
      <c r="U264" s="6" t="s">
        <v>2</v>
      </c>
      <c r="V264" s="7" t="s">
        <v>3</v>
      </c>
      <c r="W264" s="8"/>
      <c r="X264" s="9"/>
      <c r="Y264" s="10" t="s">
        <v>4</v>
      </c>
      <c r="Z264" s="11"/>
      <c r="AA264" s="8"/>
    </row>
    <row r="265" ht="15.75" customHeight="1">
      <c r="A265" s="12"/>
      <c r="B265" s="13" t="s">
        <v>5</v>
      </c>
      <c r="C265" s="14"/>
      <c r="D265" s="14"/>
      <c r="E265" s="14"/>
      <c r="F265" s="15"/>
      <c r="G265" s="16"/>
      <c r="H265" s="17" t="s">
        <v>6</v>
      </c>
      <c r="I265" s="14"/>
      <c r="J265" s="14"/>
      <c r="K265" s="14"/>
      <c r="L265" s="15"/>
      <c r="M265" s="18"/>
      <c r="N265" s="19" t="s">
        <v>7</v>
      </c>
      <c r="O265" s="14"/>
      <c r="P265" s="14"/>
      <c r="Q265" s="14"/>
      <c r="R265" s="15"/>
      <c r="S265" s="20"/>
      <c r="T265" s="21"/>
      <c r="U265" s="22"/>
      <c r="V265" s="23"/>
      <c r="W265" s="24"/>
      <c r="X265" s="25"/>
      <c r="Y265" s="23"/>
      <c r="Z265" s="26"/>
      <c r="AA265" s="24"/>
    </row>
    <row r="266" ht="15.75" customHeight="1">
      <c r="A266" s="27" t="s">
        <v>8</v>
      </c>
      <c r="B266" s="28" t="s">
        <v>9</v>
      </c>
      <c r="C266" s="29" t="s">
        <v>10</v>
      </c>
      <c r="D266" s="30" t="s">
        <v>11</v>
      </c>
      <c r="E266" s="30" t="s">
        <v>12</v>
      </c>
      <c r="F266" s="31" t="s">
        <v>13</v>
      </c>
      <c r="G266" s="32" t="s">
        <v>14</v>
      </c>
      <c r="H266" s="33" t="s">
        <v>9</v>
      </c>
      <c r="I266" s="34" t="s">
        <v>10</v>
      </c>
      <c r="J266" s="34" t="s">
        <v>11</v>
      </c>
      <c r="K266" s="34" t="s">
        <v>12</v>
      </c>
      <c r="L266" s="35" t="s">
        <v>13</v>
      </c>
      <c r="M266" s="36" t="s">
        <v>14</v>
      </c>
      <c r="N266" s="37" t="s">
        <v>9</v>
      </c>
      <c r="O266" s="37" t="s">
        <v>10</v>
      </c>
      <c r="P266" s="38" t="s">
        <v>15</v>
      </c>
      <c r="Q266" s="39" t="s">
        <v>12</v>
      </c>
      <c r="R266" s="39" t="s">
        <v>13</v>
      </c>
      <c r="S266" s="40" t="s">
        <v>14</v>
      </c>
      <c r="T266" s="22"/>
      <c r="U266" s="41" t="s">
        <v>16</v>
      </c>
      <c r="V266" s="42" t="s">
        <v>17</v>
      </c>
      <c r="W266" s="43" t="s">
        <v>18</v>
      </c>
      <c r="X266" s="44" t="s">
        <v>19</v>
      </c>
      <c r="Y266" s="45" t="s">
        <v>20</v>
      </c>
      <c r="Z266" s="46" t="s">
        <v>21</v>
      </c>
      <c r="AA266" s="47" t="s">
        <v>22</v>
      </c>
    </row>
    <row r="267" ht="15.75" customHeight="1">
      <c r="A267" s="48">
        <v>45887.0</v>
      </c>
      <c r="B267" s="49">
        <v>7.0</v>
      </c>
      <c r="C267" s="50">
        <f>(6+5+6+5+6+10)</f>
        <v>38</v>
      </c>
      <c r="D267" s="51">
        <f t="shared" ref="D267:D272" si="142">(C267*0.6)</f>
        <v>22.8</v>
      </c>
      <c r="E267" s="52">
        <v>6.0</v>
      </c>
      <c r="F267" s="53">
        <v>1.0</v>
      </c>
      <c r="G267" s="54">
        <v>5.0</v>
      </c>
      <c r="H267" s="55"/>
      <c r="I267" s="56"/>
      <c r="J267" s="56">
        <f t="shared" ref="J267:J272" si="143">I267*0.6</f>
        <v>0</v>
      </c>
      <c r="K267" s="56"/>
      <c r="L267" s="57"/>
      <c r="M267" s="58"/>
      <c r="N267" s="59">
        <v>0.0</v>
      </c>
      <c r="O267" s="60">
        <v>0.0</v>
      </c>
      <c r="P267" s="61">
        <f t="shared" ref="P267:P273" si="144">(O267*0.3)</f>
        <v>0</v>
      </c>
      <c r="Q267" s="62"/>
      <c r="R267" s="63"/>
      <c r="S267" s="64"/>
      <c r="T267" s="65">
        <f t="shared" ref="T267:T273" si="145">SUM(B267+F267+H267+L267+N267+R267)</f>
        <v>8</v>
      </c>
      <c r="U267" s="66">
        <v>0.0</v>
      </c>
      <c r="V267" s="67">
        <v>0.25</v>
      </c>
      <c r="W267" s="68"/>
      <c r="X267" s="69"/>
      <c r="Y267" s="70" t="str">
        <f>(U267)+(C267+I267+O267)+(V267)-(E267+K267+Q267)-(W267)-Y267</f>
        <v>#REF!</v>
      </c>
      <c r="Z267" s="71">
        <f t="shared" ref="Z267:Z273" si="146">(D267-E267)+(J267-K267)</f>
        <v>16.8</v>
      </c>
      <c r="AA267" s="66">
        <f t="shared" ref="AA267:AA273" si="147">((C267*0.4)+(O267*0.7))-W267</f>
        <v>15.2</v>
      </c>
    </row>
    <row r="268" ht="15.75" customHeight="1">
      <c r="A268" s="48">
        <v>45888.0</v>
      </c>
      <c r="B268" s="72">
        <v>7.0</v>
      </c>
      <c r="C268" s="73">
        <v>36.0</v>
      </c>
      <c r="D268" s="51">
        <f t="shared" si="142"/>
        <v>21.6</v>
      </c>
      <c r="E268" s="74">
        <v>5.0</v>
      </c>
      <c r="F268" s="75"/>
      <c r="G268" s="76"/>
      <c r="H268" s="77"/>
      <c r="I268" s="78"/>
      <c r="J268" s="56">
        <f t="shared" si="143"/>
        <v>0</v>
      </c>
      <c r="K268" s="78"/>
      <c r="L268" s="79"/>
      <c r="M268" s="80"/>
      <c r="N268" s="81">
        <v>6.0</v>
      </c>
      <c r="O268" s="60">
        <v>31.0</v>
      </c>
      <c r="P268" s="61">
        <f t="shared" si="144"/>
        <v>9.3</v>
      </c>
      <c r="Q268" s="82"/>
      <c r="R268" s="83"/>
      <c r="S268" s="84"/>
      <c r="T268" s="65">
        <f t="shared" si="145"/>
        <v>13</v>
      </c>
      <c r="U268" s="85"/>
      <c r="V268" s="86"/>
      <c r="W268" s="87">
        <v>4.5</v>
      </c>
      <c r="X268" s="88"/>
      <c r="Y268" s="89"/>
      <c r="Z268" s="90">
        <f t="shared" si="146"/>
        <v>16.6</v>
      </c>
      <c r="AA268" s="66">
        <f t="shared" si="147"/>
        <v>31.6</v>
      </c>
    </row>
    <row r="269" ht="15.75" customHeight="1">
      <c r="A269" s="48">
        <v>45889.0</v>
      </c>
      <c r="B269" s="72">
        <v>5.0</v>
      </c>
      <c r="C269" s="73">
        <v>25.0</v>
      </c>
      <c r="D269" s="51">
        <f t="shared" si="142"/>
        <v>15</v>
      </c>
      <c r="E269" s="74">
        <v>7.0</v>
      </c>
      <c r="F269" s="75"/>
      <c r="G269" s="76"/>
      <c r="H269" s="77"/>
      <c r="I269" s="78"/>
      <c r="J269" s="56">
        <f t="shared" si="143"/>
        <v>0</v>
      </c>
      <c r="K269" s="78"/>
      <c r="L269" s="91"/>
      <c r="M269" s="92"/>
      <c r="N269" s="81">
        <v>4.0</v>
      </c>
      <c r="O269" s="60">
        <v>20.0</v>
      </c>
      <c r="P269" s="61">
        <f t="shared" si="144"/>
        <v>6</v>
      </c>
      <c r="Q269" s="82"/>
      <c r="R269" s="83"/>
      <c r="S269" s="84"/>
      <c r="T269" s="65">
        <f t="shared" si="145"/>
        <v>9</v>
      </c>
      <c r="U269" s="85"/>
      <c r="V269" s="86"/>
      <c r="W269" s="87"/>
      <c r="X269" s="88"/>
      <c r="Y269" s="89">
        <f t="shared" ref="Y269:Y273" si="148">(U269)+(C269+I269+O269)+(V269)-(E269+K269+Q269)-(W269)-X269</f>
        <v>38</v>
      </c>
      <c r="Z269" s="90">
        <f t="shared" si="146"/>
        <v>8</v>
      </c>
      <c r="AA269" s="66">
        <f t="shared" si="147"/>
        <v>24</v>
      </c>
    </row>
    <row r="270" ht="15.75" customHeight="1">
      <c r="A270" s="48">
        <v>45890.0</v>
      </c>
      <c r="B270" s="72">
        <v>3.0</v>
      </c>
      <c r="C270" s="73">
        <v>15.0</v>
      </c>
      <c r="D270" s="51">
        <f t="shared" si="142"/>
        <v>9</v>
      </c>
      <c r="E270" s="74">
        <v>20.0</v>
      </c>
      <c r="F270" s="93"/>
      <c r="G270" s="76"/>
      <c r="H270" s="77"/>
      <c r="I270" s="78"/>
      <c r="J270" s="56">
        <f t="shared" si="143"/>
        <v>0</v>
      </c>
      <c r="K270" s="78"/>
      <c r="L270" s="91"/>
      <c r="M270" s="92"/>
      <c r="N270" s="81">
        <v>6.0</v>
      </c>
      <c r="O270" s="60">
        <v>30.0</v>
      </c>
      <c r="P270" s="61">
        <f t="shared" si="144"/>
        <v>9</v>
      </c>
      <c r="Q270" s="82"/>
      <c r="R270" s="83"/>
      <c r="S270" s="84"/>
      <c r="T270" s="65">
        <f t="shared" si="145"/>
        <v>9</v>
      </c>
      <c r="U270" s="85"/>
      <c r="V270" s="86"/>
      <c r="W270" s="87"/>
      <c r="X270" s="88"/>
      <c r="Y270" s="89">
        <f t="shared" si="148"/>
        <v>25</v>
      </c>
      <c r="Z270" s="90">
        <f t="shared" si="146"/>
        <v>-11</v>
      </c>
      <c r="AA270" s="66">
        <f t="shared" si="147"/>
        <v>27</v>
      </c>
    </row>
    <row r="271" ht="15.75" customHeight="1">
      <c r="A271" s="48">
        <v>45891.0</v>
      </c>
      <c r="B271" s="72">
        <v>8.0</v>
      </c>
      <c r="C271" s="94">
        <v>41.0</v>
      </c>
      <c r="D271" s="51">
        <f t="shared" si="142"/>
        <v>24.6</v>
      </c>
      <c r="E271" s="74">
        <v>5.0</v>
      </c>
      <c r="F271" s="75">
        <v>1.0</v>
      </c>
      <c r="G271" s="76">
        <v>5.0</v>
      </c>
      <c r="H271" s="77"/>
      <c r="I271" s="78"/>
      <c r="J271" s="56">
        <f t="shared" si="143"/>
        <v>0</v>
      </c>
      <c r="K271" s="78"/>
      <c r="L271" s="91"/>
      <c r="M271" s="92"/>
      <c r="N271" s="81">
        <v>11.0</v>
      </c>
      <c r="O271" s="60">
        <f>(11*5)+2</f>
        <v>57</v>
      </c>
      <c r="P271" s="61">
        <f t="shared" si="144"/>
        <v>17.1</v>
      </c>
      <c r="Q271" s="82"/>
      <c r="R271" s="83"/>
      <c r="S271" s="84"/>
      <c r="T271" s="65">
        <f t="shared" si="145"/>
        <v>20</v>
      </c>
      <c r="U271" s="85"/>
      <c r="V271" s="86"/>
      <c r="W271" s="87"/>
      <c r="X271" s="88"/>
      <c r="Y271" s="89">
        <f t="shared" si="148"/>
        <v>93</v>
      </c>
      <c r="Z271" s="90">
        <f t="shared" si="146"/>
        <v>19.6</v>
      </c>
      <c r="AA271" s="66">
        <f t="shared" si="147"/>
        <v>56.3</v>
      </c>
    </row>
    <row r="272" ht="15.75" customHeight="1">
      <c r="A272" s="48">
        <v>45892.0</v>
      </c>
      <c r="B272" s="72">
        <v>11.0</v>
      </c>
      <c r="C272" s="94">
        <f>35+6+6+7+7</f>
        <v>61</v>
      </c>
      <c r="D272" s="51">
        <f t="shared" si="142"/>
        <v>36.6</v>
      </c>
      <c r="E272" s="74"/>
      <c r="F272" s="75"/>
      <c r="G272" s="76"/>
      <c r="H272" s="77"/>
      <c r="I272" s="78"/>
      <c r="J272" s="56">
        <f t="shared" si="143"/>
        <v>0</v>
      </c>
      <c r="K272" s="78"/>
      <c r="L272" s="91"/>
      <c r="M272" s="92"/>
      <c r="N272" s="81">
        <v>11.0</v>
      </c>
      <c r="O272" s="60">
        <v>55.0</v>
      </c>
      <c r="P272" s="61">
        <f t="shared" si="144"/>
        <v>16.5</v>
      </c>
      <c r="Q272" s="82"/>
      <c r="R272" s="83"/>
      <c r="S272" s="84"/>
      <c r="T272" s="65">
        <f t="shared" si="145"/>
        <v>22</v>
      </c>
      <c r="U272" s="85"/>
      <c r="V272" s="86"/>
      <c r="W272" s="87"/>
      <c r="X272" s="69"/>
      <c r="Y272" s="89">
        <f t="shared" si="148"/>
        <v>116</v>
      </c>
      <c r="Z272" s="71">
        <f t="shared" si="146"/>
        <v>36.6</v>
      </c>
      <c r="AA272" s="66">
        <f t="shared" si="147"/>
        <v>62.9</v>
      </c>
    </row>
    <row r="273" ht="15.75" customHeight="1">
      <c r="A273" s="48">
        <v>45893.0</v>
      </c>
      <c r="B273" s="95"/>
      <c r="C273" s="96"/>
      <c r="D273" s="51"/>
      <c r="E273" s="97"/>
      <c r="F273" s="98">
        <v>4.0</v>
      </c>
      <c r="G273" s="99">
        <v>21.0</v>
      </c>
      <c r="H273" s="100"/>
      <c r="I273" s="101"/>
      <c r="J273" s="56"/>
      <c r="K273" s="78"/>
      <c r="L273" s="102"/>
      <c r="M273" s="103"/>
      <c r="N273" s="104">
        <v>4.0</v>
      </c>
      <c r="O273" s="60">
        <v>20.0</v>
      </c>
      <c r="P273" s="61">
        <f t="shared" si="144"/>
        <v>6</v>
      </c>
      <c r="Q273" s="105"/>
      <c r="R273" s="106"/>
      <c r="S273" s="107"/>
      <c r="T273" s="65">
        <f t="shared" si="145"/>
        <v>8</v>
      </c>
      <c r="U273" s="108"/>
      <c r="V273" s="109"/>
      <c r="W273" s="110"/>
      <c r="X273" s="111"/>
      <c r="Y273" s="89">
        <f t="shared" si="148"/>
        <v>20</v>
      </c>
      <c r="Z273" s="71">
        <f t="shared" si="146"/>
        <v>0</v>
      </c>
      <c r="AA273" s="66">
        <f t="shared" si="147"/>
        <v>14</v>
      </c>
    </row>
    <row r="274" ht="15.75" customHeight="1">
      <c r="A274" s="112" t="s">
        <v>23</v>
      </c>
      <c r="B274" s="113">
        <f t="shared" ref="B274:Q274" si="149">SUM(B267:B273)</f>
        <v>41</v>
      </c>
      <c r="C274" s="114">
        <f t="shared" si="149"/>
        <v>216</v>
      </c>
      <c r="D274" s="114">
        <f t="shared" si="149"/>
        <v>129.6</v>
      </c>
      <c r="E274" s="114">
        <f t="shared" si="149"/>
        <v>43</v>
      </c>
      <c r="F274" s="115">
        <f t="shared" si="149"/>
        <v>6</v>
      </c>
      <c r="G274" s="115">
        <f t="shared" si="149"/>
        <v>31</v>
      </c>
      <c r="H274" s="116">
        <f t="shared" si="149"/>
        <v>0</v>
      </c>
      <c r="I274" s="117">
        <f t="shared" si="149"/>
        <v>0</v>
      </c>
      <c r="J274" s="117">
        <f t="shared" si="149"/>
        <v>0</v>
      </c>
      <c r="K274" s="117">
        <f t="shared" si="149"/>
        <v>0</v>
      </c>
      <c r="L274" s="116">
        <f t="shared" si="149"/>
        <v>0</v>
      </c>
      <c r="M274" s="116">
        <f t="shared" si="149"/>
        <v>0</v>
      </c>
      <c r="N274" s="118">
        <f t="shared" si="149"/>
        <v>42</v>
      </c>
      <c r="O274" s="119">
        <f t="shared" si="149"/>
        <v>213</v>
      </c>
      <c r="P274" s="119">
        <f t="shared" si="149"/>
        <v>63.9</v>
      </c>
      <c r="Q274" s="119">
        <f t="shared" si="149"/>
        <v>0</v>
      </c>
      <c r="R274" s="120"/>
      <c r="S274" s="120"/>
      <c r="T274" s="121">
        <f>SUM(T267:T273)</f>
        <v>89</v>
      </c>
      <c r="U274" s="122"/>
      <c r="V274" s="123"/>
      <c r="W274" s="123">
        <f>SUM(W267:W273)</f>
        <v>4.5</v>
      </c>
      <c r="X274" s="124"/>
      <c r="Y274" s="125" t="str">
        <f t="shared" ref="Y274:AA274" si="150">SUM(Y267:Y273)</f>
        <v>#REF!</v>
      </c>
      <c r="Z274" s="125">
        <f t="shared" si="150"/>
        <v>86.6</v>
      </c>
      <c r="AA274" s="126">
        <f t="shared" si="150"/>
        <v>231</v>
      </c>
      <c r="AB274" s="127"/>
    </row>
    <row r="275" ht="15.75" customHeight="1">
      <c r="C275" s="128"/>
      <c r="D275" s="129" t="s">
        <v>24</v>
      </c>
      <c r="E275" s="130">
        <f>D274+G274</f>
        <v>160.6</v>
      </c>
      <c r="F275" s="127"/>
      <c r="G275" s="127"/>
      <c r="H275" s="127"/>
      <c r="J275" s="129" t="s">
        <v>24</v>
      </c>
      <c r="K275" s="130">
        <f>J274+M274</f>
        <v>0</v>
      </c>
      <c r="L275" s="127"/>
      <c r="M275" s="127"/>
      <c r="N275" s="127"/>
      <c r="O275" s="128"/>
      <c r="P275" s="131" t="s">
        <v>24</v>
      </c>
      <c r="Q275" s="127">
        <f>P274+S274</f>
        <v>63.9</v>
      </c>
      <c r="R275" s="127"/>
      <c r="S275" s="127"/>
      <c r="T275" s="127"/>
      <c r="U275" s="127"/>
    </row>
    <row r="276" ht="15.75" customHeight="1">
      <c r="D276" s="132" t="s">
        <v>25</v>
      </c>
      <c r="E276" s="133">
        <f>D274-E274</f>
        <v>86.6</v>
      </c>
      <c r="F276" s="127"/>
      <c r="G276" s="127"/>
      <c r="H276" s="127"/>
      <c r="J276" s="132" t="s">
        <v>25</v>
      </c>
      <c r="K276" s="133">
        <f>J274-K274</f>
        <v>0</v>
      </c>
      <c r="L276" s="127"/>
      <c r="M276" s="127"/>
      <c r="N276" s="127" t="s">
        <v>26</v>
      </c>
      <c r="O276" s="128"/>
      <c r="P276" s="132" t="s">
        <v>25</v>
      </c>
      <c r="Q276" s="133">
        <f>P274-Q274</f>
        <v>63.9</v>
      </c>
      <c r="R276" s="127"/>
      <c r="S276" s="127"/>
      <c r="T276" s="127"/>
      <c r="U276" s="127"/>
    </row>
    <row r="277" ht="15.75" customHeight="1">
      <c r="J277" s="134"/>
      <c r="K277" s="127"/>
      <c r="L277" s="128"/>
      <c r="M277" s="128"/>
      <c r="N277" s="128"/>
      <c r="O277" s="128"/>
      <c r="P277" s="134"/>
      <c r="Q277" s="127"/>
      <c r="Z277" s="131" t="s">
        <v>26</v>
      </c>
    </row>
    <row r="278" ht="15.75" customHeight="1">
      <c r="F278" s="127" t="s">
        <v>27</v>
      </c>
      <c r="J278" s="127"/>
    </row>
    <row r="279" ht="15.75" customHeight="1"/>
    <row r="280" ht="15.75" customHeight="1">
      <c r="C280" s="1" t="s">
        <v>0</v>
      </c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3"/>
      <c r="R280" s="4"/>
      <c r="S280" s="4"/>
      <c r="T280" s="5" t="s">
        <v>1</v>
      </c>
      <c r="U280" s="6" t="s">
        <v>2</v>
      </c>
      <c r="V280" s="7" t="s">
        <v>3</v>
      </c>
      <c r="W280" s="8"/>
      <c r="X280" s="9"/>
      <c r="Y280" s="10" t="s">
        <v>4</v>
      </c>
      <c r="Z280" s="11"/>
      <c r="AA280" s="8"/>
    </row>
    <row r="281" ht="15.75" customHeight="1">
      <c r="A281" s="12"/>
      <c r="B281" s="13" t="s">
        <v>5</v>
      </c>
      <c r="C281" s="14"/>
      <c r="D281" s="14"/>
      <c r="E281" s="14"/>
      <c r="F281" s="15"/>
      <c r="G281" s="16"/>
      <c r="H281" s="17" t="s">
        <v>6</v>
      </c>
      <c r="I281" s="14"/>
      <c r="J281" s="14"/>
      <c r="K281" s="14"/>
      <c r="L281" s="15"/>
      <c r="M281" s="18"/>
      <c r="N281" s="19" t="s">
        <v>7</v>
      </c>
      <c r="O281" s="14"/>
      <c r="P281" s="14"/>
      <c r="Q281" s="14"/>
      <c r="R281" s="15"/>
      <c r="S281" s="20"/>
      <c r="T281" s="21"/>
      <c r="U281" s="22"/>
      <c r="V281" s="23"/>
      <c r="W281" s="24"/>
      <c r="X281" s="25"/>
      <c r="Y281" s="23"/>
      <c r="Z281" s="26"/>
      <c r="AA281" s="24"/>
    </row>
    <row r="282" ht="15.75" customHeight="1">
      <c r="A282" s="27" t="s">
        <v>8</v>
      </c>
      <c r="B282" s="28" t="s">
        <v>9</v>
      </c>
      <c r="C282" s="29" t="s">
        <v>10</v>
      </c>
      <c r="D282" s="30" t="s">
        <v>11</v>
      </c>
      <c r="E282" s="30" t="s">
        <v>12</v>
      </c>
      <c r="F282" s="31" t="s">
        <v>13</v>
      </c>
      <c r="G282" s="32" t="s">
        <v>14</v>
      </c>
      <c r="H282" s="33" t="s">
        <v>9</v>
      </c>
      <c r="I282" s="34" t="s">
        <v>10</v>
      </c>
      <c r="J282" s="34" t="s">
        <v>11</v>
      </c>
      <c r="K282" s="34" t="s">
        <v>12</v>
      </c>
      <c r="L282" s="35" t="s">
        <v>13</v>
      </c>
      <c r="M282" s="36" t="s">
        <v>14</v>
      </c>
      <c r="N282" s="37" t="s">
        <v>9</v>
      </c>
      <c r="O282" s="37" t="s">
        <v>10</v>
      </c>
      <c r="P282" s="38" t="s">
        <v>15</v>
      </c>
      <c r="Q282" s="39" t="s">
        <v>12</v>
      </c>
      <c r="R282" s="39" t="s">
        <v>13</v>
      </c>
      <c r="S282" s="40" t="s">
        <v>14</v>
      </c>
      <c r="T282" s="22"/>
      <c r="U282" s="41" t="s">
        <v>16</v>
      </c>
      <c r="V282" s="42" t="s">
        <v>17</v>
      </c>
      <c r="W282" s="43" t="s">
        <v>18</v>
      </c>
      <c r="X282" s="44" t="s">
        <v>19</v>
      </c>
      <c r="Y282" s="45" t="s">
        <v>20</v>
      </c>
      <c r="Z282" s="46" t="s">
        <v>21</v>
      </c>
      <c r="AA282" s="47" t="s">
        <v>22</v>
      </c>
    </row>
    <row r="283" ht="15.75" customHeight="1">
      <c r="A283" s="48">
        <v>45894.0</v>
      </c>
      <c r="B283" s="49">
        <v>5.0</v>
      </c>
      <c r="C283" s="50">
        <v>28.0</v>
      </c>
      <c r="D283" s="51">
        <f t="shared" ref="D283:D284" si="151">(C283*0.6)</f>
        <v>16.8</v>
      </c>
      <c r="E283" s="52"/>
      <c r="F283" s="53"/>
      <c r="G283" s="54"/>
      <c r="H283" s="55"/>
      <c r="I283" s="56"/>
      <c r="J283" s="56">
        <f t="shared" ref="J283:J288" si="152">I283*0.6</f>
        <v>0</v>
      </c>
      <c r="K283" s="56"/>
      <c r="L283" s="57"/>
      <c r="M283" s="58"/>
      <c r="N283" s="59">
        <v>5.0</v>
      </c>
      <c r="O283" s="60">
        <v>25.0</v>
      </c>
      <c r="P283" s="61">
        <f t="shared" ref="P283:P289" si="153">(O283*0.3)</f>
        <v>7.5</v>
      </c>
      <c r="Q283" s="62"/>
      <c r="R283" s="63"/>
      <c r="S283" s="64"/>
      <c r="T283" s="65">
        <f t="shared" ref="T283:T289" si="154">SUM(B283+F283+H283+L283+N283+R283)</f>
        <v>10</v>
      </c>
      <c r="U283" s="66">
        <v>0.0</v>
      </c>
      <c r="V283" s="67">
        <v>0.25</v>
      </c>
      <c r="W283" s="68"/>
      <c r="X283" s="69"/>
      <c r="Y283" s="70" t="str">
        <f>(U283)+(C283+I283+O283)+(V283)-(E283+K283+Q283)-(W283)-Y283</f>
        <v>#REF!</v>
      </c>
      <c r="Z283" s="71">
        <f t="shared" ref="Z283:Z289" si="155">(D283-E283)+(J283-K283)</f>
        <v>16.8</v>
      </c>
      <c r="AA283" s="66">
        <f t="shared" ref="AA283:AA289" si="156">(((C283*0.4)+(O283*0.7))-W283)+V283</f>
        <v>28.95</v>
      </c>
    </row>
    <row r="284" ht="15.75" customHeight="1">
      <c r="A284" s="48">
        <v>45895.0</v>
      </c>
      <c r="B284" s="72">
        <v>5.0</v>
      </c>
      <c r="C284" s="73">
        <v>25.0</v>
      </c>
      <c r="D284" s="51">
        <f t="shared" si="151"/>
        <v>15</v>
      </c>
      <c r="E284" s="74">
        <v>7.0</v>
      </c>
      <c r="F284" s="75"/>
      <c r="G284" s="76"/>
      <c r="H284" s="77"/>
      <c r="I284" s="78"/>
      <c r="J284" s="56">
        <f t="shared" si="152"/>
        <v>0</v>
      </c>
      <c r="K284" s="78"/>
      <c r="L284" s="79"/>
      <c r="M284" s="80"/>
      <c r="N284" s="81">
        <v>7.0</v>
      </c>
      <c r="O284" s="60">
        <v>35.0</v>
      </c>
      <c r="P284" s="61">
        <f t="shared" si="153"/>
        <v>10.5</v>
      </c>
      <c r="Q284" s="82"/>
      <c r="R284" s="83"/>
      <c r="S284" s="84"/>
      <c r="T284" s="65">
        <f t="shared" si="154"/>
        <v>12</v>
      </c>
      <c r="U284" s="85"/>
      <c r="V284" s="86"/>
      <c r="W284" s="87">
        <v>3.5</v>
      </c>
      <c r="X284" s="88"/>
      <c r="Y284" s="89"/>
      <c r="Z284" s="90">
        <f t="shared" si="155"/>
        <v>8</v>
      </c>
      <c r="AA284" s="66">
        <f t="shared" si="156"/>
        <v>31</v>
      </c>
    </row>
    <row r="285" ht="15.75" customHeight="1">
      <c r="A285" s="48">
        <v>45896.0</v>
      </c>
      <c r="B285" s="72"/>
      <c r="C285" s="73"/>
      <c r="D285" s="51"/>
      <c r="E285" s="74"/>
      <c r="F285" s="75">
        <v>1.0</v>
      </c>
      <c r="G285" s="76">
        <v>6.0</v>
      </c>
      <c r="H285" s="77"/>
      <c r="I285" s="78"/>
      <c r="J285" s="56">
        <f t="shared" si="152"/>
        <v>0</v>
      </c>
      <c r="K285" s="78"/>
      <c r="L285" s="91"/>
      <c r="M285" s="92"/>
      <c r="N285" s="81">
        <v>6.0</v>
      </c>
      <c r="O285" s="60">
        <v>30.0</v>
      </c>
      <c r="P285" s="61">
        <f t="shared" si="153"/>
        <v>9</v>
      </c>
      <c r="Q285" s="82"/>
      <c r="R285" s="83"/>
      <c r="S285" s="84"/>
      <c r="T285" s="65">
        <f t="shared" si="154"/>
        <v>7</v>
      </c>
      <c r="U285" s="85"/>
      <c r="V285" s="86"/>
      <c r="W285" s="87"/>
      <c r="X285" s="88"/>
      <c r="Y285" s="89">
        <f t="shared" ref="Y285:Y289" si="157">(U285)+(C285+I285+O285)+(V285)-(E285+K285+Q285)-(W285)-X285</f>
        <v>30</v>
      </c>
      <c r="Z285" s="90">
        <f t="shared" si="155"/>
        <v>0</v>
      </c>
      <c r="AA285" s="66">
        <f t="shared" si="156"/>
        <v>21</v>
      </c>
    </row>
    <row r="286" ht="15.75" customHeight="1">
      <c r="A286" s="48">
        <v>45897.0</v>
      </c>
      <c r="B286" s="72">
        <v>2.0</v>
      </c>
      <c r="C286" s="73">
        <v>11.0</v>
      </c>
      <c r="D286" s="51">
        <f t="shared" ref="D286:D289" si="158">(C286*0.6)</f>
        <v>6.6</v>
      </c>
      <c r="E286" s="74">
        <v>2.0</v>
      </c>
      <c r="F286" s="93"/>
      <c r="G286" s="76"/>
      <c r="H286" s="77"/>
      <c r="I286" s="78"/>
      <c r="J286" s="56">
        <f t="shared" si="152"/>
        <v>0</v>
      </c>
      <c r="K286" s="78"/>
      <c r="L286" s="91"/>
      <c r="M286" s="92"/>
      <c r="N286" s="81">
        <v>2.0</v>
      </c>
      <c r="O286" s="60">
        <v>10.0</v>
      </c>
      <c r="P286" s="61">
        <f t="shared" si="153"/>
        <v>3</v>
      </c>
      <c r="Q286" s="82"/>
      <c r="R286" s="83"/>
      <c r="S286" s="84"/>
      <c r="T286" s="65">
        <f t="shared" si="154"/>
        <v>4</v>
      </c>
      <c r="U286" s="85"/>
      <c r="V286" s="86"/>
      <c r="W286" s="87"/>
      <c r="X286" s="88"/>
      <c r="Y286" s="89">
        <f t="shared" si="157"/>
        <v>19</v>
      </c>
      <c r="Z286" s="90">
        <f t="shared" si="155"/>
        <v>4.6</v>
      </c>
      <c r="AA286" s="66">
        <f t="shared" si="156"/>
        <v>11.4</v>
      </c>
    </row>
    <row r="287" ht="15.75" customHeight="1">
      <c r="A287" s="48">
        <v>45898.0</v>
      </c>
      <c r="B287" s="72">
        <v>8.0</v>
      </c>
      <c r="C287" s="94">
        <v>42.0</v>
      </c>
      <c r="D287" s="51">
        <f t="shared" si="158"/>
        <v>25.2</v>
      </c>
      <c r="E287" s="74">
        <v>2.0</v>
      </c>
      <c r="F287" s="75">
        <v>2.0</v>
      </c>
      <c r="G287" s="76">
        <v>11.0</v>
      </c>
      <c r="H287" s="77"/>
      <c r="I287" s="78"/>
      <c r="J287" s="56">
        <f t="shared" si="152"/>
        <v>0</v>
      </c>
      <c r="K287" s="78"/>
      <c r="L287" s="91"/>
      <c r="M287" s="92"/>
      <c r="N287" s="81">
        <v>10.0</v>
      </c>
      <c r="O287" s="60">
        <v>50.0</v>
      </c>
      <c r="P287" s="61">
        <f t="shared" si="153"/>
        <v>15</v>
      </c>
      <c r="Q287" s="82"/>
      <c r="R287" s="83"/>
      <c r="S287" s="84"/>
      <c r="T287" s="65">
        <f t="shared" si="154"/>
        <v>20</v>
      </c>
      <c r="U287" s="85"/>
      <c r="V287" s="86">
        <v>10.0</v>
      </c>
      <c r="W287" s="87"/>
      <c r="X287" s="88"/>
      <c r="Y287" s="89">
        <f t="shared" si="157"/>
        <v>100</v>
      </c>
      <c r="Z287" s="90">
        <f t="shared" si="155"/>
        <v>23.2</v>
      </c>
      <c r="AA287" s="66">
        <f t="shared" si="156"/>
        <v>61.8</v>
      </c>
    </row>
    <row r="288" ht="15.75" customHeight="1">
      <c r="A288" s="48">
        <v>45899.0</v>
      </c>
      <c r="B288" s="72">
        <v>22.0</v>
      </c>
      <c r="C288" s="94">
        <v>111.0</v>
      </c>
      <c r="D288" s="51">
        <f t="shared" si="158"/>
        <v>66.6</v>
      </c>
      <c r="E288" s="74"/>
      <c r="F288" s="75"/>
      <c r="G288" s="76"/>
      <c r="H288" s="77"/>
      <c r="I288" s="78"/>
      <c r="J288" s="56">
        <f t="shared" si="152"/>
        <v>0</v>
      </c>
      <c r="K288" s="78"/>
      <c r="L288" s="91"/>
      <c r="M288" s="92"/>
      <c r="N288" s="81">
        <v>21.0</v>
      </c>
      <c r="O288" s="60">
        <v>107.0</v>
      </c>
      <c r="P288" s="61">
        <f t="shared" si="153"/>
        <v>32.1</v>
      </c>
      <c r="Q288" s="82"/>
      <c r="R288" s="83"/>
      <c r="S288" s="84"/>
      <c r="T288" s="65">
        <f t="shared" si="154"/>
        <v>43</v>
      </c>
      <c r="U288" s="85"/>
      <c r="V288" s="86"/>
      <c r="W288" s="87">
        <f>(3.75+3.75+2.5)</f>
        <v>10</v>
      </c>
      <c r="X288" s="69"/>
      <c r="Y288" s="89">
        <f t="shared" si="157"/>
        <v>208</v>
      </c>
      <c r="Z288" s="71">
        <f t="shared" si="155"/>
        <v>66.6</v>
      </c>
      <c r="AA288" s="66">
        <f t="shared" si="156"/>
        <v>109.3</v>
      </c>
    </row>
    <row r="289" ht="15.75" customHeight="1">
      <c r="A289" s="48">
        <v>45900.0</v>
      </c>
      <c r="B289" s="95"/>
      <c r="C289" s="96"/>
      <c r="D289" s="51">
        <f t="shared" si="158"/>
        <v>0</v>
      </c>
      <c r="E289" s="97">
        <f>(12+2+3.5+3)</f>
        <v>20.5</v>
      </c>
      <c r="F289" s="98">
        <v>11.0</v>
      </c>
      <c r="G289" s="99">
        <v>58.0</v>
      </c>
      <c r="H289" s="100"/>
      <c r="I289" s="101"/>
      <c r="J289" s="56"/>
      <c r="K289" s="78"/>
      <c r="L289" s="102"/>
      <c r="M289" s="103"/>
      <c r="N289" s="104">
        <v>16.0</v>
      </c>
      <c r="O289" s="60">
        <v>84.0</v>
      </c>
      <c r="P289" s="61">
        <f t="shared" si="153"/>
        <v>25.2</v>
      </c>
      <c r="Q289" s="105"/>
      <c r="R289" s="106"/>
      <c r="S289" s="107"/>
      <c r="T289" s="65">
        <f t="shared" si="154"/>
        <v>27</v>
      </c>
      <c r="U289" s="108"/>
      <c r="V289" s="109"/>
      <c r="W289" s="110">
        <v>4.5</v>
      </c>
      <c r="X289" s="111"/>
      <c r="Y289" s="89">
        <f t="shared" si="157"/>
        <v>59</v>
      </c>
      <c r="Z289" s="71">
        <f t="shared" si="155"/>
        <v>-20.5</v>
      </c>
      <c r="AA289" s="66">
        <f t="shared" si="156"/>
        <v>54.3</v>
      </c>
    </row>
    <row r="290" ht="15.75" customHeight="1">
      <c r="A290" s="112" t="s">
        <v>23</v>
      </c>
      <c r="B290" s="113">
        <f t="shared" ref="B290:Q290" si="159">SUM(B283:B289)</f>
        <v>42</v>
      </c>
      <c r="C290" s="114">
        <f t="shared" si="159"/>
        <v>217</v>
      </c>
      <c r="D290" s="114">
        <f t="shared" si="159"/>
        <v>130.2</v>
      </c>
      <c r="E290" s="114">
        <f t="shared" si="159"/>
        <v>31.5</v>
      </c>
      <c r="F290" s="115">
        <f t="shared" si="159"/>
        <v>14</v>
      </c>
      <c r="G290" s="115">
        <f t="shared" si="159"/>
        <v>75</v>
      </c>
      <c r="H290" s="116">
        <f t="shared" si="159"/>
        <v>0</v>
      </c>
      <c r="I290" s="117">
        <f t="shared" si="159"/>
        <v>0</v>
      </c>
      <c r="J290" s="117">
        <f t="shared" si="159"/>
        <v>0</v>
      </c>
      <c r="K290" s="117">
        <f t="shared" si="159"/>
        <v>0</v>
      </c>
      <c r="L290" s="116">
        <f t="shared" si="159"/>
        <v>0</v>
      </c>
      <c r="M290" s="116">
        <f t="shared" si="159"/>
        <v>0</v>
      </c>
      <c r="N290" s="118">
        <f t="shared" si="159"/>
        <v>67</v>
      </c>
      <c r="O290" s="119">
        <f t="shared" si="159"/>
        <v>341</v>
      </c>
      <c r="P290" s="119">
        <f t="shared" si="159"/>
        <v>102.3</v>
      </c>
      <c r="Q290" s="119">
        <f t="shared" si="159"/>
        <v>0</v>
      </c>
      <c r="R290" s="120"/>
      <c r="S290" s="120"/>
      <c r="T290" s="121">
        <f>SUM(T283:T289)</f>
        <v>123</v>
      </c>
      <c r="U290" s="122"/>
      <c r="V290" s="123"/>
      <c r="W290" s="123">
        <f>SUM(W283:W289)</f>
        <v>18</v>
      </c>
      <c r="X290" s="124"/>
      <c r="Y290" s="125" t="str">
        <f t="shared" ref="Y290:AA290" si="160">SUM(Y283:Y289)</f>
        <v>#REF!</v>
      </c>
      <c r="Z290" s="125">
        <f t="shared" si="160"/>
        <v>98.7</v>
      </c>
      <c r="AA290" s="126">
        <f t="shared" si="160"/>
        <v>317.75</v>
      </c>
      <c r="AB290" s="127"/>
    </row>
    <row r="291" ht="15.75" customHeight="1">
      <c r="C291" s="128"/>
      <c r="D291" s="129" t="s">
        <v>24</v>
      </c>
      <c r="E291" s="130">
        <f>D290+G290</f>
        <v>205.2</v>
      </c>
      <c r="F291" s="127"/>
      <c r="G291" s="127"/>
      <c r="H291" s="127"/>
      <c r="J291" s="129" t="s">
        <v>24</v>
      </c>
      <c r="K291" s="130">
        <f>J290+M290</f>
        <v>0</v>
      </c>
      <c r="L291" s="127"/>
      <c r="M291" s="127"/>
      <c r="N291" s="127"/>
      <c r="O291" s="128"/>
      <c r="P291" s="131" t="s">
        <v>24</v>
      </c>
      <c r="Q291" s="127">
        <f>P290+S290</f>
        <v>102.3</v>
      </c>
      <c r="R291" s="127"/>
      <c r="S291" s="127"/>
      <c r="T291" s="127"/>
      <c r="U291" s="127"/>
    </row>
    <row r="292" ht="15.75" customHeight="1">
      <c r="D292" s="132" t="s">
        <v>25</v>
      </c>
      <c r="E292" s="133">
        <f>D290-E290</f>
        <v>98.7</v>
      </c>
      <c r="F292" s="127"/>
      <c r="G292" s="127"/>
      <c r="H292" s="127"/>
      <c r="J292" s="132" t="s">
        <v>25</v>
      </c>
      <c r="K292" s="133">
        <f>J290-K290</f>
        <v>0</v>
      </c>
      <c r="L292" s="127"/>
      <c r="M292" s="127"/>
      <c r="N292" s="127" t="s">
        <v>26</v>
      </c>
      <c r="O292" s="128"/>
      <c r="P292" s="132" t="s">
        <v>25</v>
      </c>
      <c r="Q292" s="133">
        <f>P290-Q290</f>
        <v>102.3</v>
      </c>
      <c r="R292" s="127"/>
      <c r="S292" s="127"/>
      <c r="T292" s="127"/>
      <c r="U292" s="127"/>
    </row>
    <row r="293" ht="15.75" customHeight="1">
      <c r="J293" s="134"/>
      <c r="K293" s="127"/>
      <c r="L293" s="128"/>
      <c r="M293" s="128"/>
      <c r="N293" s="128"/>
      <c r="O293" s="128"/>
      <c r="P293" s="134"/>
      <c r="Q293" s="127"/>
      <c r="Z293" s="131" t="s">
        <v>26</v>
      </c>
    </row>
    <row r="294" ht="15.75" customHeight="1">
      <c r="F294" s="127" t="s">
        <v>27</v>
      </c>
      <c r="J294" s="127"/>
    </row>
    <row r="295" ht="15.75" customHeight="1">
      <c r="F295" s="127"/>
      <c r="G295" s="127"/>
    </row>
    <row r="296" ht="15.75" customHeight="1">
      <c r="D296" s="131" t="s">
        <v>26</v>
      </c>
      <c r="H296" s="127"/>
      <c r="J296" s="127"/>
      <c r="K296" s="127"/>
      <c r="Q296" s="131" t="s">
        <v>26</v>
      </c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2">
    <mergeCell ref="C3:Q3"/>
    <mergeCell ref="T3:T5"/>
    <mergeCell ref="U3:U4"/>
    <mergeCell ref="V3:W4"/>
    <mergeCell ref="X3:Z4"/>
    <mergeCell ref="B4:F4"/>
    <mergeCell ref="N4:R4"/>
    <mergeCell ref="H4:L4"/>
    <mergeCell ref="C22:Q22"/>
    <mergeCell ref="T22:T24"/>
    <mergeCell ref="U22:U23"/>
    <mergeCell ref="V22:W23"/>
    <mergeCell ref="X22:Z23"/>
    <mergeCell ref="B23:F23"/>
    <mergeCell ref="H23:L23"/>
    <mergeCell ref="N23:R23"/>
    <mergeCell ref="C39:Q39"/>
    <mergeCell ref="T39:T41"/>
    <mergeCell ref="U39:U40"/>
    <mergeCell ref="V39:W40"/>
    <mergeCell ref="X39:Z40"/>
    <mergeCell ref="N40:R40"/>
    <mergeCell ref="B40:F40"/>
    <mergeCell ref="H40:L40"/>
    <mergeCell ref="C57:Q57"/>
    <mergeCell ref="T57:T59"/>
    <mergeCell ref="U57:U58"/>
    <mergeCell ref="V57:W58"/>
    <mergeCell ref="X57:Z58"/>
    <mergeCell ref="N58:R58"/>
    <mergeCell ref="B58:F58"/>
    <mergeCell ref="H58:L58"/>
    <mergeCell ref="C75:Q75"/>
    <mergeCell ref="T75:T77"/>
    <mergeCell ref="U75:U76"/>
    <mergeCell ref="V75:W76"/>
    <mergeCell ref="X75:Z76"/>
    <mergeCell ref="N76:R76"/>
    <mergeCell ref="B76:F76"/>
    <mergeCell ref="H76:L76"/>
    <mergeCell ref="C91:Q91"/>
    <mergeCell ref="T91:T93"/>
    <mergeCell ref="U91:U92"/>
    <mergeCell ref="V91:W92"/>
    <mergeCell ref="X91:Z92"/>
    <mergeCell ref="N92:R92"/>
    <mergeCell ref="B127:F127"/>
    <mergeCell ref="H127:L127"/>
    <mergeCell ref="B197:F197"/>
    <mergeCell ref="H197:L197"/>
    <mergeCell ref="N197:R197"/>
    <mergeCell ref="T213:T215"/>
    <mergeCell ref="U213:U214"/>
    <mergeCell ref="V213:W214"/>
    <mergeCell ref="X213:Z214"/>
    <mergeCell ref="N214:R214"/>
    <mergeCell ref="C213:Q213"/>
    <mergeCell ref="B214:F214"/>
    <mergeCell ref="H214:L214"/>
    <mergeCell ref="T230:T232"/>
    <mergeCell ref="U230:U231"/>
    <mergeCell ref="V230:W231"/>
    <mergeCell ref="Y230:AA231"/>
    <mergeCell ref="H231:L231"/>
    <mergeCell ref="N231:R231"/>
    <mergeCell ref="C247:Q247"/>
    <mergeCell ref="T247:T249"/>
    <mergeCell ref="U247:U248"/>
    <mergeCell ref="V247:W248"/>
    <mergeCell ref="Y247:AA248"/>
    <mergeCell ref="N248:R248"/>
    <mergeCell ref="B248:F248"/>
    <mergeCell ref="H248:L248"/>
    <mergeCell ref="C264:Q264"/>
    <mergeCell ref="T264:T266"/>
    <mergeCell ref="U264:U265"/>
    <mergeCell ref="V264:W265"/>
    <mergeCell ref="Y264:AA265"/>
    <mergeCell ref="N265:R265"/>
    <mergeCell ref="B281:F281"/>
    <mergeCell ref="H281:L281"/>
    <mergeCell ref="B265:F265"/>
    <mergeCell ref="H265:L265"/>
    <mergeCell ref="C280:Q280"/>
    <mergeCell ref="T280:T282"/>
    <mergeCell ref="U280:U281"/>
    <mergeCell ref="V280:W281"/>
    <mergeCell ref="Y280:AA281"/>
    <mergeCell ref="N281:R281"/>
    <mergeCell ref="B92:F92"/>
    <mergeCell ref="H92:L92"/>
    <mergeCell ref="C109:Q109"/>
    <mergeCell ref="T109:T111"/>
    <mergeCell ref="U109:U110"/>
    <mergeCell ref="V109:W110"/>
    <mergeCell ref="X109:Z110"/>
    <mergeCell ref="N110:R110"/>
    <mergeCell ref="B110:F110"/>
    <mergeCell ref="H110:L110"/>
    <mergeCell ref="T126:T128"/>
    <mergeCell ref="U126:U127"/>
    <mergeCell ref="V126:W127"/>
    <mergeCell ref="X126:Z127"/>
    <mergeCell ref="N127:R127"/>
    <mergeCell ref="C126:Q126"/>
    <mergeCell ref="C144:Q144"/>
    <mergeCell ref="T144:T146"/>
    <mergeCell ref="U144:U145"/>
    <mergeCell ref="V144:W145"/>
    <mergeCell ref="X144:Z145"/>
    <mergeCell ref="B145:F145"/>
    <mergeCell ref="H145:L145"/>
    <mergeCell ref="N145:R145"/>
    <mergeCell ref="C162:Q162"/>
    <mergeCell ref="T162:T164"/>
    <mergeCell ref="U162:U163"/>
    <mergeCell ref="V162:W163"/>
    <mergeCell ref="X162:Z163"/>
    <mergeCell ref="N163:R163"/>
    <mergeCell ref="T196:T198"/>
    <mergeCell ref="U196:U197"/>
    <mergeCell ref="V196:W197"/>
    <mergeCell ref="X196:Z197"/>
    <mergeCell ref="B163:F163"/>
    <mergeCell ref="H163:L163"/>
    <mergeCell ref="C178:Q178"/>
    <mergeCell ref="B179:F179"/>
    <mergeCell ref="H179:L179"/>
    <mergeCell ref="N179:R179"/>
    <mergeCell ref="C196:Q196"/>
    <mergeCell ref="C230:Q230"/>
    <mergeCell ref="B231:F23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2025-04-21T17:48:54Z</dcterms:created>
  <dc:creator>COMPAQ</dc:creator>
</cp:coreProperties>
</file>