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y" sheetId="1" r:id="rId3"/>
    <sheet state="visible" name="Template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This is formatted for reference directly against the robot file.  The hidden "ul" value is present in the headers of the robot file.  Could make parsing easier / generating easier
</t>
      </text>
    </comment>
  </commentList>
</comments>
</file>

<file path=xl/sharedStrings.xml><?xml version="1.0" encoding="utf-8"?>
<sst xmlns="http://schemas.openxmlformats.org/spreadsheetml/2006/main" count="375" uniqueCount="84">
  <si>
    <t>{</t>
  </si>
  <si>
    <t>"run": {</t>
  </si>
  <si>
    <t>Run Data</t>
  </si>
  <si>
    <t>Reagent Preparation Information</t>
  </si>
  <si>
    <t>Date Created</t>
  </si>
  <si>
    <t>"datecreated":</t>
  </si>
  <si>
    <t>2019-02-21</t>
  </si>
  <si>
    <t>Reagent</t>
  </si>
  <si>
    <t>Temp (C)</t>
  </si>
  <si>
    <t>Stir (RPM)</t>
  </si>
  <si>
    <t>Duration (seconds)</t>
  </si>
  <si>
    <t>Creation Date</t>
  </si>
  <si>
    <t>Operator</t>
  </si>
  <si>
    <t>,</t>
  </si>
  <si>
    <t>"timecreated_UTC":</t>
  </si>
  <si>
    <t>Time Created _UTC</t>
  </si>
  <si>
    <t>17_06_08</t>
  </si>
  <si>
    <t>"lab":</t>
  </si>
  <si>
    <t>"operator":</t>
  </si>
  <si>
    <t>"jobserial":</t>
  </si>
  <si>
    <t>"ExpVer":</t>
  </si>
  <si>
    <t>Laboratory</t>
  </si>
  <si>
    <t>LBL</t>
  </si>
  <si>
    <t>Operator Name</t>
  </si>
  <si>
    <t>"GenVer":</t>
  </si>
  <si>
    <t>Matt</t>
  </si>
  <si>
    <t>},</t>
  </si>
  <si>
    <t>"reagent": [{</t>
  </si>
  <si>
    <t>Job Serial No.</t>
  </si>
  <si>
    <t>2019-02-21T17_06_08.308424+00_00_LBL</t>
  </si>
  <si>
    <t xml:space="preserve">"date": </t>
  </si>
  <si>
    <t>null</t>
  </si>
  <si>
    <t>"id":</t>
  </si>
  <si>
    <t>Exp Workflow Ver</t>
  </si>
  <si>
    <t>Generator Workflow Ver</t>
  </si>
  <si>
    <t>Challenge Problem</t>
  </si>
  <si>
    <t>"chemicals": [{</t>
  </si>
  <si>
    <t>"InChIKey":</t>
  </si>
  <si>
    <t>Note 1</t>
  </si>
  <si>
    <t>Note 2</t>
  </si>
  <si>
    <t>Experimental Summary:</t>
  </si>
  <si>
    <t xml:space="preserve">"nominal_amount": </t>
  </si>
  <si>
    <t xml:space="preserve">"actual_amount": </t>
  </si>
  <si>
    <t>Chemical Abbreviation (In order of addition)</t>
  </si>
  <si>
    <t>}],</t>
  </si>
  <si>
    <t>Nominal Amount (target for robot deck or ideal behavior)</t>
  </si>
  <si>
    <t>"instructions": [{</t>
  </si>
  <si>
    <t>Actual Amount (total on robot deck or measured actual)</t>
  </si>
  <si>
    <t xml:space="preserve">"op": </t>
  </si>
  <si>
    <t>Unit</t>
  </si>
  <si>
    <t>"heat"</t>
  </si>
  <si>
    <t>"temperature":</t>
  </si>
  <si>
    <r>
      <t>Nominal Concentration (</t>
    </r>
    <r>
      <rPr>
        <b/>
      </rPr>
      <t>M</t>
    </r>
    <r>
      <t>)</t>
    </r>
  </si>
  <si>
    <r>
      <t>Actual Concentration (</t>
    </r>
    <r>
      <rPr>
        <b/>
      </rPr>
      <t>M</t>
    </r>
    <r>
      <t>)</t>
    </r>
  </si>
  <si>
    <t>Actual Reagent Temperature (Celsius - Immediately Prior to Robot Initiation)</t>
  </si>
  <si>
    <t>}]</t>
  </si>
  <si>
    <t>}, {</t>
  </si>
  <si>
    <r>
      <t xml:space="preserve">Reagent1 </t>
    </r>
    <r>
      <rPr>
        <color rgb="FFD9D2E9"/>
      </rPr>
      <t>(ul)</t>
    </r>
  </si>
  <si>
    <t xml:space="preserve">Final Volume = </t>
  </si>
  <si>
    <t>Chemical1</t>
  </si>
  <si>
    <t>GBL</t>
  </si>
  <si>
    <t>milliliter</t>
  </si>
  <si>
    <t>Chemical2</t>
  </si>
  <si>
    <t>Chemical3</t>
  </si>
  <si>
    <t>"heatstir"</t>
  </si>
  <si>
    <t xml:space="preserve">"temperature": </t>
  </si>
  <si>
    <t xml:space="preserve">"stir": </t>
  </si>
  <si>
    <r>
      <t xml:space="preserve">Reagent2 </t>
    </r>
    <r>
      <rPr>
        <color rgb="FF8E7CC3"/>
      </rPr>
      <t>(ul)</t>
    </r>
  </si>
  <si>
    <t xml:space="preserve">"duration": </t>
  </si>
  <si>
    <t>Final Volume =</t>
  </si>
  <si>
    <t>PbI2</t>
  </si>
  <si>
    <t>gram</t>
  </si>
  <si>
    <t>nDodecylammoniumIodide</t>
  </si>
  <si>
    <r>
      <t xml:space="preserve">Reagent3 </t>
    </r>
    <r>
      <rPr>
        <color rgb="FFD9D2E9"/>
      </rPr>
      <t>(ul)</t>
    </r>
  </si>
  <si>
    <r>
      <t xml:space="preserve">Reagent4 </t>
    </r>
    <r>
      <rPr>
        <color rgb="FF8E7CC3"/>
      </rPr>
      <t>(ul)</t>
    </r>
  </si>
  <si>
    <r>
      <t xml:space="preserve">Reagent5 </t>
    </r>
    <r>
      <rPr>
        <color rgb="FFD9D2E9"/>
      </rPr>
      <t>(ul)</t>
    </r>
  </si>
  <si>
    <r>
      <t xml:space="preserve">Reagent6 </t>
    </r>
    <r>
      <rPr>
        <color rgb="FF8E7CC3"/>
      </rPr>
      <t>(ul)</t>
    </r>
  </si>
  <si>
    <t>FAH</t>
  </si>
  <si>
    <r>
      <t xml:space="preserve">Reagent7 </t>
    </r>
    <r>
      <rPr>
        <color rgb="FFD9D2E9"/>
      </rPr>
      <t>(ul)</t>
    </r>
  </si>
  <si>
    <t xml:space="preserve">"notes": </t>
  </si>
  <si>
    <t xml:space="preserve">"note1": </t>
  </si>
  <si>
    <t xml:space="preserve">"note2": </t>
  </si>
  <si>
    <t xml:space="preserve">"ExperimentalSummary": </t>
  </si>
  <si>
    <t>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</si>
</sst>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 \&quot;@\&quot;"/>
    <numFmt numFmtId="165" formatCode="0.0"/>
  </numFmts>
  <fonts count="12">
    <font>
      <sz val="10.0"/>
      <color rgb="FF000000"/>
      <name val="Arial"/>
    </font>
    <font/>
    <font>
      <name val="Arial"/>
    </font>
    <font>
      <b/>
    </font>
    <font>
      <color rgb="FF000000"/>
      <name val="Arial"/>
    </font>
    <font>
      <color rgb="FF666666"/>
      <name val="Arial"/>
    </font>
    <font>
      <color rgb="FF666666"/>
    </font>
    <font>
      <b/>
      <sz val="14.0"/>
    </font>
    <font>
      <b/>
      <name val="Arial"/>
    </font>
    <font>
      <color rgb="FF000000"/>
    </font>
    <font>
      <color rgb="FFF3F3F3"/>
    </font>
    <font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8E7CC3"/>
        <bgColor rgb="FF8E7CC3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49" xfId="0" applyAlignment="1" applyFont="1" applyNumberFormat="1">
      <alignment vertical="bottom"/>
    </xf>
    <xf borderId="2" fillId="2" fontId="3" numFmtId="0" xfId="0" applyAlignment="1" applyBorder="1" applyFont="1">
      <alignment horizontal="center" readingOrder="0" shrinkToFit="0" wrapText="1"/>
    </xf>
    <xf borderId="3" fillId="2" fontId="3" numFmtId="0" xfId="0" applyAlignment="1" applyBorder="1" applyFont="1">
      <alignment horizontal="center" readingOrder="0"/>
    </xf>
    <xf borderId="1" fillId="0" fontId="1" numFmtId="0" xfId="0" applyBorder="1" applyFont="1"/>
    <xf borderId="0" fillId="2" fontId="3" numFmtId="0" xfId="0" applyAlignment="1" applyFont="1">
      <alignment readingOrder="0"/>
    </xf>
    <xf borderId="4" fillId="2" fontId="1" numFmtId="49" xfId="0" applyAlignment="1" applyBorder="1" applyFont="1" applyNumberForma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2" numFmtId="164" xfId="0" applyAlignment="1" applyFont="1" applyNumberFormat="1">
      <alignment vertical="bottom"/>
    </xf>
    <xf borderId="1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/>
    </xf>
    <xf borderId="0" fillId="3" fontId="1" numFmtId="0" xfId="0" applyAlignment="1" applyFont="1">
      <alignment horizontal="center"/>
    </xf>
    <xf borderId="0" fillId="4" fontId="1" numFmtId="49" xfId="0" applyAlignment="1" applyFill="1" applyFont="1" applyNumberFormat="1">
      <alignment horizontal="center"/>
    </xf>
    <xf borderId="0" fillId="2" fontId="1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4" fillId="4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4" fillId="2" fontId="1" numFmtId="2" xfId="0" applyAlignment="1" applyBorder="1" applyFont="1" applyNumberForma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8" fillId="2" fontId="1" numFmtId="0" xfId="0" applyAlignment="1" applyBorder="1" applyFont="1">
      <alignment horizontal="center" readingOrder="0"/>
    </xf>
    <xf borderId="9" fillId="3" fontId="7" numFmtId="0" xfId="0" applyAlignment="1" applyBorder="1" applyFont="1">
      <alignment horizontal="center" readingOrder="0" vertical="center"/>
    </xf>
    <xf borderId="9" fillId="4" fontId="1" numFmtId="49" xfId="0" applyAlignment="1" applyBorder="1" applyFont="1" applyNumberFormat="1">
      <alignment horizontal="center"/>
    </xf>
    <xf borderId="9" fillId="2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4" fillId="4" fontId="4" numFmtId="0" xfId="0" applyAlignment="1" applyBorder="1" applyFont="1">
      <alignment readingOrder="0" shrinkToFit="0" wrapText="1"/>
    </xf>
    <xf borderId="0" fillId="5" fontId="2" numFmtId="164" xfId="0" applyAlignment="1" applyFill="1" applyFont="1" applyNumberFormat="1">
      <alignment vertical="bottom"/>
    </xf>
    <xf borderId="0" fillId="6" fontId="1" numFmtId="0" xfId="0" applyFill="1" applyFont="1"/>
    <xf borderId="0" fillId="0" fontId="2" numFmtId="164" xfId="0" applyAlignment="1" applyFont="1" applyNumberFormat="1">
      <alignment vertical="bottom"/>
    </xf>
    <xf borderId="0" fillId="6" fontId="1" numFmtId="0" xfId="0" applyFont="1"/>
    <xf borderId="1" fillId="6" fontId="1" numFmtId="0" xfId="0" applyBorder="1" applyFont="1"/>
    <xf borderId="1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bottom" wrapText="1"/>
    </xf>
    <xf borderId="9" fillId="7" fontId="1" numFmtId="0" xfId="0" applyAlignment="1" applyBorder="1" applyFont="1">
      <alignment horizontal="center" readingOrder="0" shrinkToFit="0" vertical="bottom" wrapText="1"/>
    </xf>
    <xf borderId="10" fillId="7" fontId="1" numFmtId="0" xfId="0" applyAlignment="1" applyBorder="1" applyFont="1">
      <alignment horizontal="center" readingOrder="0" shrinkToFit="0" wrapText="1"/>
    </xf>
    <xf borderId="9" fillId="7" fontId="4" numFmtId="0" xfId="0" applyAlignment="1" applyBorder="1" applyFont="1">
      <alignment horizontal="center" readingOrder="0" shrinkToFit="0" vertical="bottom" wrapText="1"/>
    </xf>
    <xf borderId="11" fillId="2" fontId="8" numFmtId="0" xfId="0" applyAlignment="1" applyBorder="1" applyFont="1">
      <alignment horizontal="center" readingOrder="0"/>
    </xf>
    <xf borderId="12" fillId="8" fontId="1" numFmtId="0" xfId="0" applyAlignment="1" applyBorder="1" applyFill="1" applyFont="1">
      <alignment horizontal="right" readingOrder="0" vertical="center"/>
    </xf>
    <xf borderId="12" fillId="8" fontId="1" numFmtId="165" xfId="0" applyAlignment="1" applyBorder="1" applyFont="1" applyNumberFormat="1">
      <alignment horizontal="center" readingOrder="0"/>
    </xf>
    <xf borderId="13" fillId="8" fontId="1" numFmtId="2" xfId="0" applyAlignment="1" applyBorder="1" applyFont="1" applyNumberFormat="1">
      <alignment horizontal="center" readingOrder="0"/>
    </xf>
    <xf borderId="0" fillId="8" fontId="1" numFmtId="0" xfId="0" applyAlignment="1" applyFont="1">
      <alignment horizontal="center" readingOrder="0"/>
    </xf>
    <xf borderId="14" fillId="8" fontId="1" numFmtId="0" xfId="0" applyAlignment="1" applyBorder="1" applyFont="1">
      <alignment horizontal="center"/>
    </xf>
    <xf borderId="0" fillId="9" fontId="8" numFmtId="0" xfId="0" applyAlignment="1" applyFill="1" applyFont="1">
      <alignment horizontal="center"/>
    </xf>
    <xf borderId="0" fillId="4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4" fillId="2" fontId="1" numFmtId="2" xfId="0" applyAlignment="1" applyBorder="1" applyFont="1" applyNumberFormat="1">
      <alignment horizontal="center"/>
    </xf>
    <xf borderId="0" fillId="8" fontId="1" numFmtId="0" xfId="0" applyAlignment="1" applyFont="1">
      <alignment horizontal="center"/>
    </xf>
    <xf borderId="0" fillId="9" fontId="8" numFmtId="0" xfId="0" applyAlignment="1" applyFont="1">
      <alignment horizontal="center" readingOrder="0"/>
    </xf>
    <xf borderId="9" fillId="4" fontId="1" numFmtId="2" xfId="0" applyAlignment="1" applyBorder="1" applyFont="1" applyNumberForma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9" fillId="2" fontId="1" numFmtId="2" xfId="0" applyAlignment="1" applyBorder="1" applyFont="1" applyNumberFormat="1">
      <alignment horizontal="center" readingOrder="0" vertical="center"/>
    </xf>
    <xf borderId="9" fillId="2" fontId="9" numFmtId="0" xfId="0" applyAlignment="1" applyBorder="1" applyFont="1">
      <alignment horizontal="center" readingOrder="0" vertical="center"/>
    </xf>
    <xf borderId="15" fillId="2" fontId="1" numFmtId="2" xfId="0" applyAlignment="1" applyBorder="1" applyFont="1" applyNumberFormat="1">
      <alignment horizontal="center"/>
    </xf>
    <xf borderId="9" fillId="8" fontId="1" numFmtId="0" xfId="0" applyAlignment="1" applyBorder="1" applyFont="1">
      <alignment horizontal="center"/>
    </xf>
    <xf borderId="11" fillId="10" fontId="3" numFmtId="0" xfId="0" applyAlignment="1" applyBorder="1" applyFill="1" applyFont="1">
      <alignment horizontal="center" readingOrder="0" vertical="center"/>
    </xf>
    <xf borderId="12" fillId="9" fontId="10" numFmtId="0" xfId="0" applyAlignment="1" applyBorder="1" applyFont="1">
      <alignment horizontal="right" readingOrder="0"/>
    </xf>
    <xf borderId="0" fillId="0" fontId="2" numFmtId="0" xfId="0" applyAlignment="1" applyFont="1">
      <alignment vertical="bottom"/>
    </xf>
    <xf borderId="12" fillId="9" fontId="11" numFmtId="165" xfId="0" applyAlignment="1" applyBorder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14" fillId="9" fontId="1" numFmtId="0" xfId="0" applyAlignment="1" applyBorder="1" applyFont="1">
      <alignment horizontal="center"/>
    </xf>
    <xf borderId="0" fillId="10" fontId="1" numFmtId="0" xfId="0" applyAlignment="1" applyFont="1">
      <alignment horizontal="center" readingOrder="0"/>
    </xf>
    <xf borderId="0" fillId="10" fontId="1" numFmtId="0" xfId="0" applyAlignment="1" applyFont="1">
      <alignment horizontal="center" readingOrder="0" vertical="center"/>
    </xf>
    <xf borderId="0" fillId="10" fontId="1" numFmtId="2" xfId="0" applyAlignment="1" applyFont="1" applyNumberFormat="1">
      <alignment horizontal="center" readingOrder="0" vertical="center"/>
    </xf>
    <xf borderId="14" fillId="10" fontId="1" numFmtId="2" xfId="0" applyAlignment="1" applyBorder="1" applyFont="1" applyNumberFormat="1">
      <alignment horizontal="center"/>
    </xf>
    <xf borderId="0" fillId="9" fontId="1" numFmtId="0" xfId="0" applyAlignment="1" applyFont="1">
      <alignment horizontal="center"/>
    </xf>
    <xf borderId="0" fillId="10" fontId="4" numFmtId="0" xfId="0" applyAlignment="1" applyFont="1">
      <alignment horizontal="center" readingOrder="0"/>
    </xf>
    <xf borderId="9" fillId="10" fontId="0" numFmtId="0" xfId="0" applyAlignment="1" applyBorder="1" applyFont="1">
      <alignment horizontal="center" readingOrder="0" vertical="center"/>
    </xf>
    <xf borderId="9" fillId="10" fontId="1" numFmtId="2" xfId="0" applyAlignment="1" applyBorder="1" applyFont="1" applyNumberFormat="1">
      <alignment horizontal="center" readingOrder="0" vertical="center"/>
    </xf>
    <xf borderId="9" fillId="10" fontId="1" numFmtId="0" xfId="0" applyAlignment="1" applyBorder="1" applyFont="1">
      <alignment horizontal="center" readingOrder="0" vertical="center"/>
    </xf>
    <xf borderId="15" fillId="10" fontId="1" numFmtId="2" xfId="0" applyAlignment="1" applyBorder="1" applyFont="1" applyNumberFormat="1">
      <alignment horizontal="center"/>
    </xf>
    <xf borderId="9" fillId="9" fontId="1" numFmtId="0" xfId="0" applyAlignment="1" applyBorder="1" applyFont="1">
      <alignment horizontal="center"/>
    </xf>
    <xf borderId="1" fillId="8" fontId="1" numFmtId="165" xfId="0" applyAlignment="1" applyBorder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 vertical="center"/>
    </xf>
    <xf borderId="11" fillId="9" fontId="10" numFmtId="0" xfId="0" applyAlignment="1" applyBorder="1" applyFont="1">
      <alignment horizontal="right" readingOrder="0"/>
    </xf>
    <xf borderId="0" fillId="9" fontId="11" numFmtId="165" xfId="0" applyAlignment="1" applyFont="1" applyNumberFormat="1">
      <alignment horizontal="center" readingOrder="0"/>
    </xf>
    <xf borderId="9" fillId="9" fontId="8" numFmtId="0" xfId="0" applyAlignment="1" applyBorder="1" applyFont="1">
      <alignment horizontal="center" readingOrder="0"/>
    </xf>
    <xf borderId="1" fillId="9" fontId="11" numFmtId="165" xfId="0" applyAlignment="1" applyBorder="1" applyFont="1" applyNumberFormat="1">
      <alignment horizontal="center" readingOrder="0"/>
    </xf>
    <xf borderId="16" fillId="0" fontId="2" numFmtId="164" xfId="0" applyAlignment="1" applyBorder="1" applyFont="1" applyNumberFormat="1">
      <alignment vertical="bottom"/>
    </xf>
    <xf borderId="16" fillId="0" fontId="2" numFmtId="49" xfId="0" applyAlignment="1" applyBorder="1" applyFont="1" applyNumberForma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8E7CC3"/>
      </font>
      <fill>
        <patternFill patternType="solid">
          <fgColor rgb="FF8E7CC3"/>
          <bgColor rgb="FF8E7CC3"/>
        </patternFill>
      </fill>
      <border/>
    </dxf>
    <dxf>
      <font>
        <color rgb="FFD9D2E9"/>
      </font>
      <fill>
        <patternFill patternType="solid">
          <fgColor rgb="FFD9D2E9"/>
          <bgColor rgb="FFD9D2E9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434343"/>
      </font>
      <fill>
        <patternFill patternType="solid">
          <fgColor rgb="FF434343"/>
          <bgColor rgb="FF434343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36.29"/>
    <col customWidth="1" min="3" max="3" width="17.71"/>
    <col customWidth="1" min="4" max="4" width="15.29"/>
    <col customWidth="1" min="5" max="5" width="17.86"/>
    <col customWidth="1" min="6" max="6" width="13.29"/>
    <col customWidth="1" min="7" max="7" width="12.57"/>
    <col customWidth="1" min="8" max="8" width="19.71"/>
  </cols>
  <sheetData>
    <row r="1" ht="32.25" customHeight="1">
      <c r="A1" s="1"/>
      <c r="B1" s="3" t="s">
        <v>2</v>
      </c>
      <c r="C1" s="4" t="s">
        <v>3</v>
      </c>
      <c r="D1" s="5"/>
      <c r="E1" s="5"/>
      <c r="F1" s="5"/>
      <c r="G1" s="5"/>
      <c r="H1" s="5"/>
    </row>
    <row r="2">
      <c r="A2" s="6" t="s">
        <v>4</v>
      </c>
      <c r="B2" s="7" t="s">
        <v>6</v>
      </c>
      <c r="C2" s="8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12" t="s">
        <v>12</v>
      </c>
    </row>
    <row r="3">
      <c r="A3" s="6" t="s">
        <v>15</v>
      </c>
      <c r="B3" s="7" t="s">
        <v>16</v>
      </c>
      <c r="C3" s="13">
        <v>1.0</v>
      </c>
      <c r="D3" s="14"/>
      <c r="E3" s="14"/>
      <c r="F3" s="15"/>
      <c r="G3" s="16" t="str">
        <f t="shared" ref="G3:G5" si="1">$B$2</f>
        <v>2019-02-21</v>
      </c>
      <c r="H3" s="17" t="str">
        <f t="shared" ref="H3:H5" si="2">$B$5</f>
        <v>Matt</v>
      </c>
    </row>
    <row r="4">
      <c r="A4" s="6" t="s">
        <v>21</v>
      </c>
      <c r="B4" s="7" t="s">
        <v>22</v>
      </c>
      <c r="C4" s="13">
        <v>2.0</v>
      </c>
      <c r="D4" s="18">
        <v>75.0</v>
      </c>
      <c r="E4" s="18">
        <v>450.0</v>
      </c>
      <c r="F4" s="17">
        <v>3600.0</v>
      </c>
      <c r="G4" s="16" t="str">
        <f t="shared" si="1"/>
        <v>2019-02-21</v>
      </c>
      <c r="H4" s="17" t="str">
        <f t="shared" si="2"/>
        <v>Matt</v>
      </c>
    </row>
    <row r="5">
      <c r="A5" s="19" t="s">
        <v>23</v>
      </c>
      <c r="B5" s="20" t="s">
        <v>25</v>
      </c>
      <c r="C5" s="13">
        <v>3.0</v>
      </c>
      <c r="D5" s="18">
        <v>75.0</v>
      </c>
      <c r="E5" s="17">
        <v>450.0</v>
      </c>
      <c r="F5" s="17">
        <v>3600.0</v>
      </c>
      <c r="G5" s="16" t="str">
        <f t="shared" si="1"/>
        <v>2019-02-21</v>
      </c>
      <c r="H5" s="17" t="str">
        <f t="shared" si="2"/>
        <v>Matt</v>
      </c>
    </row>
    <row r="6">
      <c r="A6" s="6" t="s">
        <v>28</v>
      </c>
      <c r="B6" s="21" t="s">
        <v>29</v>
      </c>
      <c r="C6" s="13">
        <v>4.0</v>
      </c>
      <c r="D6" s="22" t="s">
        <v>31</v>
      </c>
      <c r="E6" s="23" t="s">
        <v>31</v>
      </c>
      <c r="F6" s="23" t="s">
        <v>31</v>
      </c>
      <c r="G6" s="23" t="s">
        <v>31</v>
      </c>
      <c r="H6" s="23" t="s">
        <v>31</v>
      </c>
    </row>
    <row r="7">
      <c r="A7" s="6" t="s">
        <v>33</v>
      </c>
      <c r="B7" s="24">
        <v>1.1</v>
      </c>
      <c r="C7" s="13">
        <v>5.0</v>
      </c>
      <c r="D7" s="25"/>
      <c r="E7" s="25"/>
      <c r="F7" s="25"/>
      <c r="G7" s="16" t="str">
        <f t="shared" ref="G7:G9" si="3">$B$2</f>
        <v>2019-02-21</v>
      </c>
      <c r="H7" s="17" t="str">
        <f t="shared" ref="H7:H9" si="4">$B$5</f>
        <v>Matt</v>
      </c>
    </row>
    <row r="8">
      <c r="A8" s="6" t="s">
        <v>34</v>
      </c>
      <c r="B8" s="24">
        <v>2.1</v>
      </c>
      <c r="C8" s="13">
        <v>6.0</v>
      </c>
      <c r="D8" s="25"/>
      <c r="E8" s="25"/>
      <c r="F8" s="25"/>
      <c r="G8" s="16" t="str">
        <f t="shared" si="3"/>
        <v>2019-02-21</v>
      </c>
      <c r="H8" s="17" t="str">
        <f t="shared" si="4"/>
        <v>Matt</v>
      </c>
    </row>
    <row r="9">
      <c r="A9" s="6" t="s">
        <v>35</v>
      </c>
      <c r="B9" s="24">
        <v>2.0</v>
      </c>
      <c r="C9" s="26">
        <v>7.0</v>
      </c>
      <c r="D9" s="27"/>
      <c r="E9" s="27"/>
      <c r="F9" s="27"/>
      <c r="G9" s="28" t="str">
        <f t="shared" si="3"/>
        <v>2019-02-21</v>
      </c>
      <c r="H9" s="29" t="str">
        <f t="shared" si="4"/>
        <v>Matt</v>
      </c>
    </row>
    <row r="10">
      <c r="A10" s="6" t="s">
        <v>38</v>
      </c>
      <c r="B10" s="30" t="s">
        <v>31</v>
      </c>
    </row>
    <row r="11">
      <c r="A11" s="6" t="s">
        <v>39</v>
      </c>
      <c r="B11" s="30" t="s">
        <v>31</v>
      </c>
    </row>
    <row r="12" ht="52.5" customHeight="1">
      <c r="A12" s="31" t="s">
        <v>40</v>
      </c>
      <c r="B12" s="32" t="s">
        <v>31</v>
      </c>
    </row>
    <row r="13">
      <c r="A13" s="34"/>
      <c r="B13" s="36"/>
      <c r="C13" s="36"/>
      <c r="D13" s="36"/>
      <c r="E13" s="36"/>
      <c r="F13" s="36"/>
      <c r="G13" s="37"/>
      <c r="H13" s="38"/>
    </row>
    <row r="14" ht="36.75" customHeight="1">
      <c r="A14" s="39"/>
      <c r="B14" s="40" t="s">
        <v>43</v>
      </c>
      <c r="C14" s="40" t="s">
        <v>45</v>
      </c>
      <c r="D14" s="41" t="s">
        <v>47</v>
      </c>
      <c r="E14" s="41" t="s">
        <v>49</v>
      </c>
      <c r="F14" s="42" t="s">
        <v>52</v>
      </c>
      <c r="G14" s="42" t="s">
        <v>53</v>
      </c>
      <c r="H14" s="43" t="s">
        <v>54</v>
      </c>
    </row>
    <row r="15">
      <c r="A15" s="44" t="s">
        <v>57</v>
      </c>
      <c r="B15" s="45" t="s">
        <v>58</v>
      </c>
      <c r="C15" s="46">
        <v>13.59</v>
      </c>
      <c r="D15" s="47">
        <v>20.0</v>
      </c>
      <c r="E15" s="48"/>
      <c r="F15" s="49"/>
      <c r="G15" s="49"/>
      <c r="H15" s="17">
        <v>45.0</v>
      </c>
    </row>
    <row r="16">
      <c r="A16" s="50" t="s">
        <v>59</v>
      </c>
      <c r="B16" s="18" t="s">
        <v>60</v>
      </c>
      <c r="C16" s="18">
        <v>13.59</v>
      </c>
      <c r="D16" s="51">
        <v>20.0</v>
      </c>
      <c r="E16" s="52" t="s">
        <v>61</v>
      </c>
      <c r="F16" s="53" t="str">
        <f>IFERROR(__xludf.DUMMYFUNCTION("If(B16=""null"", ""null"", (If($E16=""gram"",(1000*C16/(VLOOKUP(B16,importrange(""1JgRKUH_ie87KAXsC-fRYEw_5SepjOgVt7njjQBETxEg"", ""Chemicals!$B$2:$H$900""),2,FALSE))/VLOOKUP(""GBL"",$B$16:$D18,2,FALSE)), ""null"")))"),"null")</f>
        <v>null</v>
      </c>
      <c r="G16" s="53" t="str">
        <f t="shared" ref="G16:G18" si="5">IFERROR(__xludf.DUMMYFUNCTION("If(B16=""null"", ""null"", (If($E16=""gram"",(1000*D16/(VLOOKUP(B16,importrange(""1JgRKUH_ie87KAXsC-fRYEw_5SepjOgVt7njjQBETxEg"", ""Chemicals!$B$2:$H$900""),2,FALSE))/VLOOKUP(""GBL"",$B$16:$D$18,3,FALSE)), ""null"")))"),"null")</f>
        <v>null</v>
      </c>
      <c r="H16" s="54"/>
    </row>
    <row r="17">
      <c r="A17" s="55" t="s">
        <v>62</v>
      </c>
      <c r="B17" s="18" t="s">
        <v>31</v>
      </c>
      <c r="C17" s="18" t="s">
        <v>31</v>
      </c>
      <c r="D17" s="56" t="s">
        <v>31</v>
      </c>
      <c r="E17" s="52" t="s">
        <v>31</v>
      </c>
      <c r="F17" s="53" t="str">
        <f>IFERROR(__xludf.DUMMYFUNCTION("If(B17=""null"", ""null"", (If($E17=""gram"",(1000*C17/(VLOOKUP(B17,importrange(""1JgRKUH_ie87KAXsC-fRYEw_5SepjOgVt7njjQBETxEg"", ""Chemicals!$B$2:$H$900""),2,FALSE))/VLOOKUP(""GBL"",$B$16:$D18,2,FALSE)), ""null"")))"),"null")</f>
        <v>null</v>
      </c>
      <c r="G17" s="53" t="str">
        <f t="shared" si="5"/>
        <v>null</v>
      </c>
      <c r="H17" s="54"/>
    </row>
    <row r="18">
      <c r="A18" s="55" t="s">
        <v>63</v>
      </c>
      <c r="B18" s="57" t="s">
        <v>31</v>
      </c>
      <c r="C18" s="58" t="s">
        <v>31</v>
      </c>
      <c r="D18" s="56" t="s">
        <v>31</v>
      </c>
      <c r="E18" s="59" t="s">
        <v>31</v>
      </c>
      <c r="F18" s="60" t="str">
        <f>IFERROR(__xludf.DUMMYFUNCTION("If(B18=""null"", ""null"", (If($E18=""gram"",(1000*C18/(VLOOKUP(B18,importrange(""1JgRKUH_ie87KAXsC-fRYEw_5SepjOgVt7njjQBETxEg"", ""Chemicals!$B$2:$H$900""),2,FALSE))/VLOOKUP(""GBL"",$B$16:$D18,2,FALSE)), ""null"")))"),"null")</f>
        <v>null</v>
      </c>
      <c r="G18" s="60" t="str">
        <f t="shared" si="5"/>
        <v>null</v>
      </c>
      <c r="H18" s="61"/>
    </row>
    <row r="19">
      <c r="A19" s="62" t="s">
        <v>67</v>
      </c>
      <c r="B19" s="63" t="s">
        <v>69</v>
      </c>
      <c r="C19" s="65">
        <v>26.48</v>
      </c>
      <c r="D19" s="47">
        <v>48.0</v>
      </c>
      <c r="E19" s="66"/>
      <c r="F19" s="67"/>
      <c r="G19" s="67"/>
      <c r="H19" s="68">
        <v>45.0</v>
      </c>
    </row>
    <row r="20">
      <c r="A20" s="50" t="s">
        <v>59</v>
      </c>
      <c r="B20" s="69" t="s">
        <v>70</v>
      </c>
      <c r="C20" s="70">
        <v>27.1</v>
      </c>
      <c r="D20" s="51">
        <v>27.11</v>
      </c>
      <c r="E20" s="69" t="s">
        <v>71</v>
      </c>
      <c r="F20" s="71">
        <f t="shared" ref="F20:F22" si="6">IFERROR(__xludf.DUMMYFUNCTION("If(B20=""null"", ""null"", (If($E20=""gram"",(1000*C20/(VLOOKUP(B20,importrange(""1JgRKUH_ie87KAXsC-fRYEw_5SepjOgVt7njjQBETxEg"", ""Chemicals!$B$2:$H$900""),2,FALSE))/VLOOKUP(""GBL"",$B$20:$D$22,2,FALSE)), ""null"")))"),2.219938607147278)</f>
        <v>2.219938607</v>
      </c>
      <c r="G20" s="71">
        <f t="shared" ref="G20:G22" si="7">IFERROR(__xludf.DUMMYFUNCTION("If(B20=""null"", ""null"", (If($E20=""gram"",(1000*D20/(VLOOKUP(B20,importrange(""1JgRKUH_ie87KAXsC-fRYEw_5SepjOgVt7njjQBETxEg"", ""Chemicals!$B$2:$H$900""),2,FALSE))/VLOOKUP(""GBL"",$B$20:$D$22,3,FALSE)), ""null"")))"),1.8969569619580011)</f>
        <v>1.896956962</v>
      </c>
      <c r="H20" s="72"/>
    </row>
    <row r="21">
      <c r="A21" s="55" t="s">
        <v>62</v>
      </c>
      <c r="B21" s="73" t="s">
        <v>72</v>
      </c>
      <c r="C21" s="70">
        <v>18.41</v>
      </c>
      <c r="D21" s="51">
        <v>18.42</v>
      </c>
      <c r="E21" s="69" t="s">
        <v>71</v>
      </c>
      <c r="F21" s="71">
        <f t="shared" si="6"/>
        <v>2.219375892</v>
      </c>
      <c r="G21" s="71">
        <f t="shared" si="7"/>
        <v>1.896806322</v>
      </c>
      <c r="H21" s="72"/>
    </row>
    <row r="22">
      <c r="A22" s="55" t="s">
        <v>63</v>
      </c>
      <c r="B22" s="74" t="s">
        <v>60</v>
      </c>
      <c r="C22" s="75">
        <v>26.48</v>
      </c>
      <c r="D22" s="56">
        <v>31.0</v>
      </c>
      <c r="E22" s="76" t="s">
        <v>61</v>
      </c>
      <c r="F22" s="77" t="str">
        <f t="shared" si="6"/>
        <v>null</v>
      </c>
      <c r="G22" s="77" t="str">
        <f t="shared" si="7"/>
        <v>null</v>
      </c>
      <c r="H22" s="78"/>
    </row>
    <row r="23">
      <c r="A23" s="44" t="s">
        <v>73</v>
      </c>
      <c r="B23" s="45" t="s">
        <v>58</v>
      </c>
      <c r="C23" s="79">
        <v>16.93</v>
      </c>
      <c r="D23" s="47">
        <v>55.0</v>
      </c>
      <c r="E23" s="48"/>
      <c r="F23" s="49"/>
      <c r="G23" s="49"/>
      <c r="H23" s="17">
        <v>45.0</v>
      </c>
    </row>
    <row r="24">
      <c r="A24" s="50" t="s">
        <v>59</v>
      </c>
      <c r="B24" s="18" t="s">
        <v>72</v>
      </c>
      <c r="C24" s="18">
        <v>16.13</v>
      </c>
      <c r="D24" s="51">
        <v>16.13</v>
      </c>
      <c r="E24" s="52" t="s">
        <v>71</v>
      </c>
      <c r="F24" s="53">
        <f t="shared" ref="F24:F26" si="8">IFERROR(__xludf.DUMMYFUNCTION("If(B24=""null"", ""null"", (If($E24=""gram"",(1000*C24/(VLOOKUP(B24,importrange(""1JgRKUH_ie87KAXsC-fRYEw_5SepjOgVt7njjQBETxEg"", ""Chemicals!$B$2:$H$900""),2,FALSE))/VLOOKUP(""GBL"",$B$24:$D$26,2,FALSE)), ""null"")))"),3.04139246524337)</f>
        <v>3.041392465</v>
      </c>
      <c r="G24" s="53">
        <f t="shared" ref="G24:G26" si="9">IFERROR(__xludf.DUMMYFUNCTION("If(B24=""null"", ""null"", (If($E24=""gram"",(1000*D24/(VLOOKUP(B24,importrange(""1JgRKUH_ie87KAXsC-fRYEw_5SepjOgVt7njjQBETxEg"", ""Chemicals!$B$2:$H$900""),2,FALSE))/VLOOKUP(""GBL"",$B$24:$D$26,3,FALSE)), ""null"")))"),0.9361958988467319)</f>
        <v>0.9361958988</v>
      </c>
      <c r="H24" s="54"/>
    </row>
    <row r="25">
      <c r="A25" s="55" t="s">
        <v>62</v>
      </c>
      <c r="B25" s="18" t="s">
        <v>60</v>
      </c>
      <c r="C25" s="18">
        <v>16.93</v>
      </c>
      <c r="D25" s="80">
        <v>55.0</v>
      </c>
      <c r="E25" s="52" t="s">
        <v>61</v>
      </c>
      <c r="F25" s="53" t="str">
        <f t="shared" si="8"/>
        <v>null</v>
      </c>
      <c r="G25" s="53" t="str">
        <f t="shared" si="9"/>
        <v>null</v>
      </c>
      <c r="H25" s="54"/>
    </row>
    <row r="26">
      <c r="A26" s="55" t="s">
        <v>63</v>
      </c>
      <c r="B26" s="57" t="s">
        <v>31</v>
      </c>
      <c r="C26" s="58" t="s">
        <v>31</v>
      </c>
      <c r="D26" s="56" t="s">
        <v>31</v>
      </c>
      <c r="E26" s="59" t="s">
        <v>31</v>
      </c>
      <c r="F26" s="60" t="str">
        <f t="shared" si="8"/>
        <v>null</v>
      </c>
      <c r="G26" s="60" t="str">
        <f t="shared" si="9"/>
        <v>null</v>
      </c>
      <c r="H26" s="61"/>
    </row>
    <row r="27">
      <c r="A27" s="62" t="s">
        <v>74</v>
      </c>
      <c r="B27" s="81" t="s">
        <v>69</v>
      </c>
      <c r="C27" s="82"/>
      <c r="D27" s="47" t="s">
        <v>31</v>
      </c>
      <c r="E27" s="66"/>
      <c r="F27" s="67"/>
      <c r="G27" s="67"/>
      <c r="H27" s="68" t="s">
        <v>31</v>
      </c>
    </row>
    <row r="28">
      <c r="A28" s="50" t="s">
        <v>59</v>
      </c>
      <c r="B28" s="69" t="s">
        <v>31</v>
      </c>
      <c r="C28" s="70" t="s">
        <v>31</v>
      </c>
      <c r="D28" s="80" t="s">
        <v>31</v>
      </c>
      <c r="E28" s="69" t="s">
        <v>31</v>
      </c>
      <c r="F28" s="71" t="str">
        <f t="shared" ref="F28:F30" si="10">IFERROR(__xludf.DUMMYFUNCTION("If(B28=""null"", ""null"", (If($E28=""gram"",(1000*C28/(VLOOKUP(B28,importrange(""1JgRKUH_ie87KAXsC-fRYEw_5SepjOgVt7njjQBETxEg"", ""Chemicals!$B$2:$H$900""),2,FALSE))/VLOOKUP(""GBL"",$B$28:$D$30,2,FALSE)), ""null"")))"),"null")</f>
        <v>null</v>
      </c>
      <c r="G28" s="71" t="str">
        <f t="shared" ref="G28:G30" si="11">IFERROR(__xludf.DUMMYFUNCTION("If(B28=""null"", ""null"", (If($E28=""gram"",(1000*D28/(VLOOKUP(B28,importrange(""1JgRKUH_ie87KAXsC-fRYEw_5SepjOgVt7njjQBETxEg"", ""Chemicals!$B$2:$H$900""),2,FALSE))/VLOOKUP(""GBL"",$B$28:$D$30,3,FALSE)), ""null"")))"),"null")</f>
        <v>null</v>
      </c>
      <c r="H28" s="72"/>
    </row>
    <row r="29">
      <c r="A29" s="55" t="s">
        <v>62</v>
      </c>
      <c r="B29" s="73" t="s">
        <v>31</v>
      </c>
      <c r="C29" s="70" t="s">
        <v>31</v>
      </c>
      <c r="D29" s="80" t="s">
        <v>31</v>
      </c>
      <c r="E29" s="69" t="s">
        <v>31</v>
      </c>
      <c r="F29" s="71" t="str">
        <f t="shared" si="10"/>
        <v>null</v>
      </c>
      <c r="G29" s="71" t="str">
        <f t="shared" si="11"/>
        <v>null</v>
      </c>
      <c r="H29" s="72"/>
    </row>
    <row r="30">
      <c r="A30" s="83" t="s">
        <v>63</v>
      </c>
      <c r="B30" s="74" t="s">
        <v>31</v>
      </c>
      <c r="C30" s="75" t="s">
        <v>31</v>
      </c>
      <c r="D30" s="56" t="s">
        <v>31</v>
      </c>
      <c r="E30" s="76" t="s">
        <v>31</v>
      </c>
      <c r="F30" s="77" t="str">
        <f t="shared" si="10"/>
        <v>null</v>
      </c>
      <c r="G30" s="77" t="str">
        <f t="shared" si="11"/>
        <v>null</v>
      </c>
      <c r="H30" s="78"/>
    </row>
    <row r="31">
      <c r="A31" s="44" t="s">
        <v>75</v>
      </c>
      <c r="B31" s="45" t="s">
        <v>58</v>
      </c>
      <c r="C31" s="79"/>
      <c r="D31" s="47" t="s">
        <v>31</v>
      </c>
      <c r="E31" s="48"/>
      <c r="F31" s="49"/>
      <c r="G31" s="49"/>
      <c r="H31" s="17" t="s">
        <v>31</v>
      </c>
    </row>
    <row r="32">
      <c r="A32" s="50" t="s">
        <v>59</v>
      </c>
      <c r="B32" s="18" t="s">
        <v>31</v>
      </c>
      <c r="C32" s="18" t="s">
        <v>31</v>
      </c>
      <c r="D32" s="80" t="s">
        <v>31</v>
      </c>
      <c r="E32" s="52" t="s">
        <v>31</v>
      </c>
      <c r="F32" s="53" t="str">
        <f t="shared" ref="F32:G32" si="12">IFERROR(__xludf.DUMMYFUNCTION("If(B32=""null"", ""null"", (If($E32=""gram"",(1000*C32/(VLOOKUP(B32,importrange(""1JgRKUH_ie87KAXsC-fRYEw_5SepjOgVt7njjQBETxEg"", ""Chemicals!$B$2:$H$900""),2,FALSE))/VLOOKUP(""GBL"",$B$32:$D$34,2,FALSE)), ""null"")))"),"null")</f>
        <v>null</v>
      </c>
      <c r="G32" s="53" t="str">
        <f t="shared" si="12"/>
        <v>null</v>
      </c>
      <c r="H32" s="54"/>
    </row>
    <row r="33">
      <c r="A33" s="55" t="s">
        <v>62</v>
      </c>
      <c r="B33" s="18" t="s">
        <v>31</v>
      </c>
      <c r="C33" s="18" t="s">
        <v>31</v>
      </c>
      <c r="D33" s="80" t="s">
        <v>31</v>
      </c>
      <c r="E33" s="52" t="s">
        <v>31</v>
      </c>
      <c r="F33" s="53" t="str">
        <f t="shared" ref="F33:G33" si="13">IFERROR(__xludf.DUMMYFUNCTION("If(B33=""null"", ""null"", (If($E33=""gram"",(1000*C33/(VLOOKUP(B33,importrange(""1JgRKUH_ie87KAXsC-fRYEw_5SepjOgVt7njjQBETxEg"", ""Chemicals!$B$2:$H$900""),2,FALSE))/VLOOKUP(""GBL"",$B$32:$D$34,2,FALSE)), ""null"")))"),"null")</f>
        <v>null</v>
      </c>
      <c r="G33" s="53" t="str">
        <f t="shared" si="13"/>
        <v>null</v>
      </c>
      <c r="H33" s="54"/>
    </row>
    <row r="34">
      <c r="A34" s="83" t="s">
        <v>63</v>
      </c>
      <c r="B34" s="57" t="s">
        <v>31</v>
      </c>
      <c r="C34" s="58" t="s">
        <v>31</v>
      </c>
      <c r="D34" s="56" t="s">
        <v>31</v>
      </c>
      <c r="E34" s="59" t="s">
        <v>31</v>
      </c>
      <c r="F34" s="60" t="str">
        <f t="shared" ref="F34:G34" si="14">IFERROR(__xludf.DUMMYFUNCTION("If(B34=""null"", ""null"", (If($E34=""gram"",(1000*C34/(VLOOKUP(B34,importrange(""1JgRKUH_ie87KAXsC-fRYEw_5SepjOgVt7njjQBETxEg"", ""Chemicals!$B$2:$H$900""),2,FALSE))/VLOOKUP(""GBL"",$B$32:$D$34,2,FALSE)), ""null"")))"),"null")</f>
        <v>null</v>
      </c>
      <c r="G34" s="60" t="str">
        <f t="shared" si="14"/>
        <v>null</v>
      </c>
      <c r="H34" s="61"/>
    </row>
    <row r="35">
      <c r="A35" s="62" t="s">
        <v>76</v>
      </c>
      <c r="B35" s="63" t="s">
        <v>69</v>
      </c>
      <c r="C35" s="84">
        <v>15.65</v>
      </c>
      <c r="D35" s="47">
        <v>16.0</v>
      </c>
      <c r="E35" s="66"/>
      <c r="F35" s="67"/>
      <c r="G35" s="67"/>
      <c r="H35" s="68">
        <v>22.0</v>
      </c>
    </row>
    <row r="36">
      <c r="A36" s="50" t="s">
        <v>59</v>
      </c>
      <c r="B36" s="70" t="s">
        <v>77</v>
      </c>
      <c r="C36" s="70">
        <v>15.65</v>
      </c>
      <c r="D36" s="80">
        <v>16.0</v>
      </c>
      <c r="E36" s="69" t="s">
        <v>61</v>
      </c>
      <c r="F36" s="71" t="str">
        <f t="shared" ref="F36:G36" si="15">IFERROR(__xludf.DUMMYFUNCTION("If(B36=""null"", ""null"", (If($E36=""gram"",(1000*C36/(VLOOKUP(B36,importrange(""1JgRKUH_ie87KAXsC-fRYEw_5SepjOgVt7njjQBETxEg"", ""Chemicals!$B$2:$H$900""),2,FALSE))/VLOOKUP(""GBL"",$B$36:$D$38,2,FALSE)), ""null"")))"),"null")</f>
        <v>null</v>
      </c>
      <c r="G36" s="71" t="str">
        <f t="shared" si="15"/>
        <v>null</v>
      </c>
      <c r="H36" s="72"/>
    </row>
    <row r="37">
      <c r="A37" s="55" t="s">
        <v>62</v>
      </c>
      <c r="B37" s="70" t="s">
        <v>31</v>
      </c>
      <c r="C37" s="70" t="s">
        <v>31</v>
      </c>
      <c r="D37" s="80" t="s">
        <v>31</v>
      </c>
      <c r="E37" s="69" t="s">
        <v>31</v>
      </c>
      <c r="F37" s="71" t="str">
        <f t="shared" ref="F37:G37" si="16">IFERROR(__xludf.DUMMYFUNCTION("If(B37=""null"", ""null"", (If($E37=""gram"",(1000*C37/(VLOOKUP(B37,importrange(""1JgRKUH_ie87KAXsC-fRYEw_5SepjOgVt7njjQBETxEg"", ""Chemicals!$B$2:$H$900""),2,FALSE))/VLOOKUP(""GBL"",$B$36:$D$38,2,FALSE)), ""null"")))"),"null")</f>
        <v>null</v>
      </c>
      <c r="G37" s="71" t="str">
        <f t="shared" si="16"/>
        <v>null</v>
      </c>
      <c r="H37" s="72"/>
    </row>
    <row r="38">
      <c r="A38" s="83" t="s">
        <v>63</v>
      </c>
      <c r="B38" s="70" t="s">
        <v>31</v>
      </c>
      <c r="C38" s="75" t="s">
        <v>31</v>
      </c>
      <c r="D38" s="56" t="s">
        <v>31</v>
      </c>
      <c r="E38" s="76" t="s">
        <v>31</v>
      </c>
      <c r="F38" s="77" t="str">
        <f t="shared" ref="F38:G38" si="17">IFERROR(__xludf.DUMMYFUNCTION("If(B38=""null"", ""null"", (If($E38=""gram"",(1000*C38/(VLOOKUP(B38,importrange(""1JgRKUH_ie87KAXsC-fRYEw_5SepjOgVt7njjQBETxEg"", ""Chemicals!$B$2:$H$900""),2,FALSE))/VLOOKUP(""GBL"",$B$36:$D$38,2,FALSE)), ""null"")))"),"null")</f>
        <v>null</v>
      </c>
      <c r="G38" s="77" t="str">
        <f t="shared" si="17"/>
        <v>null</v>
      </c>
      <c r="H38" s="78"/>
    </row>
    <row r="39">
      <c r="A39" s="44" t="s">
        <v>78</v>
      </c>
      <c r="B39" s="45" t="s">
        <v>58</v>
      </c>
      <c r="C39" s="79">
        <v>8.96</v>
      </c>
      <c r="D39" s="47">
        <v>10.0</v>
      </c>
      <c r="E39" s="48"/>
      <c r="F39" s="49"/>
      <c r="G39" s="49"/>
      <c r="H39" s="17">
        <v>22.0</v>
      </c>
    </row>
    <row r="40">
      <c r="A40" s="50" t="s">
        <v>59</v>
      </c>
      <c r="B40" s="18" t="s">
        <v>77</v>
      </c>
      <c r="C40" s="18">
        <v>8.96</v>
      </c>
      <c r="D40" s="51">
        <v>10.0</v>
      </c>
      <c r="E40" s="52" t="s">
        <v>61</v>
      </c>
      <c r="F40" s="53" t="str">
        <f t="shared" ref="F40:G40" si="18">IFERROR(__xludf.DUMMYFUNCTION("If(B40=""null"", ""null"", (If($E40=""gram"",(1000*C40/(VLOOKUP(B40,importrange(""1JgRKUH_ie87KAXsC-fRYEw_5SepjOgVt7njjQBETxEg"", ""Chemicals!$B$2:$H$900""),2,FALSE))/VLOOKUP(""GBL"",$B$40:$D$42,2,FALSE)), ""null"")))"),"null")</f>
        <v>null</v>
      </c>
      <c r="G40" s="53" t="str">
        <f t="shared" si="18"/>
        <v>null</v>
      </c>
      <c r="H40" s="54"/>
    </row>
    <row r="41">
      <c r="A41" s="55" t="s">
        <v>62</v>
      </c>
      <c r="B41" s="18" t="s">
        <v>31</v>
      </c>
      <c r="C41" s="18" t="s">
        <v>31</v>
      </c>
      <c r="D41" s="80" t="s">
        <v>31</v>
      </c>
      <c r="E41" s="52" t="s">
        <v>31</v>
      </c>
      <c r="F41" s="53" t="str">
        <f t="shared" ref="F41:G41" si="19">IFERROR(__xludf.DUMMYFUNCTION("If(B41=""null"", ""null"", (If($E41=""gram"",(1000*C41/(VLOOKUP(B41,importrange(""1JgRKUH_ie87KAXsC-fRYEw_5SepjOgVt7njjQBETxEg"", ""Chemicals!$B$2:$H$900""),2,FALSE))/VLOOKUP(""GBL"",$B$40:$D$42,2,FALSE)), ""null"")))"),"null")</f>
        <v>null</v>
      </c>
      <c r="G41" s="53" t="str">
        <f t="shared" si="19"/>
        <v>null</v>
      </c>
      <c r="H41" s="54"/>
    </row>
    <row r="42">
      <c r="A42" s="55" t="s">
        <v>63</v>
      </c>
      <c r="B42" s="57" t="s">
        <v>31</v>
      </c>
      <c r="C42" s="58" t="s">
        <v>31</v>
      </c>
      <c r="D42" s="56" t="s">
        <v>31</v>
      </c>
      <c r="E42" s="59" t="s">
        <v>31</v>
      </c>
      <c r="F42" s="60" t="str">
        <f t="shared" ref="F42:G42" si="20">IFERROR(__xludf.DUMMYFUNCTION("If(B42=""null"", ""null"", (If($E42=""gram"",(1000*C42/(VLOOKUP(B42,importrange(""1JgRKUH_ie87KAXsC-fRYEw_5SepjOgVt7njjQBETxEg"", ""Chemicals!$B$2:$H$900""),2,FALSE))/VLOOKUP(""GBL"",$B$40:$D$42,2,FALSE)), ""null"")))"),"null")</f>
        <v>null</v>
      </c>
      <c r="G42" s="60" t="str">
        <f t="shared" si="20"/>
        <v>null</v>
      </c>
      <c r="H42" s="61"/>
    </row>
  </sheetData>
  <mergeCells count="4">
    <mergeCell ref="C1:H1"/>
    <mergeCell ref="B10:H10"/>
    <mergeCell ref="B11:H11"/>
    <mergeCell ref="B12:H12"/>
  </mergeCells>
  <conditionalFormatting sqref="D16:D18 D20:D22 D24:D26 D28:D30 D32:D34 D36:D38 D40:D42">
    <cfRule type="containsBlanks" dxfId="0" priority="1">
      <formula>LEN(TRIM(D16))=0</formula>
    </cfRule>
  </conditionalFormatting>
  <conditionalFormatting sqref="B5">
    <cfRule type="containsBlanks" dxfId="1" priority="2">
      <formula>LEN(TRIM(B5))=0</formula>
    </cfRule>
  </conditionalFormatting>
  <conditionalFormatting sqref="G3:H5 G7:H9">
    <cfRule type="containsBlanks" dxfId="0" priority="3">
      <formula>LEN(TRIM(G3))=0</formula>
    </cfRule>
  </conditionalFormatting>
  <conditionalFormatting sqref="H19 B20:C22 E20:G22 H27 B28:C30 E28:G30 A35:A42 H35 B36:C38 E36:G38">
    <cfRule type="containsText" dxfId="2" priority="4" operator="containsText" text="null">
      <formula>NOT(ISERROR(SEARCH(("null"),(H19))))</formula>
    </cfRule>
  </conditionalFormatting>
  <conditionalFormatting sqref="H15 B16:C18 E16:G18 H23 B24:C26 E24:G26 E31:E34 H31 B32:C34 F32:G34 E39:E42 H39 B40:C42 F40:G42">
    <cfRule type="containsText" dxfId="3" priority="5" operator="containsText" text="null">
      <formula>NOT(ISERROR(SEARCH(("null"),(H15))))</formula>
    </cfRule>
  </conditionalFormatting>
  <conditionalFormatting sqref="D15 D19 D23 D27 D31 D35 D39">
    <cfRule type="containsBlanks" dxfId="0" priority="6">
      <formula>LEN(TRIM(D15))=0</formula>
    </cfRule>
  </conditionalFormatting>
  <conditionalFormatting sqref="D15 D23 D31 D39">
    <cfRule type="cellIs" dxfId="4" priority="7" operator="equal">
      <formula>"null"</formula>
    </cfRule>
  </conditionalFormatting>
  <conditionalFormatting sqref="D19 D27 D35">
    <cfRule type="cellIs" dxfId="5" priority="8" operator="equal">
      <formula>"null"</formula>
    </cfRule>
  </conditionalFormatting>
  <conditionalFormatting sqref="D17:D18 D26 D28:D30 D32:D34 D37:D38 D40:D42">
    <cfRule type="cellIs" dxfId="6" priority="9" operator="equal">
      <formula>"null"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4" width="38.29"/>
    <col customWidth="1" min="5" max="5" width="46.43"/>
    <col customWidth="1" min="6" max="6" width="40.14"/>
    <col customWidth="1" min="7" max="7" width="50.14"/>
    <col customWidth="1" min="8" max="8" width="24.0"/>
  </cols>
  <sheetData>
    <row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 t="s">
        <v>5</v>
      </c>
      <c r="D3" s="11" t="str">
        <f>Entry!$B$2</f>
        <v>2019-02-21</v>
      </c>
      <c r="E3" s="2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 t="s">
        <v>14</v>
      </c>
      <c r="D4" s="11" t="str">
        <f>Entry!$B$3</f>
        <v>17_06_08</v>
      </c>
      <c r="E4" s="2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 t="s">
        <v>17</v>
      </c>
      <c r="D5" s="11" t="str">
        <f>Entry!$B$4</f>
        <v>LBL</v>
      </c>
      <c r="E5" s="2" t="s">
        <v>13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 t="s">
        <v>18</v>
      </c>
      <c r="D6" s="11" t="str">
        <f>Entry!$B$5</f>
        <v>Matt</v>
      </c>
      <c r="E6" s="2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 t="s">
        <v>19</v>
      </c>
      <c r="D7" s="11" t="str">
        <f>Entry!$B$6</f>
        <v>2019-02-21T17_06_08.308424+00_00_LBL</v>
      </c>
      <c r="E7" s="2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 t="s">
        <v>20</v>
      </c>
      <c r="D8" s="11">
        <f>Entry!$B$7</f>
        <v>1.1</v>
      </c>
      <c r="E8" s="2" t="s">
        <v>13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 t="s">
        <v>24</v>
      </c>
      <c r="D9" s="11">
        <f>Entry!$B$8</f>
        <v>2.1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 t="s">
        <v>30</v>
      </c>
      <c r="D12" s="11" t="str">
        <f>Entry!$B$2</f>
        <v>2019-02-21</v>
      </c>
      <c r="E12" s="2" t="s">
        <v>13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 t="s">
        <v>32</v>
      </c>
      <c r="D13" s="11">
        <f>Entry!$C$3</f>
        <v>1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 t="s">
        <v>18</v>
      </c>
      <c r="D14" s="11" t="str">
        <f>Entry!$H$3</f>
        <v>Matt</v>
      </c>
      <c r="E14" s="2" t="s">
        <v>13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 t="s">
        <v>36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 t="s">
        <v>37</v>
      </c>
      <c r="E16" s="11" t="str">
        <f>IFERROR(__xludf.DUMMYFUNCTION("VLOOKUP(Entry!$B$16, importrange(""1JgRKUH_ie87KAXsC-fRYEw_5SepjOgVt7njjQBETxEg"", ""Chemicals!$B$2:$H$200""), 5, FALSE)")," ""YEJRWHAVMIAJKC-UHFFFAOYSA-N""")</f>
        <v>YEJRWHAVMIAJKC-UHFFFAOYSA-N</v>
      </c>
      <c r="F16" s="2" t="s">
        <v>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 t="s">
        <v>41</v>
      </c>
      <c r="E17" s="33" t="str">
        <f>Concatenate(Entry!$C$16,":",Entry!$E$16)</f>
        <v>13.59:milliliter</v>
      </c>
      <c r="F17" s="2" t="s">
        <v>13</v>
      </c>
      <c r="G17" s="3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 t="s">
        <v>42</v>
      </c>
      <c r="E18" s="33" t="str">
        <f>Concatenate(Entry!$D$16,":",Entry!$E$16)</f>
        <v>20:milliliter</v>
      </c>
      <c r="F18" s="2"/>
      <c r="G18" s="3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 t="s">
        <v>44</v>
      </c>
      <c r="D19" s="2"/>
      <c r="E19" s="11"/>
      <c r="F19" s="2"/>
      <c r="G19" s="3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 t="s">
        <v>46</v>
      </c>
      <c r="D20" s="2"/>
      <c r="E20" s="2"/>
      <c r="F20" s="2"/>
      <c r="G20" s="3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 t="s">
        <v>48</v>
      </c>
      <c r="E21" s="2" t="s">
        <v>50</v>
      </c>
      <c r="F21" s="2" t="s">
        <v>13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 t="s">
        <v>51</v>
      </c>
      <c r="E22" s="11" t="str">
        <f>CONCATENATE(Entry!$H$15,":","celsius")</f>
        <v>45:celsius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 t="s">
        <v>55</v>
      </c>
      <c r="D23" s="2"/>
      <c r="E23" s="11"/>
      <c r="F23" s="2"/>
      <c r="G23" s="3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 t="s">
        <v>56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 t="s">
        <v>30</v>
      </c>
      <c r="D25" s="11" t="str">
        <f>Entry!$B$2</f>
        <v>2019-02-21</v>
      </c>
      <c r="E25" s="2" t="s">
        <v>13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 t="s">
        <v>32</v>
      </c>
      <c r="D26" s="11">
        <f>Entry!$C$4</f>
        <v>2</v>
      </c>
      <c r="E26" s="2" t="s">
        <v>13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 t="s">
        <v>18</v>
      </c>
      <c r="D27" s="11" t="str">
        <f>Entry!$H$4</f>
        <v>Matt</v>
      </c>
      <c r="E27" s="2" t="s">
        <v>13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 t="s">
        <v>36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 t="s">
        <v>37</v>
      </c>
      <c r="E29" s="11" t="str">
        <f>IFERROR(__xludf.DUMMYFUNCTION("VLOOKUP(Entry!$B$20, importrange(""1JgRKUH_ie87KAXsC-fRYEw_5SepjOgVt7njjQBETxEg"", ""Chemicals!$B$2:$H$200""), 5, FALSE)")," ""RQQRAHKHDFPBMC-UHFFFAOYSA-L""")</f>
        <v>RQQRAHKHDFPBMC-UHFFFAOYSA-L</v>
      </c>
      <c r="F29" s="2" t="s">
        <v>13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 t="s">
        <v>41</v>
      </c>
      <c r="E30" s="33" t="str">
        <f>Concatenate(Entry!$C$20,":",Entry!$E$20)</f>
        <v>27.1:gram</v>
      </c>
      <c r="F30" s="2" t="s">
        <v>13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 t="s">
        <v>42</v>
      </c>
      <c r="E31" s="33" t="str">
        <f>Concatenate(Entry!$D$20,":",Entry!$E$20)</f>
        <v>27.11:gram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 t="s">
        <v>56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 t="s">
        <v>37</v>
      </c>
      <c r="E33" s="11" t="str">
        <f>IFERROR(__xludf.DUMMYFUNCTION("VLOOKUP(Entry!$B$21, importrange(""1JgRKUH_ie87KAXsC-fRYEw_5SepjOgVt7njjQBETxEg"", ""Chemicals!$B$2:$H$2000""), 5, FALSE)")," ""PXWSKGXEHZHFJA-UHFFFAOYSA-N""")</f>
        <v>PXWSKGXEHZHFJA-UHFFFAOYSA-N</v>
      </c>
      <c r="F33" s="2" t="s">
        <v>13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 t="s">
        <v>41</v>
      </c>
      <c r="E34" s="33" t="str">
        <f>Concatenate(Entry!$C$21,":",Entry!$E$21)</f>
        <v>18.41:gram</v>
      </c>
      <c r="F34" s="2" t="s">
        <v>13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 t="s">
        <v>42</v>
      </c>
      <c r="E35" s="33" t="str">
        <f>Concatenate(Entry!$D$21,":",Entry!$E$21)</f>
        <v>18.42:gram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 t="s">
        <v>56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 t="s">
        <v>37</v>
      </c>
      <c r="E37" s="11" t="str">
        <f>IFERROR(__xludf.DUMMYFUNCTION("VLOOKUP(Entry!$B$22, importrange(""1JgRKUH_ie87KAXsC-fRYEw_5SepjOgVt7njjQBETxEg"", ""Chemicals!$B$2:$H$2000""), 5, FALSE)")," ""YEJRWHAVMIAJKC-UHFFFAOYSA-N""")</f>
        <v>YEJRWHAVMIAJKC-UHFFFAOYSA-N</v>
      </c>
      <c r="F37" s="2" t="s">
        <v>13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 t="s">
        <v>41</v>
      </c>
      <c r="E38" s="33" t="str">
        <f>Concatenate(Entry!$C$22,":",Entry!$E$22)</f>
        <v>26.48:milliliter</v>
      </c>
      <c r="F38" s="2" t="s">
        <v>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 t="s">
        <v>42</v>
      </c>
      <c r="E39" s="33" t="str">
        <f>Concatenate(Entry!$D$22,":",Entry!$E$22)</f>
        <v>31:milliliter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 t="s">
        <v>44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 t="s">
        <v>46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 t="s">
        <v>48</v>
      </c>
      <c r="E42" s="2" t="s">
        <v>64</v>
      </c>
      <c r="F42" s="2" t="s">
        <v>13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 t="s">
        <v>65</v>
      </c>
      <c r="E43" s="11" t="str">
        <f>CONCATENATE(Entry!$D$4,":","celsius")</f>
        <v>75:celsius</v>
      </c>
      <c r="F43" s="2" t="s">
        <v>13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 t="s">
        <v>66</v>
      </c>
      <c r="E44" s="11" t="str">
        <f>CONCATENATE(Entry!$E$4,":","rpm")</f>
        <v>450:rpm</v>
      </c>
      <c r="F44" s="2" t="s">
        <v>13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 t="s">
        <v>68</v>
      </c>
      <c r="E45" s="11" t="str">
        <f>CONCATENATE(Entry!$F$4,":","second")</f>
        <v>3600:second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 t="s">
        <v>56</v>
      </c>
      <c r="D46" s="2"/>
      <c r="E46" s="2"/>
      <c r="F46" s="2"/>
      <c r="G46" s="2"/>
      <c r="H46" s="2"/>
      <c r="I46" s="64"/>
      <c r="J46" s="6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 t="s">
        <v>48</v>
      </c>
      <c r="E47" s="2" t="s">
        <v>50</v>
      </c>
      <c r="F47" s="2" t="s">
        <v>13</v>
      </c>
      <c r="G47" s="2"/>
      <c r="H47" s="2"/>
      <c r="I47" s="6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 t="s">
        <v>65</v>
      </c>
      <c r="E48" s="11" t="str">
        <f>CONCATENATE(Entry!$H$19,":","celsius")</f>
        <v>45:celsius</v>
      </c>
      <c r="F48" s="2"/>
      <c r="G48" s="35"/>
      <c r="H48" s="2"/>
      <c r="I48" s="6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 t="s">
        <v>55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 t="s">
        <v>56</v>
      </c>
      <c r="C50" s="2"/>
      <c r="D50" s="2"/>
      <c r="E50" s="2"/>
      <c r="F50" s="2"/>
      <c r="G50" s="35"/>
      <c r="H50" s="64"/>
      <c r="I50" s="6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 t="s">
        <v>30</v>
      </c>
      <c r="D51" s="11" t="str">
        <f>Entry!$B$2</f>
        <v>2019-02-21</v>
      </c>
      <c r="E51" s="2" t="s">
        <v>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 t="s">
        <v>32</v>
      </c>
      <c r="D52" s="11">
        <f>Entry!$C$5</f>
        <v>3</v>
      </c>
      <c r="E52" s="2" t="s">
        <v>13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 t="s">
        <v>18</v>
      </c>
      <c r="D53" s="11" t="str">
        <f>Entry!$H$5</f>
        <v>Matt</v>
      </c>
      <c r="E53" s="2" t="s">
        <v>13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 t="s">
        <v>36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 t="s">
        <v>37</v>
      </c>
      <c r="E55" s="11" t="str">
        <f>IFERROR(__xludf.DUMMYFUNCTION("VLOOKUP(Entry!$B$24, importrange(""1JgRKUH_ie87KAXsC-fRYEw_5SepjOgVt7njjQBETxEg"", ""Chemicals!$B$2:$H$2000""), 5, FALSE)")," ""PXWSKGXEHZHFJA-UHFFFAOYSA-N""")</f>
        <v>PXWSKGXEHZHFJA-UHFFFAOYSA-N</v>
      </c>
      <c r="F55" s="2" t="s">
        <v>13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 t="s">
        <v>41</v>
      </c>
      <c r="E56" s="33" t="str">
        <f>Concatenate(Entry!$C$24,":",Entry!$E$24)</f>
        <v>16.13:gram</v>
      </c>
      <c r="F56" s="2" t="s">
        <v>13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 t="s">
        <v>42</v>
      </c>
      <c r="E57" s="33" t="str">
        <f>Concatenate(Entry!$D$24,":",Entry!$E$24)</f>
        <v>16.13:gram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 t="s">
        <v>56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 t="s">
        <v>37</v>
      </c>
      <c r="E59" s="11" t="str">
        <f>IFERROR(__xludf.DUMMYFUNCTION("VLOOKUP(Entry!$B$25, importrange(""1JgRKUH_ie87KAXsC-fRYEw_5SepjOgVt7njjQBETxEg"", ""Chemicals!$B$2:$H$2000""), 5, FALSE)")," ""YEJRWHAVMIAJKC-UHFFFAOYSA-N""")</f>
        <v>YEJRWHAVMIAJKC-UHFFFAOYSA-N</v>
      </c>
      <c r="F59" s="2" t="s">
        <v>13</v>
      </c>
      <c r="G59" s="3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 t="s">
        <v>41</v>
      </c>
      <c r="E60" s="33" t="str">
        <f>Concatenate(Entry!$C$25,":",Entry!$E$25)</f>
        <v>16.93:milliliter</v>
      </c>
      <c r="F60" s="2" t="s">
        <v>13</v>
      </c>
      <c r="G60" s="3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 t="s">
        <v>42</v>
      </c>
      <c r="E61" s="33" t="str">
        <f>Concatenate(Entry!$D$25,":",Entry!$E$25)</f>
        <v>55:milliliter</v>
      </c>
      <c r="F61" s="2"/>
      <c r="G61" s="3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 t="s">
        <v>56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 t="s">
        <v>37</v>
      </c>
      <c r="E63" s="11" t="str">
        <f>IFERROR(__xludf.DUMMYFUNCTION("VLOOKUP(Entry!$B$26, importrange(""1JgRKUH_ie87KAXsC-fRYEw_5SepjOgVt7njjQBETxEg"", ""Chemicals!$B$2:$H$200""), 5, FALSE)")," ""null""")</f>
        <v>null</v>
      </c>
      <c r="F63" s="2" t="s">
        <v>13</v>
      </c>
      <c r="G63" s="3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 t="s">
        <v>41</v>
      </c>
      <c r="E64" s="33" t="str">
        <f>Concatenate(Entry!$C$26,":",Entry!$E$26)</f>
        <v>null:null</v>
      </c>
      <c r="F64" s="2" t="s">
        <v>13</v>
      </c>
      <c r="G64" s="3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 t="s">
        <v>42</v>
      </c>
      <c r="E65" s="33" t="str">
        <f>Concatenate(Entry!$D$26,":",Entry!$E$26)</f>
        <v>null:null</v>
      </c>
      <c r="F65" s="2"/>
      <c r="G65" s="3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 t="s">
        <v>44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 t="s">
        <v>46</v>
      </c>
      <c r="D67" s="2"/>
      <c r="E67" s="2"/>
      <c r="F67" s="2"/>
      <c r="G67" s="3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 t="s">
        <v>48</v>
      </c>
      <c r="E68" s="2" t="s">
        <v>64</v>
      </c>
      <c r="F68" s="2" t="s">
        <v>13</v>
      </c>
      <c r="G68" s="3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 t="s">
        <v>65</v>
      </c>
      <c r="E69" s="11" t="str">
        <f>CONCATENATE(Entry!$D$5,":","celsius")</f>
        <v>75:celsius</v>
      </c>
      <c r="F69" s="2" t="s">
        <v>13</v>
      </c>
      <c r="G69" s="3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 t="s">
        <v>66</v>
      </c>
      <c r="E70" s="11" t="str">
        <f>CONCATENATE(Entry!$E$5,":","rpm")</f>
        <v>450:rpm</v>
      </c>
      <c r="F70" s="2" t="s">
        <v>13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 t="s">
        <v>68</v>
      </c>
      <c r="E71" s="11" t="str">
        <f>CONCATENATE(Entry!$F$5,":","second")</f>
        <v>3600:second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 t="s">
        <v>56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 t="s">
        <v>48</v>
      </c>
      <c r="E73" s="2" t="s">
        <v>50</v>
      </c>
      <c r="F73" s="2" t="s">
        <v>13</v>
      </c>
      <c r="G73" s="3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 t="s">
        <v>65</v>
      </c>
      <c r="E74" s="11" t="str">
        <f>CONCATENATE(Entry!$H$23,":","celsius")</f>
        <v>45:celsius</v>
      </c>
      <c r="F74" s="2"/>
      <c r="G74" s="3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 t="s">
        <v>55</v>
      </c>
      <c r="D75" s="2"/>
      <c r="E75" s="2"/>
      <c r="F75" s="2"/>
      <c r="G75" s="3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 t="s">
        <v>56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 t="s">
        <v>30</v>
      </c>
      <c r="D77" s="11" t="str">
        <f>Entry!$G$6</f>
        <v>null</v>
      </c>
      <c r="E77" s="2" t="s">
        <v>13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 t="s">
        <v>32</v>
      </c>
      <c r="D78" s="11">
        <f>Entry!$C$6</f>
        <v>4</v>
      </c>
      <c r="E78" s="2" t="s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 t="s">
        <v>18</v>
      </c>
      <c r="D79" s="11" t="str">
        <f>Entry!$H$6</f>
        <v>null</v>
      </c>
      <c r="E79" s="2" t="s">
        <v>13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 t="s">
        <v>36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 t="s">
        <v>37</v>
      </c>
      <c r="E81" s="11" t="str">
        <f>IFERROR(__xludf.DUMMYFUNCTION("VLOOKUP(Entry!$B$28, importrange(""1JgRKUH_ie87KAXsC-fRYEw_5SepjOgVt7njjQBETxEg"", ""Chemicals!$B$2:$H$200""), 5, FALSE)")," ""null""")</f>
        <v>null</v>
      </c>
      <c r="F81" s="2" t="s">
        <v>13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 t="s">
        <v>41</v>
      </c>
      <c r="E82" s="33" t="str">
        <f>Concatenate(Entry!$C$28,":",Entry!$E$28)</f>
        <v>null:null</v>
      </c>
      <c r="F82" s="2" t="s">
        <v>13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 t="s">
        <v>42</v>
      </c>
      <c r="E83" s="33" t="str">
        <f>Concatenate(Entry!$D$28,":",Entry!$E$28)</f>
        <v>null:null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 t="s">
        <v>56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 t="s">
        <v>37</v>
      </c>
      <c r="E85" s="11" t="str">
        <f>IFERROR(__xludf.DUMMYFUNCTION("VLOOKUP(Entry!$B$29, importrange(""1JgRKUH_ie87KAXsC-fRYEw_5SepjOgVt7njjQBETxEg"", ""Chemicals!$B$2:$H$2000""), 5, FALSE)")," ""null""")</f>
        <v>null</v>
      </c>
      <c r="F85" s="2" t="s">
        <v>13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 t="s">
        <v>41</v>
      </c>
      <c r="E86" s="33" t="str">
        <f>Concatenate(Entry!$C$29,":",Entry!$E$29)</f>
        <v>null:null</v>
      </c>
      <c r="F86" s="2" t="s">
        <v>13</v>
      </c>
      <c r="G86" s="3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 t="s">
        <v>42</v>
      </c>
      <c r="E87" s="33" t="str">
        <f>Concatenate(Entry!$D$29,":",Entry!$E$29)</f>
        <v>null:null</v>
      </c>
      <c r="F87" s="2"/>
      <c r="G87" s="3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 t="s">
        <v>56</v>
      </c>
      <c r="D88" s="2"/>
      <c r="E88" s="2"/>
      <c r="F88" s="2"/>
      <c r="G88" s="3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 t="s">
        <v>37</v>
      </c>
      <c r="E89" s="11" t="str">
        <f>IFERROR(__xludf.DUMMYFUNCTION("VLOOKUP(Entry!$B$30, importrange(""1JgRKUH_ie87KAXsC-fRYEw_5SepjOgVt7njjQBETxEg"", ""Chemicals!$B$2:$H$2000""), 5, FALSE)")," ""null""")</f>
        <v>null</v>
      </c>
      <c r="F89" s="2" t="s">
        <v>13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 t="s">
        <v>41</v>
      </c>
      <c r="E90" s="33" t="str">
        <f>Concatenate(Entry!$C$30,":",Entry!$E$30)</f>
        <v>null:null</v>
      </c>
      <c r="F90" s="2" t="s">
        <v>13</v>
      </c>
      <c r="G90" s="3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 t="s">
        <v>42</v>
      </c>
      <c r="E91" s="33" t="str">
        <f>Concatenate(Entry!$D$30,":",Entry!$E$30)</f>
        <v>null:null</v>
      </c>
      <c r="F91" s="2"/>
      <c r="G91" s="3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 t="s">
        <v>44</v>
      </c>
      <c r="D92" s="2"/>
      <c r="E92" s="2"/>
      <c r="F92" s="2"/>
      <c r="G92" s="3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 t="s">
        <v>46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 t="s">
        <v>48</v>
      </c>
      <c r="E94" s="2" t="s">
        <v>64</v>
      </c>
      <c r="F94" s="2" t="s">
        <v>13</v>
      </c>
      <c r="G94" s="3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 t="s">
        <v>65</v>
      </c>
      <c r="E95" s="11" t="str">
        <f>CONCATENATE(Entry!$D$6,":","celsius")</f>
        <v>null:celsius</v>
      </c>
      <c r="F95" s="2" t="s">
        <v>13</v>
      </c>
      <c r="G95" s="3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 t="s">
        <v>66</v>
      </c>
      <c r="E96" s="11" t="str">
        <f>CONCATENATE(Entry!$E$6,":","rpm")</f>
        <v>null:rpm</v>
      </c>
      <c r="F96" s="2" t="s">
        <v>13</v>
      </c>
      <c r="G96" s="3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 t="s">
        <v>68</v>
      </c>
      <c r="E97" s="11" t="str">
        <f>CONCATENATE(Entry!$F$6,":","second")</f>
        <v>null:second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 t="s">
        <v>56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 t="s">
        <v>48</v>
      </c>
      <c r="E99" s="2" t="s">
        <v>50</v>
      </c>
      <c r="F99" s="2" t="s">
        <v>13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 t="s">
        <v>65</v>
      </c>
      <c r="E100" s="11" t="str">
        <f>CONCATENATE(Entry!$H$27,":","celsius")</f>
        <v>null:celsius</v>
      </c>
      <c r="F100" s="2"/>
      <c r="G100" s="3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 t="s">
        <v>55</v>
      </c>
      <c r="D101" s="2"/>
      <c r="E101" s="2"/>
      <c r="F101" s="2"/>
      <c r="G101" s="3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 t="s">
        <v>56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 t="s">
        <v>30</v>
      </c>
      <c r="D103" s="11" t="str">
        <f>Entry!$B$2</f>
        <v>2019-02-21</v>
      </c>
      <c r="E103" s="2" t="s">
        <v>13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 t="s">
        <v>32</v>
      </c>
      <c r="D104" s="11">
        <f>Entry!$C$7</f>
        <v>5</v>
      </c>
      <c r="E104" s="2" t="s">
        <v>13</v>
      </c>
      <c r="F104" s="2"/>
      <c r="G104" s="3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 t="s">
        <v>18</v>
      </c>
      <c r="D105" s="11" t="str">
        <f>Entry!$H$5</f>
        <v>Matt</v>
      </c>
      <c r="E105" s="2" t="s">
        <v>13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 t="s">
        <v>36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 t="s">
        <v>37</v>
      </c>
      <c r="E107" s="11" t="str">
        <f>IFERROR(__xludf.DUMMYFUNCTION("VLOOKUP(Entry!$B$32, importrange(""1JgRKUH_ie87KAXsC-fRYEw_5SepjOgVt7njjQBETxEg"", ""Chemicals!$B$2:$H$2000""), 5, FALSE)")," ""null""")</f>
        <v>null</v>
      </c>
      <c r="F107" s="2" t="s">
        <v>13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 t="s">
        <v>41</v>
      </c>
      <c r="E108" s="33" t="str">
        <f>Concatenate(Entry!$C$32,":",Entry!$E$32)</f>
        <v>null:null</v>
      </c>
      <c r="F108" s="2" t="s">
        <v>13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 t="s">
        <v>42</v>
      </c>
      <c r="E109" s="33" t="str">
        <f>Concatenate(Entry!$D$32,":",Entry!$E$32)</f>
        <v>null:null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 t="s">
        <v>44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 t="s">
        <v>46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 t="s">
        <v>48</v>
      </c>
      <c r="E112" s="2" t="s">
        <v>50</v>
      </c>
      <c r="F112" s="2" t="s">
        <v>13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 t="s">
        <v>51</v>
      </c>
      <c r="E113" s="11" t="str">
        <f>CONCATENATE(Entry!$H$31,":","celsius")</f>
        <v>null:celsius</v>
      </c>
      <c r="F113" s="2"/>
      <c r="G113" s="3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 t="s">
        <v>55</v>
      </c>
      <c r="D114" s="2"/>
      <c r="E114" s="11"/>
      <c r="F114" s="2"/>
      <c r="G114" s="3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 t="s">
        <v>56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 t="s">
        <v>30</v>
      </c>
      <c r="D116" s="11" t="str">
        <f>Entry!$B$2</f>
        <v>2019-02-21</v>
      </c>
      <c r="E116" s="2" t="s">
        <v>13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 t="s">
        <v>32</v>
      </c>
      <c r="D117" s="11">
        <f>Entry!$C$8</f>
        <v>6</v>
      </c>
      <c r="E117" s="2" t="s">
        <v>13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 t="s">
        <v>18</v>
      </c>
      <c r="D118" s="11" t="str">
        <f>Entry!$H$5</f>
        <v>Matt</v>
      </c>
      <c r="E118" s="2" t="s">
        <v>13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 t="s">
        <v>36</v>
      </c>
      <c r="D119" s="2"/>
      <c r="E119" s="2"/>
      <c r="F119" s="2"/>
      <c r="G119" s="3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 t="s">
        <v>37</v>
      </c>
      <c r="E120" s="11" t="str">
        <f>IFERROR(__xludf.DUMMYFUNCTION("VLOOKUP(Entry!$B$36, importrange(""1JgRKUH_ie87KAXsC-fRYEw_5SepjOgVt7njjQBETxEg"", ""Chemicals!$B$2:$H$2000""), 5, FALSE)")," ""BDAGIHXWWSANSR-UHFFFAOYSA-N""")</f>
        <v>BDAGIHXWWSANSR-UHFFFAOYSA-N</v>
      </c>
      <c r="F120" s="2" t="s">
        <v>13</v>
      </c>
      <c r="G120" s="3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 t="s">
        <v>41</v>
      </c>
      <c r="E121" s="33" t="str">
        <f>Concatenate(Entry!$C$36,":",Entry!$E$36)</f>
        <v>15.65:milliliter</v>
      </c>
      <c r="F121" s="2" t="s">
        <v>13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 t="s">
        <v>42</v>
      </c>
      <c r="E122" s="33" t="str">
        <f>Concatenate(Entry!$D$36,":",Entry!$E$36)</f>
        <v>16:milliliter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 t="s">
        <v>44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 t="s">
        <v>46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 t="s">
        <v>48</v>
      </c>
      <c r="E125" s="2" t="s">
        <v>50</v>
      </c>
      <c r="F125" s="2" t="s">
        <v>13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 t="s">
        <v>51</v>
      </c>
      <c r="E126" s="11" t="str">
        <f>CONCATENATE(Entry!$H$35,":","celsius")</f>
        <v>22:celsius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 t="s">
        <v>55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 t="s">
        <v>56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 t="s">
        <v>30</v>
      </c>
      <c r="D129" s="11" t="str">
        <f>Entry!$B$2</f>
        <v>2019-02-21</v>
      </c>
      <c r="E129" s="2" t="s">
        <v>13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 t="s">
        <v>32</v>
      </c>
      <c r="D130" s="11">
        <f>Entry!$C$9</f>
        <v>7</v>
      </c>
      <c r="E130" s="2" t="s">
        <v>13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 t="s">
        <v>18</v>
      </c>
      <c r="D131" s="11" t="str">
        <f>Entry!$H$5</f>
        <v>Matt</v>
      </c>
      <c r="E131" s="2" t="s">
        <v>13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 t="s">
        <v>36</v>
      </c>
      <c r="D132" s="2"/>
      <c r="E132" s="2"/>
      <c r="F132" s="2"/>
      <c r="G132" s="3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 t="s">
        <v>37</v>
      </c>
      <c r="E133" s="11" t="str">
        <f>IFERROR(__xludf.DUMMYFUNCTION("VLOOKUP(Entry!$B$40, importrange(""1JgRKUH_ie87KAXsC-fRYEw_5SepjOgVt7njjQBETxEg"", ""Chemicals!$B$2:$H$2000""), 5, FALSE)")," ""BDAGIHXWWSANSR-UHFFFAOYSA-N""")</f>
        <v>BDAGIHXWWSANSR-UHFFFAOYSA-N</v>
      </c>
      <c r="F133" s="2" t="s">
        <v>13</v>
      </c>
      <c r="G133" s="3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 t="s">
        <v>41</v>
      </c>
      <c r="E134" s="33" t="str">
        <f>Concatenate(Entry!$C$40,":",Entry!$E$40)</f>
        <v>8.96:milliliter</v>
      </c>
      <c r="F134" s="2" t="s">
        <v>13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 t="s">
        <v>42</v>
      </c>
      <c r="E135" s="33" t="str">
        <f>Concatenate(Entry!$D$40,":",Entry!$E$40)</f>
        <v>10:milliliter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 t="s">
        <v>44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 t="s">
        <v>46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 t="s">
        <v>48</v>
      </c>
      <c r="E138" s="2" t="s">
        <v>50</v>
      </c>
      <c r="F138" s="2" t="s">
        <v>13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 t="s">
        <v>51</v>
      </c>
      <c r="E139" s="11" t="str">
        <f>CONCATENATE(Entry!$H$39,":","celsius")</f>
        <v>22:celsius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 t="s">
        <v>55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 t="s">
        <v>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 t="s">
        <v>79</v>
      </c>
      <c r="C142" s="2" t="s">
        <v>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 t="s">
        <v>80</v>
      </c>
      <c r="D143" s="11" t="str">
        <f>CONCATENATE(Entry!$B$10)</f>
        <v>null</v>
      </c>
      <c r="E143" s="2" t="s">
        <v>13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 t="s">
        <v>81</v>
      </c>
      <c r="D144" s="11" t="str">
        <f>CONCATENATE(Entry!$B$11)</f>
        <v>null</v>
      </c>
      <c r="E144" s="2" t="s">
        <v>13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 t="s">
        <v>82</v>
      </c>
      <c r="D145" s="85" t="str">
        <f>CONCATENATE(Entry!$B$12)</f>
        <v>null</v>
      </c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 t="s">
        <v>83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 t="s">
        <v>83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drawing r:id="rId1"/>
</worksheet>
</file>