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2" sheetId="1" r:id="rId4"/>
    <sheet state="visible" name="Tableau croisé dynamique 2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<sst xmlns="http://schemas.openxmlformats.org/spreadsheetml/2006/main" count="10" uniqueCount="9">
  <si>
    <t>Revenue</t>
  </si>
  <si>
    <t>Category</t>
  </si>
  <si>
    <t>Recency</t>
  </si>
  <si>
    <t>Frequenncy</t>
  </si>
  <si>
    <t>Monetary</t>
  </si>
  <si>
    <t>R</t>
  </si>
  <si>
    <t>F</t>
  </si>
  <si>
    <t>M</t>
  </si>
  <si>
    <t>Total général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</si>
</sst>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H1:H200" sheet="Feuille 2"/>
  </cacheSource>
  <cacheFields>
    <cacheField name="Revenue" numFmtId="0">
      <sharedItems containsSemiMixedTypes="0" containsString="0" containsNumber="1">
        <n v="2.5"/>
        <n v="21.0"/>
        <n v="46.8"/>
        <n v="8.5"/>
        <n v="17.0"/>
        <n v="5.04"/>
        <n v="6.6"/>
        <n v="2.55"/>
        <n v="16.5"/>
        <n v="17.700000000000003"/>
        <n v="3.3"/>
        <n v="15.600000000000001"/>
        <n v="8.850000000000001"/>
        <n v="4.25"/>
        <n v="27.04"/>
        <n v="15.299999999999999"/>
        <n v="9.95"/>
        <n v="7.6499999999999995"/>
        <n v="17.85"/>
        <n v="15.0"/>
        <n v="10.5"/>
        <n v="1.25"/>
        <n v="16.95"/>
        <n v="13.6"/>
        <n v="23.85"/>
        <n v="9.899999999999999"/>
        <n v="3.4"/>
        <n v="5.0"/>
        <n v="1.65"/>
        <n v="1.7"/>
        <n v="6.300000000000001"/>
        <n v="12.600000000000001"/>
        <n v="12.5"/>
        <n v="0.85"/>
        <n v="11.9"/>
        <n v="3.75"/>
        <n v="19.799999999999997"/>
        <n v="31.6"/>
        <n v="22.5"/>
        <n v="15.9"/>
        <n v="532.8"/>
        <n v="5.1"/>
        <n v="29.9"/>
        <n v="0.84"/>
        <n v="3.4799999999999995"/>
        <n v="4.949999999999999"/>
        <n v="16.8"/>
        <n v="49.95"/>
        <n v="10.2"/>
        <n v="19.5"/>
        <n v="41.6"/>
        <n v="3.9"/>
        <n v="0.95"/>
        <n v="5.9"/>
        <n v="5.95"/>
        <n v="31.8"/>
        <n v="14.850000000000001"/>
        <n v="2.1"/>
        <n v="14.75"/>
        <n v="10.08"/>
        <n v="6.5"/>
        <n v="1.49"/>
        <n v="19.9"/>
        <n v="4.95"/>
        <n v="20.4"/>
        <n v="25.0"/>
        <n v="7.800000000000001"/>
        <n v="7.5"/>
        <n v="114.48"/>
        <n v="51.0"/>
        <n v="11.399999999999999"/>
        <n v="19.8"/>
        <n v="35.7"/>
        <n v="81.6"/>
        <n v="9.9"/>
        <n v="2.95"/>
        <n v="26.849999999999998"/>
        <n v="4.2"/>
        <n v="7.95"/>
        <n v="12.7"/>
        <n v="92.5"/>
        <n v="3.25"/>
        <n v="9.96"/>
        <n v="15.6"/>
        <n v="25.200000000000003"/>
        <n v="23.4"/>
        <n v="31.200000000000003"/>
        <n v="0.65"/>
        <n v="29.75"/>
        <n v="6.75"/>
        <n v="5.85"/>
        <n v="29.849999999999998"/>
        <n v="15.12"/>
        <n v="27.0"/>
        <n v="20.8"/>
        <n v="39.6"/>
        <n v="12.450000000000001"/>
        <n v="8.95"/>
        <n v="30.599999999999998"/>
        <n v="36.0"/>
        <n v="44.400000000000006"/>
        <n v="6.76"/>
        <n v="35.400000000000006"/>
        <n v="40.8"/>
        <n v="3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 2" cacheId="0" dataCaption="" compact="0" compactData="0">
  <location ref="A1:B107" firstHeaderRow="0" firstDataRow="1" firstDataCol="0"/>
  <pivotFields>
    <pivotField name="Revenue" axis="axisRow" compact="0" outline="0" multipleItemSelectionAllowed="1" showAll="0" sortType="ascending">
      <items>
        <item x="87"/>
        <item x="43"/>
        <item x="33"/>
        <item x="52"/>
        <item x="21"/>
        <item x="61"/>
        <item x="28"/>
        <item x="29"/>
        <item x="57"/>
        <item x="0"/>
        <item x="7"/>
        <item x="75"/>
        <item x="81"/>
        <item x="10"/>
        <item x="26"/>
        <item x="44"/>
        <item x="35"/>
        <item x="51"/>
        <item x="77"/>
        <item x="13"/>
        <item x="45"/>
        <item x="63"/>
        <item x="27"/>
        <item x="5"/>
        <item x="41"/>
        <item x="90"/>
        <item x="53"/>
        <item x="54"/>
        <item x="30"/>
        <item x="60"/>
        <item x="6"/>
        <item x="89"/>
        <item x="101"/>
        <item x="67"/>
        <item x="17"/>
        <item x="66"/>
        <item x="78"/>
        <item x="3"/>
        <item x="12"/>
        <item x="97"/>
        <item x="25"/>
        <item x="74"/>
        <item x="16"/>
        <item x="82"/>
        <item x="59"/>
        <item x="48"/>
        <item x="20"/>
        <item x="70"/>
        <item x="34"/>
        <item x="96"/>
        <item x="32"/>
        <item x="31"/>
        <item x="79"/>
        <item x="23"/>
        <item x="58"/>
        <item x="56"/>
        <item x="19"/>
        <item x="92"/>
        <item x="15"/>
        <item x="83"/>
        <item x="11"/>
        <item x="39"/>
        <item x="8"/>
        <item x="46"/>
        <item x="22"/>
        <item x="4"/>
        <item x="9"/>
        <item x="18"/>
        <item x="49"/>
        <item x="36"/>
        <item x="71"/>
        <item x="62"/>
        <item x="64"/>
        <item x="94"/>
        <item x="1"/>
        <item x="38"/>
        <item x="85"/>
        <item x="24"/>
        <item x="65"/>
        <item x="84"/>
        <item x="76"/>
        <item x="93"/>
        <item x="14"/>
        <item x="88"/>
        <item x="91"/>
        <item x="42"/>
        <item x="104"/>
        <item x="98"/>
        <item x="86"/>
        <item x="37"/>
        <item x="55"/>
        <item x="102"/>
        <item x="72"/>
        <item x="99"/>
        <item x="95"/>
        <item x="103"/>
        <item x="50"/>
        <item x="100"/>
        <item x="2"/>
        <item x="47"/>
        <item x="69"/>
        <item x="73"/>
        <item x="80"/>
        <item x="68"/>
        <item x="40"/>
        <item t="default"/>
      </items>
    </pivotField>
  </pivotFields>
  <rowFields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IFERROR(__xludf.DUMMYFUNCTION("IMPORTRANGE(""https://docs.google.com/spreadsheets/d/1spROc9D4YPZ7uNT3uw0eob6G7cB8YJZlAilQdpL53ls/edit?gid=979156570#gid=979156570"", ""A1:G200"")"),"InvoiceNo")</f>
        <v>InvoiceNo</v>
      </c>
      <c r="B1" s="1" t="str">
        <f>IFERROR(__xludf.DUMMYFUNCTION("""COMPUTED_VALUE"""),"StockCode")</f>
        <v>StockCode</v>
      </c>
      <c r="C1" s="1" t="str">
        <f>IFERROR(__xludf.DUMMYFUNCTION("""COMPUTED_VALUE"""),"Description")</f>
        <v>Description</v>
      </c>
      <c r="D1" s="1" t="str">
        <f>IFERROR(__xludf.DUMMYFUNCTION("""COMPUTED_VALUE"""),"Quantity")</f>
        <v>Quantity</v>
      </c>
      <c r="E1" s="1" t="str">
        <f>IFERROR(__xludf.DUMMYFUNCTION("""COMPUTED_VALUE"""),"InvoiceDate")</f>
        <v>InvoiceDate</v>
      </c>
      <c r="F1" s="1" t="str">
        <f>IFERROR(__xludf.DUMMYFUNCTION("""COMPUTED_VALUE"""),"UnitPrice")</f>
        <v>UnitPrice</v>
      </c>
      <c r="G1" s="1" t="str">
        <f>IFERROR(__xludf.DUMMYFUNCTION("""COMPUTED_VALUE"""),"CustomerID")</f>
        <v>CustomerID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</row>
    <row r="2">
      <c r="A2" s="1">
        <f>IFERROR(__xludf.DUMMYFUNCTION("""COMPUTED_VALUE"""),545327.0)</f>
        <v>545327</v>
      </c>
      <c r="B2" s="1">
        <f>IFERROR(__xludf.DUMMYFUNCTION("""COMPUTED_VALUE"""),22682.0)</f>
        <v>22682</v>
      </c>
      <c r="C2" s="1" t="str">
        <f>IFERROR(__xludf.DUMMYFUNCTION("""COMPUTED_VALUE"""),"French blue metal door sign 7")</f>
        <v>French blue metal door sign 7</v>
      </c>
      <c r="D2" s="1">
        <f>IFERROR(__xludf.DUMMYFUNCTION("""COMPUTED_VALUE"""),2.0)</f>
        <v>2</v>
      </c>
      <c r="E2" s="3">
        <f>IFERROR(__xludf.DUMMYFUNCTION("""COMPUTED_VALUE"""),40603.0)</f>
        <v>40603</v>
      </c>
      <c r="F2" s="1">
        <f>IFERROR(__xludf.DUMMYFUNCTION("""COMPUTED_VALUE"""),1.25)</f>
        <v>1.25</v>
      </c>
      <c r="G2" s="1">
        <f>IFERROR(__xludf.DUMMYFUNCTION("""COMPUTED_VALUE"""),13166.0)</f>
        <v>13166</v>
      </c>
      <c r="H2" s="1">
        <f t="array" ref="H2:H200">D2:D200*F2:F200</f>
        <v>2.5</v>
      </c>
      <c r="I2" s="1" t="str">
        <f t="shared" ref="I2:I200" si="2">LEFT(C2,FIND(" ", C2)-1)</f>
        <v>French</v>
      </c>
      <c r="J2" s="1">
        <f t="shared" ref="J2:J200" si="3">MAX(E2:E200)-E2:E200</f>
        <v>71</v>
      </c>
      <c r="K2" s="1">
        <f t="shared" ref="K2:K200" si="4">COUNTIF(A:A, A2)</f>
        <v>1</v>
      </c>
      <c r="L2" s="1">
        <f t="shared" ref="L2:L200" si="5">SUMIF(A:A, A2, H:H)</f>
        <v>2.5</v>
      </c>
      <c r="M2" s="1">
        <f t="shared" ref="M2:O2" si="1">QUARTILE(J2:J200, 1)</f>
        <v>35</v>
      </c>
      <c r="N2" s="1">
        <f t="shared" si="1"/>
        <v>1</v>
      </c>
      <c r="O2" s="1">
        <f t="shared" si="1"/>
        <v>5.07</v>
      </c>
      <c r="P2" s="1" t="str">
        <f t="shared" ref="P2:P4" si="7">CONCAT(M2,O2)</f>
        <v>355,07</v>
      </c>
    </row>
    <row r="3">
      <c r="A3" s="1">
        <f>IFERROR(__xludf.DUMMYFUNCTION("""COMPUTED_VALUE"""),552320.0)</f>
        <v>552320</v>
      </c>
      <c r="B3" s="1">
        <f>IFERROR(__xludf.DUMMYFUNCTION("""COMPUTED_VALUE"""),22381.0)</f>
        <v>22381</v>
      </c>
      <c r="C3" s="1" t="str">
        <f>IFERROR(__xludf.DUMMYFUNCTION("""COMPUTED_VALUE"""),"Toy tidy pink polkadot")</f>
        <v>Toy tidy pink polkadot</v>
      </c>
      <c r="D3" s="1">
        <f>IFERROR(__xludf.DUMMYFUNCTION("""COMPUTED_VALUE"""),10.0)</f>
        <v>10</v>
      </c>
      <c r="E3" s="3">
        <f>IFERROR(__xludf.DUMMYFUNCTION("""COMPUTED_VALUE"""),40672.0)</f>
        <v>40672</v>
      </c>
      <c r="F3" s="1">
        <f>IFERROR(__xludf.DUMMYFUNCTION("""COMPUTED_VALUE"""),2.1)</f>
        <v>2.1</v>
      </c>
      <c r="G3" s="1">
        <f>IFERROR(__xludf.DUMMYFUNCTION("""COMPUTED_VALUE"""),13985.0)</f>
        <v>13985</v>
      </c>
      <c r="H3" s="1">
        <v>21.0</v>
      </c>
      <c r="I3" s="1" t="str">
        <f t="shared" si="2"/>
        <v>Toy</v>
      </c>
      <c r="J3" s="1">
        <f t="shared" si="3"/>
        <v>2</v>
      </c>
      <c r="K3" s="1">
        <f t="shared" si="4"/>
        <v>1</v>
      </c>
      <c r="L3" s="1">
        <f t="shared" si="5"/>
        <v>21</v>
      </c>
      <c r="M3" s="1">
        <f t="shared" ref="M3:O3" si="6">QUARTILE(J2:J200, 2)</f>
        <v>64</v>
      </c>
      <c r="N3" s="1">
        <f t="shared" si="6"/>
        <v>1</v>
      </c>
      <c r="O3" s="1">
        <f t="shared" si="6"/>
        <v>12.5</v>
      </c>
      <c r="P3" s="1" t="str">
        <f t="shared" si="7"/>
        <v>6412,5</v>
      </c>
    </row>
    <row r="4">
      <c r="A4" s="1">
        <f>IFERROR(__xludf.DUMMYFUNCTION("""COMPUTED_VALUE"""),543107.0)</f>
        <v>543107</v>
      </c>
      <c r="B4" s="1">
        <f>IFERROR(__xludf.DUMMYFUNCTION("""COMPUTED_VALUE"""),22938.0)</f>
        <v>22938</v>
      </c>
      <c r="C4" s="1" t="str">
        <f>IFERROR(__xludf.DUMMYFUNCTION("""COMPUTED_VALUE"""),"Cupcake lace paper set 6")</f>
        <v>Cupcake lace paper set 6</v>
      </c>
      <c r="D4" s="1">
        <f>IFERROR(__xludf.DUMMYFUNCTION("""COMPUTED_VALUE"""),24.0)</f>
        <v>24</v>
      </c>
      <c r="E4" s="3">
        <f>IFERROR(__xludf.DUMMYFUNCTION("""COMPUTED_VALUE"""),40577.0)</f>
        <v>40577</v>
      </c>
      <c r="F4" s="1">
        <f>IFERROR(__xludf.DUMMYFUNCTION("""COMPUTED_VALUE"""),1.95)</f>
        <v>1.95</v>
      </c>
      <c r="G4" s="1">
        <f>IFERROR(__xludf.DUMMYFUNCTION("""COMPUTED_VALUE"""),13800.0)</f>
        <v>13800</v>
      </c>
      <c r="H4" s="1">
        <v>46.8</v>
      </c>
      <c r="I4" s="1" t="str">
        <f t="shared" si="2"/>
        <v>Cupcake</v>
      </c>
      <c r="J4" s="1">
        <f t="shared" si="3"/>
        <v>97</v>
      </c>
      <c r="K4" s="1">
        <f t="shared" si="4"/>
        <v>1</v>
      </c>
      <c r="L4" s="1">
        <f t="shared" si="5"/>
        <v>46.8</v>
      </c>
      <c r="M4" s="1">
        <f t="shared" ref="M4:O4" si="8">QUARTILE(J2:J200, 3)</f>
        <v>107</v>
      </c>
      <c r="N4" s="1">
        <f t="shared" si="8"/>
        <v>1</v>
      </c>
      <c r="O4" s="1">
        <f t="shared" si="8"/>
        <v>19.5</v>
      </c>
      <c r="P4" s="1" t="str">
        <f t="shared" si="7"/>
        <v>10719,5</v>
      </c>
    </row>
    <row r="5">
      <c r="A5" s="1">
        <f>IFERROR(__xludf.DUMMYFUNCTION("""COMPUTED_VALUE"""),548400.0)</f>
        <v>548400</v>
      </c>
      <c r="B5" s="1">
        <f>IFERROR(__xludf.DUMMYFUNCTION("""COMPUTED_VALUE"""),22191.0)</f>
        <v>22191</v>
      </c>
      <c r="C5" s="1" t="str">
        <f>IFERROR(__xludf.DUMMYFUNCTION("""COMPUTED_VALUE"""),"Ivory diner wall clock")</f>
        <v>Ivory diner wall clock</v>
      </c>
      <c r="D5" s="1">
        <f>IFERROR(__xludf.DUMMYFUNCTION("""COMPUTED_VALUE"""),1.0)</f>
        <v>1</v>
      </c>
      <c r="E5" s="3">
        <f>IFERROR(__xludf.DUMMYFUNCTION("""COMPUTED_VALUE"""),40632.0)</f>
        <v>40632</v>
      </c>
      <c r="F5" s="1">
        <f>IFERROR(__xludf.DUMMYFUNCTION("""COMPUTED_VALUE"""),8.5)</f>
        <v>8.5</v>
      </c>
      <c r="G5" s="1">
        <f>IFERROR(__xludf.DUMMYFUNCTION("""COMPUTED_VALUE"""),17400.0)</f>
        <v>17400</v>
      </c>
      <c r="H5" s="1">
        <v>8.5</v>
      </c>
      <c r="I5" s="1" t="str">
        <f t="shared" si="2"/>
        <v>Ivory</v>
      </c>
      <c r="J5" s="1">
        <f t="shared" si="3"/>
        <v>42</v>
      </c>
      <c r="K5" s="1">
        <f t="shared" si="4"/>
        <v>1</v>
      </c>
      <c r="L5" s="1">
        <f t="shared" si="5"/>
        <v>8.5</v>
      </c>
    </row>
    <row r="6">
      <c r="A6" s="1">
        <f>IFERROR(__xludf.DUMMYFUNCTION("""COMPUTED_VALUE"""),543601.0)</f>
        <v>543601</v>
      </c>
      <c r="B6" s="1">
        <f>IFERROR(__xludf.DUMMYFUNCTION("""COMPUTED_VALUE"""),22624.0)</f>
        <v>22624</v>
      </c>
      <c r="C6" s="1" t="str">
        <f>IFERROR(__xludf.DUMMYFUNCTION("""COMPUTED_VALUE"""),"Ivory kitchen scales")</f>
        <v>Ivory kitchen scales</v>
      </c>
      <c r="D6" s="1">
        <f>IFERROR(__xludf.DUMMYFUNCTION("""COMPUTED_VALUE"""),2.0)</f>
        <v>2</v>
      </c>
      <c r="E6" s="3">
        <f>IFERROR(__xludf.DUMMYFUNCTION("""COMPUTED_VALUE"""),40584.0)</f>
        <v>40584</v>
      </c>
      <c r="F6" s="1">
        <f>IFERROR(__xludf.DUMMYFUNCTION("""COMPUTED_VALUE"""),8.5)</f>
        <v>8.5</v>
      </c>
      <c r="G6" s="1">
        <f>IFERROR(__xludf.DUMMYFUNCTION("""COMPUTED_VALUE"""),14560.0)</f>
        <v>14560</v>
      </c>
      <c r="H6" s="1">
        <v>17.0</v>
      </c>
      <c r="I6" s="1" t="str">
        <f t="shared" si="2"/>
        <v>Ivory</v>
      </c>
      <c r="J6" s="1">
        <f t="shared" si="3"/>
        <v>90</v>
      </c>
      <c r="K6" s="1">
        <f t="shared" si="4"/>
        <v>1</v>
      </c>
      <c r="L6" s="1">
        <f t="shared" si="5"/>
        <v>17</v>
      </c>
    </row>
    <row r="7">
      <c r="A7" s="1">
        <f>IFERROR(__xludf.DUMMYFUNCTION("""COMPUTED_VALUE"""),540163.0)</f>
        <v>540163</v>
      </c>
      <c r="B7" s="1">
        <f>IFERROR(__xludf.DUMMYFUNCTION("""COMPUTED_VALUE"""),21518.0)</f>
        <v>21518</v>
      </c>
      <c r="C7" s="1" t="str">
        <f>IFERROR(__xludf.DUMMYFUNCTION("""COMPUTED_VALUE"""),"Bank account  greeting  card")</f>
        <v>Bank account  greeting  card</v>
      </c>
      <c r="D7" s="1">
        <f>IFERROR(__xludf.DUMMYFUNCTION("""COMPUTED_VALUE"""),12.0)</f>
        <v>12</v>
      </c>
      <c r="E7" s="3">
        <f>IFERROR(__xludf.DUMMYFUNCTION("""COMPUTED_VALUE"""),40548.0)</f>
        <v>40548</v>
      </c>
      <c r="F7" s="1">
        <f>IFERROR(__xludf.DUMMYFUNCTION("""COMPUTED_VALUE"""),0.42)</f>
        <v>0.42</v>
      </c>
      <c r="G7" s="1">
        <f>IFERROR(__xludf.DUMMYFUNCTION("""COMPUTED_VALUE"""),13089.0)</f>
        <v>13089</v>
      </c>
      <c r="H7" s="1">
        <v>5.04</v>
      </c>
      <c r="I7" s="1" t="str">
        <f t="shared" si="2"/>
        <v>Bank</v>
      </c>
      <c r="J7" s="1">
        <f t="shared" si="3"/>
        <v>126</v>
      </c>
      <c r="K7" s="1">
        <f t="shared" si="4"/>
        <v>1</v>
      </c>
      <c r="L7" s="1">
        <f t="shared" si="5"/>
        <v>5.04</v>
      </c>
    </row>
    <row r="8">
      <c r="A8" s="1">
        <f>IFERROR(__xludf.DUMMYFUNCTION("""COMPUTED_VALUE"""),547553.0)</f>
        <v>547553</v>
      </c>
      <c r="B8" s="1">
        <f>IFERROR(__xludf.DUMMYFUNCTION("""COMPUTED_VALUE"""),22652.0)</f>
        <v>22652</v>
      </c>
      <c r="C8" s="1" t="str">
        <f>IFERROR(__xludf.DUMMYFUNCTION("""COMPUTED_VALUE"""),"Travel sewing kit")</f>
        <v>Travel sewing kit</v>
      </c>
      <c r="D8" s="1">
        <f>IFERROR(__xludf.DUMMYFUNCTION("""COMPUTED_VALUE"""),4.0)</f>
        <v>4</v>
      </c>
      <c r="E8" s="3">
        <f>IFERROR(__xludf.DUMMYFUNCTION("""COMPUTED_VALUE"""),40625.0)</f>
        <v>40625</v>
      </c>
      <c r="F8" s="1">
        <f>IFERROR(__xludf.DUMMYFUNCTION("""COMPUTED_VALUE"""),1.65)</f>
        <v>1.65</v>
      </c>
      <c r="G8" s="1">
        <f>IFERROR(__xludf.DUMMYFUNCTION("""COMPUTED_VALUE"""),15644.0)</f>
        <v>15644</v>
      </c>
      <c r="H8" s="1">
        <v>6.6</v>
      </c>
      <c r="I8" s="1" t="str">
        <f t="shared" si="2"/>
        <v>Travel</v>
      </c>
      <c r="J8" s="1">
        <f t="shared" si="3"/>
        <v>49</v>
      </c>
      <c r="K8" s="1">
        <f t="shared" si="4"/>
        <v>1</v>
      </c>
      <c r="L8" s="1">
        <f t="shared" si="5"/>
        <v>6.6</v>
      </c>
    </row>
    <row r="9">
      <c r="A9" s="1">
        <f>IFERROR(__xludf.DUMMYFUNCTION("""COMPUTED_VALUE"""),550941.0)</f>
        <v>550941</v>
      </c>
      <c r="B9" s="1">
        <f>IFERROR(__xludf.DUMMYFUNCTION("""COMPUTED_VALUE"""),22219.0)</f>
        <v>22219</v>
      </c>
      <c r="C9" s="1" t="str">
        <f>IFERROR(__xludf.DUMMYFUNCTION("""COMPUTED_VALUE"""),"Lovebird hanging decoration white")</f>
        <v>Lovebird hanging decoration white</v>
      </c>
      <c r="D9" s="1">
        <f>IFERROR(__xludf.DUMMYFUNCTION("""COMPUTED_VALUE"""),3.0)</f>
        <v>3</v>
      </c>
      <c r="E9" s="3">
        <f>IFERROR(__xludf.DUMMYFUNCTION("""COMPUTED_VALUE"""),40654.0)</f>
        <v>40654</v>
      </c>
      <c r="F9" s="1">
        <f>IFERROR(__xludf.DUMMYFUNCTION("""COMPUTED_VALUE"""),0.85)</f>
        <v>0.85</v>
      </c>
      <c r="G9" s="1">
        <f>IFERROR(__xludf.DUMMYFUNCTION("""COMPUTED_VALUE"""),17109.0)</f>
        <v>17109</v>
      </c>
      <c r="H9" s="1">
        <v>2.55</v>
      </c>
      <c r="I9" s="1" t="str">
        <f t="shared" si="2"/>
        <v>Lovebird</v>
      </c>
      <c r="J9" s="1">
        <f t="shared" si="3"/>
        <v>20</v>
      </c>
      <c r="K9" s="1">
        <f t="shared" si="4"/>
        <v>1</v>
      </c>
      <c r="L9" s="1">
        <f t="shared" si="5"/>
        <v>2.55</v>
      </c>
    </row>
    <row r="10">
      <c r="A10" s="1">
        <f>IFERROR(__xludf.DUMMYFUNCTION("""COMPUTED_VALUE"""),542715.0)</f>
        <v>542715</v>
      </c>
      <c r="B10" s="1">
        <f>IFERROR(__xludf.DUMMYFUNCTION("""COMPUTED_VALUE"""),22382.0)</f>
        <v>22382</v>
      </c>
      <c r="C10" s="1" t="str">
        <f>IFERROR(__xludf.DUMMYFUNCTION("""COMPUTED_VALUE"""),"Lunch bag spaceboy design")</f>
        <v>Lunch bag spaceboy design</v>
      </c>
      <c r="D10" s="1">
        <f>IFERROR(__xludf.DUMMYFUNCTION("""COMPUTED_VALUE"""),10.0)</f>
        <v>10</v>
      </c>
      <c r="E10" s="3">
        <f>IFERROR(__xludf.DUMMYFUNCTION("""COMPUTED_VALUE"""),40574.0)</f>
        <v>40574</v>
      </c>
      <c r="F10" s="1">
        <f>IFERROR(__xludf.DUMMYFUNCTION("""COMPUTED_VALUE"""),1.65)</f>
        <v>1.65</v>
      </c>
      <c r="G10" s="1">
        <f>IFERROR(__xludf.DUMMYFUNCTION("""COMPUTED_VALUE"""),16403.0)</f>
        <v>16403</v>
      </c>
      <c r="H10" s="1">
        <v>16.5</v>
      </c>
      <c r="I10" s="1" t="str">
        <f t="shared" si="2"/>
        <v>Lunch</v>
      </c>
      <c r="J10" s="1">
        <f t="shared" si="3"/>
        <v>100</v>
      </c>
      <c r="K10" s="1">
        <f t="shared" si="4"/>
        <v>1</v>
      </c>
      <c r="L10" s="1">
        <f t="shared" si="5"/>
        <v>16.5</v>
      </c>
    </row>
    <row r="11">
      <c r="A11" s="1">
        <f>IFERROR(__xludf.DUMMYFUNCTION("""COMPUTED_VALUE"""),538532.0)</f>
        <v>538532</v>
      </c>
      <c r="B11" s="1" t="str">
        <f>IFERROR(__xludf.DUMMYFUNCTION("""COMPUTED_VALUE"""),"82494L")</f>
        <v>82494L</v>
      </c>
      <c r="C11" s="1" t="str">
        <f>IFERROR(__xludf.DUMMYFUNCTION("""COMPUTED_VALUE"""),"Wooden frame antique white")</f>
        <v>Wooden frame antique white</v>
      </c>
      <c r="D11" s="1">
        <f>IFERROR(__xludf.DUMMYFUNCTION("""COMPUTED_VALUE"""),6.0)</f>
        <v>6</v>
      </c>
      <c r="E11" s="3">
        <f>IFERROR(__xludf.DUMMYFUNCTION("""COMPUTED_VALUE"""),40525.0)</f>
        <v>40525</v>
      </c>
      <c r="F11" s="1">
        <f>IFERROR(__xludf.DUMMYFUNCTION("""COMPUTED_VALUE"""),2.95)</f>
        <v>2.95</v>
      </c>
      <c r="G11" s="1">
        <f>IFERROR(__xludf.DUMMYFUNCTION("""COMPUTED_VALUE"""),13209.0)</f>
        <v>13209</v>
      </c>
      <c r="H11" s="1">
        <v>17.700000000000003</v>
      </c>
      <c r="I11" s="1" t="str">
        <f t="shared" si="2"/>
        <v>Wooden</v>
      </c>
      <c r="J11" s="1">
        <f t="shared" si="3"/>
        <v>149</v>
      </c>
      <c r="K11" s="1">
        <f t="shared" si="4"/>
        <v>1</v>
      </c>
      <c r="L11" s="1">
        <f t="shared" si="5"/>
        <v>17.7</v>
      </c>
    </row>
    <row r="12">
      <c r="A12" s="1">
        <f>IFERROR(__xludf.DUMMYFUNCTION("""COMPUTED_VALUE"""),549099.0)</f>
        <v>549099</v>
      </c>
      <c r="B12" s="1">
        <f>IFERROR(__xludf.DUMMYFUNCTION("""COMPUTED_VALUE"""),22295.0)</f>
        <v>22295</v>
      </c>
      <c r="C12" s="1" t="str">
        <f>IFERROR(__xludf.DUMMYFUNCTION("""COMPUTED_VALUE"""),"Heart filigree dove large")</f>
        <v>Heart filigree dove large</v>
      </c>
      <c r="D12" s="1">
        <f>IFERROR(__xludf.DUMMYFUNCTION("""COMPUTED_VALUE"""),2.0)</f>
        <v>2</v>
      </c>
      <c r="E12" s="3">
        <f>IFERROR(__xludf.DUMMYFUNCTION("""COMPUTED_VALUE"""),40639.0)</f>
        <v>40639</v>
      </c>
      <c r="F12" s="1">
        <f>IFERROR(__xludf.DUMMYFUNCTION("""COMPUTED_VALUE"""),1.65)</f>
        <v>1.65</v>
      </c>
      <c r="G12" s="1">
        <f>IFERROR(__xludf.DUMMYFUNCTION("""COMPUTED_VALUE"""),16241.0)</f>
        <v>16241</v>
      </c>
      <c r="H12" s="1">
        <v>3.3</v>
      </c>
      <c r="I12" s="1" t="str">
        <f t="shared" si="2"/>
        <v>Heart</v>
      </c>
      <c r="J12" s="1">
        <f t="shared" si="3"/>
        <v>35</v>
      </c>
      <c r="K12" s="1">
        <f t="shared" si="4"/>
        <v>1</v>
      </c>
      <c r="L12" s="1">
        <f t="shared" si="5"/>
        <v>3.3</v>
      </c>
    </row>
    <row r="13">
      <c r="A13" s="1">
        <f>IFERROR(__xludf.DUMMYFUNCTION("""COMPUTED_VALUE"""),540809.0)</f>
        <v>540809</v>
      </c>
      <c r="B13" s="1">
        <f>IFERROR(__xludf.DUMMYFUNCTION("""COMPUTED_VALUE"""),21900.0)</f>
        <v>21900</v>
      </c>
      <c r="C13" s="1" t="str">
        <f>IFERROR(__xludf.DUMMYFUNCTION("""COMPUTED_VALUE"""),"Key fob , shed")</f>
        <v>Key fob , shed</v>
      </c>
      <c r="D13" s="1">
        <f>IFERROR(__xludf.DUMMYFUNCTION("""COMPUTED_VALUE"""),24.0)</f>
        <v>24</v>
      </c>
      <c r="E13" s="3">
        <f>IFERROR(__xludf.DUMMYFUNCTION("""COMPUTED_VALUE"""),40554.0)</f>
        <v>40554</v>
      </c>
      <c r="F13" s="1">
        <f>IFERROR(__xludf.DUMMYFUNCTION("""COMPUTED_VALUE"""),0.65)</f>
        <v>0.65</v>
      </c>
      <c r="G13" s="1">
        <f>IFERROR(__xludf.DUMMYFUNCTION("""COMPUTED_VALUE"""),18095.0)</f>
        <v>18095</v>
      </c>
      <c r="H13" s="1">
        <v>15.600000000000001</v>
      </c>
      <c r="I13" s="1" t="str">
        <f t="shared" si="2"/>
        <v>Key</v>
      </c>
      <c r="J13" s="1">
        <f t="shared" si="3"/>
        <v>120</v>
      </c>
      <c r="K13" s="1">
        <f t="shared" si="4"/>
        <v>1</v>
      </c>
      <c r="L13" s="1">
        <f t="shared" si="5"/>
        <v>15.6</v>
      </c>
    </row>
    <row r="14">
      <c r="A14" s="1">
        <f>IFERROR(__xludf.DUMMYFUNCTION("""COMPUTED_VALUE"""),539416.0)</f>
        <v>539416</v>
      </c>
      <c r="B14" s="1">
        <f>IFERROR(__xludf.DUMMYFUNCTION("""COMPUTED_VALUE"""),22360.0)</f>
        <v>22360</v>
      </c>
      <c r="C14" s="1" t="str">
        <f>IFERROR(__xludf.DUMMYFUNCTION("""COMPUTED_VALUE"""),"Glass jar english confectionery")</f>
        <v>Glass jar english confectionery</v>
      </c>
      <c r="D14" s="1">
        <f>IFERROR(__xludf.DUMMYFUNCTION("""COMPUTED_VALUE"""),3.0)</f>
        <v>3</v>
      </c>
      <c r="E14" s="3">
        <f>IFERROR(__xludf.DUMMYFUNCTION("""COMPUTED_VALUE"""),40529.0)</f>
        <v>40529</v>
      </c>
      <c r="F14" s="1">
        <f>IFERROR(__xludf.DUMMYFUNCTION("""COMPUTED_VALUE"""),2.95)</f>
        <v>2.95</v>
      </c>
      <c r="G14" s="1">
        <f>IFERROR(__xludf.DUMMYFUNCTION("""COMPUTED_VALUE"""),17888.0)</f>
        <v>17888</v>
      </c>
      <c r="H14" s="1">
        <v>8.850000000000001</v>
      </c>
      <c r="I14" s="1" t="str">
        <f t="shared" si="2"/>
        <v>Glass</v>
      </c>
      <c r="J14" s="1">
        <f t="shared" si="3"/>
        <v>145</v>
      </c>
      <c r="K14" s="1">
        <f t="shared" si="4"/>
        <v>1</v>
      </c>
      <c r="L14" s="1">
        <f t="shared" si="5"/>
        <v>8.85</v>
      </c>
    </row>
    <row r="15">
      <c r="A15" s="1">
        <f>IFERROR(__xludf.DUMMYFUNCTION("""COMPUTED_VALUE"""),545690.0)</f>
        <v>545690</v>
      </c>
      <c r="B15" s="1">
        <f>IFERROR(__xludf.DUMMYFUNCTION("""COMPUTED_VALUE"""),22960.0)</f>
        <v>22960</v>
      </c>
      <c r="C15" s="1" t="str">
        <f>IFERROR(__xludf.DUMMYFUNCTION("""COMPUTED_VALUE"""),"Jam making set with jars")</f>
        <v>Jam making set with jars</v>
      </c>
      <c r="D15" s="1">
        <f>IFERROR(__xludf.DUMMYFUNCTION("""COMPUTED_VALUE"""),1.0)</f>
        <v>1</v>
      </c>
      <c r="E15" s="3">
        <f>IFERROR(__xludf.DUMMYFUNCTION("""COMPUTED_VALUE"""),40608.0)</f>
        <v>40608</v>
      </c>
      <c r="F15" s="1">
        <f>IFERROR(__xludf.DUMMYFUNCTION("""COMPUTED_VALUE"""),4.25)</f>
        <v>4.25</v>
      </c>
      <c r="G15" s="1">
        <f>IFERROR(__xludf.DUMMYFUNCTION("""COMPUTED_VALUE"""),13263.0)</f>
        <v>13263</v>
      </c>
      <c r="H15" s="1">
        <v>4.25</v>
      </c>
      <c r="I15" s="1" t="str">
        <f t="shared" si="2"/>
        <v>Jam</v>
      </c>
      <c r="J15" s="1">
        <f t="shared" si="3"/>
        <v>66</v>
      </c>
      <c r="K15" s="1">
        <f t="shared" si="4"/>
        <v>2</v>
      </c>
      <c r="L15" s="1">
        <f t="shared" si="5"/>
        <v>4.9</v>
      </c>
    </row>
    <row r="16">
      <c r="A16" s="1">
        <f>IFERROR(__xludf.DUMMYFUNCTION("""COMPUTED_VALUE"""),550622.0)</f>
        <v>550622</v>
      </c>
      <c r="B16" s="1">
        <f>IFERROR(__xludf.DUMMYFUNCTION("""COMPUTED_VALUE"""),84879.0)</f>
        <v>84879</v>
      </c>
      <c r="C16" s="1" t="str">
        <f>IFERROR(__xludf.DUMMYFUNCTION("""COMPUTED_VALUE"""),"Assorted colour bird ornament")</f>
        <v>Assorted colour bird ornament</v>
      </c>
      <c r="D16" s="1">
        <f>IFERROR(__xludf.DUMMYFUNCTION("""COMPUTED_VALUE"""),16.0)</f>
        <v>16</v>
      </c>
      <c r="E16" s="3">
        <f>IFERROR(__xludf.DUMMYFUNCTION("""COMPUTED_VALUE"""),40652.0)</f>
        <v>40652</v>
      </c>
      <c r="F16" s="1">
        <f>IFERROR(__xludf.DUMMYFUNCTION("""COMPUTED_VALUE"""),1.69)</f>
        <v>1.69</v>
      </c>
      <c r="G16" s="1">
        <f>IFERROR(__xludf.DUMMYFUNCTION("""COMPUTED_VALUE"""),13735.0)</f>
        <v>13735</v>
      </c>
      <c r="H16" s="1">
        <v>27.04</v>
      </c>
      <c r="I16" s="1" t="str">
        <f t="shared" si="2"/>
        <v>Assorted</v>
      </c>
      <c r="J16" s="1">
        <f t="shared" si="3"/>
        <v>22</v>
      </c>
      <c r="K16" s="1">
        <f t="shared" si="4"/>
        <v>1</v>
      </c>
      <c r="L16" s="1">
        <f t="shared" si="5"/>
        <v>27.04</v>
      </c>
    </row>
    <row r="17">
      <c r="A17" s="1">
        <f>IFERROR(__xludf.DUMMYFUNCTION("""COMPUTED_VALUE"""),551014.0)</f>
        <v>551014</v>
      </c>
      <c r="B17" s="1">
        <f>IFERROR(__xludf.DUMMYFUNCTION("""COMPUTED_VALUE"""),22937.0)</f>
        <v>22937</v>
      </c>
      <c r="C17" s="1" t="str">
        <f>IFERROR(__xludf.DUMMYFUNCTION("""COMPUTED_VALUE"""),"Baking mould chocolate cupcakes")</f>
        <v>Baking mould chocolate cupcakes</v>
      </c>
      <c r="D17" s="1">
        <f>IFERROR(__xludf.DUMMYFUNCTION("""COMPUTED_VALUE"""),6.0)</f>
        <v>6</v>
      </c>
      <c r="E17" s="3">
        <f>IFERROR(__xludf.DUMMYFUNCTION("""COMPUTED_VALUE"""),40659.0)</f>
        <v>40659</v>
      </c>
      <c r="F17" s="1">
        <f>IFERROR(__xludf.DUMMYFUNCTION("""COMPUTED_VALUE"""),2.55)</f>
        <v>2.55</v>
      </c>
      <c r="G17" s="1">
        <f>IFERROR(__xludf.DUMMYFUNCTION("""COMPUTED_VALUE"""),13209.0)</f>
        <v>13209</v>
      </c>
      <c r="H17" s="1">
        <v>15.299999999999999</v>
      </c>
      <c r="I17" s="1" t="str">
        <f t="shared" si="2"/>
        <v>Baking</v>
      </c>
      <c r="J17" s="1">
        <f t="shared" si="3"/>
        <v>15</v>
      </c>
      <c r="K17" s="1">
        <f t="shared" si="4"/>
        <v>1</v>
      </c>
      <c r="L17" s="1">
        <f t="shared" si="5"/>
        <v>15.3</v>
      </c>
    </row>
    <row r="18">
      <c r="A18" s="1">
        <f>IFERROR(__xludf.DUMMYFUNCTION("""COMPUTED_VALUE"""),538814.0)</f>
        <v>538814</v>
      </c>
      <c r="B18" s="1">
        <f>IFERROR(__xludf.DUMMYFUNCTION("""COMPUTED_VALUE"""),22622.0)</f>
        <v>22622</v>
      </c>
      <c r="C18" s="1" t="str">
        <f>IFERROR(__xludf.DUMMYFUNCTION("""COMPUTED_VALUE"""),"Box of vintage alphabet blocks")</f>
        <v>Box of vintage alphabet blocks</v>
      </c>
      <c r="D18" s="1">
        <f>IFERROR(__xludf.DUMMYFUNCTION("""COMPUTED_VALUE"""),1.0)</f>
        <v>1</v>
      </c>
      <c r="E18" s="3">
        <f>IFERROR(__xludf.DUMMYFUNCTION("""COMPUTED_VALUE"""),40526.0)</f>
        <v>40526</v>
      </c>
      <c r="F18" s="1">
        <f>IFERROR(__xludf.DUMMYFUNCTION("""COMPUTED_VALUE"""),9.95)</f>
        <v>9.95</v>
      </c>
      <c r="G18" s="1">
        <f>IFERROR(__xludf.DUMMYFUNCTION("""COMPUTED_VALUE"""),15983.0)</f>
        <v>15983</v>
      </c>
      <c r="H18" s="1">
        <v>9.95</v>
      </c>
      <c r="I18" s="1" t="str">
        <f t="shared" si="2"/>
        <v>Box</v>
      </c>
      <c r="J18" s="1">
        <f t="shared" si="3"/>
        <v>148</v>
      </c>
      <c r="K18" s="1">
        <f t="shared" si="4"/>
        <v>1</v>
      </c>
      <c r="L18" s="1">
        <f t="shared" si="5"/>
        <v>9.95</v>
      </c>
    </row>
    <row r="19">
      <c r="A19" s="1">
        <f>IFERROR(__xludf.DUMMYFUNCTION("""COMPUTED_VALUE"""),551193.0)</f>
        <v>551193</v>
      </c>
      <c r="B19" s="1">
        <f>IFERROR(__xludf.DUMMYFUNCTION("""COMPUTED_VALUE"""),21201.0)</f>
        <v>21201</v>
      </c>
      <c r="C19" s="1" t="str">
        <f>IFERROR(__xludf.DUMMYFUNCTION("""COMPUTED_VALUE"""),"Tropical  honeycomb paper garland")</f>
        <v>Tropical  honeycomb paper garland</v>
      </c>
      <c r="D19" s="1">
        <f>IFERROR(__xludf.DUMMYFUNCTION("""COMPUTED_VALUE"""),3.0)</f>
        <v>3</v>
      </c>
      <c r="E19" s="3">
        <f>IFERROR(__xludf.DUMMYFUNCTION("""COMPUTED_VALUE"""),40660.0)</f>
        <v>40660</v>
      </c>
      <c r="F19" s="1">
        <f>IFERROR(__xludf.DUMMYFUNCTION("""COMPUTED_VALUE"""),2.55)</f>
        <v>2.55</v>
      </c>
      <c r="G19" s="1">
        <f>IFERROR(__xludf.DUMMYFUNCTION("""COMPUTED_VALUE"""),17954.0)</f>
        <v>17954</v>
      </c>
      <c r="H19" s="1">
        <v>7.6499999999999995</v>
      </c>
      <c r="I19" s="1" t="str">
        <f t="shared" si="2"/>
        <v>Tropical</v>
      </c>
      <c r="J19" s="1">
        <f t="shared" si="3"/>
        <v>14</v>
      </c>
      <c r="K19" s="1">
        <f t="shared" si="4"/>
        <v>1</v>
      </c>
      <c r="L19" s="1">
        <f t="shared" si="5"/>
        <v>7.65</v>
      </c>
    </row>
    <row r="20">
      <c r="A20" s="1">
        <f>IFERROR(__xludf.DUMMYFUNCTION("""COMPUTED_VALUE"""),541279.0)</f>
        <v>541279</v>
      </c>
      <c r="B20" s="1">
        <f>IFERROR(__xludf.DUMMYFUNCTION("""COMPUTED_VALUE"""),20679.0)</f>
        <v>20679</v>
      </c>
      <c r="C20" s="1" t="str">
        <f>IFERROR(__xludf.DUMMYFUNCTION("""COMPUTED_VALUE"""),"Edwardian parasol red")</f>
        <v>Edwardian parasol red</v>
      </c>
      <c r="D20" s="1">
        <f>IFERROR(__xludf.DUMMYFUNCTION("""COMPUTED_VALUE"""),3.0)</f>
        <v>3</v>
      </c>
      <c r="E20" s="3">
        <f>IFERROR(__xludf.DUMMYFUNCTION("""COMPUTED_VALUE"""),40560.0)</f>
        <v>40560</v>
      </c>
      <c r="F20" s="1">
        <f>IFERROR(__xludf.DUMMYFUNCTION("""COMPUTED_VALUE"""),5.95)</f>
        <v>5.95</v>
      </c>
      <c r="G20" s="1">
        <f>IFERROR(__xludf.DUMMYFUNCTION("""COMPUTED_VALUE"""),18223.0)</f>
        <v>18223</v>
      </c>
      <c r="H20" s="1">
        <v>17.85</v>
      </c>
      <c r="I20" s="1" t="str">
        <f t="shared" si="2"/>
        <v>Edwardian</v>
      </c>
      <c r="J20" s="1">
        <f t="shared" si="3"/>
        <v>114</v>
      </c>
      <c r="K20" s="1">
        <f t="shared" si="4"/>
        <v>1</v>
      </c>
      <c r="L20" s="1">
        <f t="shared" si="5"/>
        <v>17.85</v>
      </c>
    </row>
    <row r="21">
      <c r="A21" s="1">
        <f>IFERROR(__xludf.DUMMYFUNCTION("""COMPUTED_VALUE"""),548874.0)</f>
        <v>548874</v>
      </c>
      <c r="B21" s="1">
        <f>IFERROR(__xludf.DUMMYFUNCTION("""COMPUTED_VALUE"""),21672.0)</f>
        <v>21672</v>
      </c>
      <c r="C21" s="1" t="str">
        <f>IFERROR(__xludf.DUMMYFUNCTION("""COMPUTED_VALUE"""),"White spot red ceramic drawer knob")</f>
        <v>White spot red ceramic drawer knob</v>
      </c>
      <c r="D21" s="1">
        <f>IFERROR(__xludf.DUMMYFUNCTION("""COMPUTED_VALUE"""),12.0)</f>
        <v>12</v>
      </c>
      <c r="E21" s="3">
        <f>IFERROR(__xludf.DUMMYFUNCTION("""COMPUTED_VALUE"""),40637.0)</f>
        <v>40637</v>
      </c>
      <c r="F21" s="1">
        <f>IFERROR(__xludf.DUMMYFUNCTION("""COMPUTED_VALUE"""),1.25)</f>
        <v>1.25</v>
      </c>
      <c r="G21" s="1">
        <f>IFERROR(__xludf.DUMMYFUNCTION("""COMPUTED_VALUE"""),17716.0)</f>
        <v>17716</v>
      </c>
      <c r="H21" s="1">
        <v>15.0</v>
      </c>
      <c r="I21" s="1" t="str">
        <f t="shared" si="2"/>
        <v>White</v>
      </c>
      <c r="J21" s="1">
        <f t="shared" si="3"/>
        <v>37</v>
      </c>
      <c r="K21" s="1">
        <f t="shared" si="4"/>
        <v>1</v>
      </c>
      <c r="L21" s="1">
        <f t="shared" si="5"/>
        <v>15</v>
      </c>
    </row>
    <row r="22">
      <c r="A22" s="1">
        <f>IFERROR(__xludf.DUMMYFUNCTION("""COMPUTED_VALUE"""),552560.0)</f>
        <v>552560</v>
      </c>
      <c r="B22" s="1">
        <f>IFERROR(__xludf.DUMMYFUNCTION("""COMPUTED_VALUE"""),22986.0)</f>
        <v>22986</v>
      </c>
      <c r="C22" s="1" t="str">
        <f>IFERROR(__xludf.DUMMYFUNCTION("""COMPUTED_VALUE"""),"Gingham rose wrap")</f>
        <v>Gingham rose wrap</v>
      </c>
      <c r="D22" s="1">
        <f>IFERROR(__xludf.DUMMYFUNCTION("""COMPUTED_VALUE"""),25.0)</f>
        <v>25</v>
      </c>
      <c r="E22" s="3">
        <f>IFERROR(__xludf.DUMMYFUNCTION("""COMPUTED_VALUE"""),40673.0)</f>
        <v>40673</v>
      </c>
      <c r="F22" s="1">
        <f>IFERROR(__xludf.DUMMYFUNCTION("""COMPUTED_VALUE"""),0.42)</f>
        <v>0.42</v>
      </c>
      <c r="G22" s="1">
        <f>IFERROR(__xludf.DUMMYFUNCTION("""COMPUTED_VALUE"""),17581.0)</f>
        <v>17581</v>
      </c>
      <c r="H22" s="1">
        <v>10.5</v>
      </c>
      <c r="I22" s="1" t="str">
        <f t="shared" si="2"/>
        <v>Gingham</v>
      </c>
      <c r="J22" s="1">
        <f t="shared" si="3"/>
        <v>1</v>
      </c>
      <c r="K22" s="1">
        <f t="shared" si="4"/>
        <v>1</v>
      </c>
      <c r="L22" s="1">
        <f t="shared" si="5"/>
        <v>10.5</v>
      </c>
    </row>
    <row r="23">
      <c r="A23" s="1">
        <f>IFERROR(__xludf.DUMMYFUNCTION("""COMPUTED_VALUE"""),550359.0)</f>
        <v>550359</v>
      </c>
      <c r="B23" s="1">
        <f>IFERROR(__xludf.DUMMYFUNCTION("""COMPUTED_VALUE"""),84378.0)</f>
        <v>84378</v>
      </c>
      <c r="C23" s="1" t="str">
        <f>IFERROR(__xludf.DUMMYFUNCTION("""COMPUTED_VALUE"""),"Set of 3 heart cookie cutters")</f>
        <v>Set of 3 heart cookie cutters</v>
      </c>
      <c r="D23" s="1">
        <f>IFERROR(__xludf.DUMMYFUNCTION("""COMPUTED_VALUE"""),1.0)</f>
        <v>1</v>
      </c>
      <c r="E23" s="3">
        <f>IFERROR(__xludf.DUMMYFUNCTION("""COMPUTED_VALUE"""),40651.0)</f>
        <v>40651</v>
      </c>
      <c r="F23" s="1">
        <f>IFERROR(__xludf.DUMMYFUNCTION("""COMPUTED_VALUE"""),1.25)</f>
        <v>1.25</v>
      </c>
      <c r="G23" s="1">
        <f>IFERROR(__xludf.DUMMYFUNCTION("""COMPUTED_VALUE"""),17841.0)</f>
        <v>17841</v>
      </c>
      <c r="H23" s="1">
        <v>1.25</v>
      </c>
      <c r="I23" s="1" t="str">
        <f t="shared" si="2"/>
        <v>Set</v>
      </c>
      <c r="J23" s="1">
        <f t="shared" si="3"/>
        <v>23</v>
      </c>
      <c r="K23" s="1">
        <f t="shared" si="4"/>
        <v>1</v>
      </c>
      <c r="L23" s="1">
        <f t="shared" si="5"/>
        <v>1.25</v>
      </c>
    </row>
    <row r="24">
      <c r="A24" s="1">
        <f>IFERROR(__xludf.DUMMYFUNCTION("""COMPUTED_VALUE"""),546643.0)</f>
        <v>546643</v>
      </c>
      <c r="B24" s="1">
        <f>IFERROR(__xludf.DUMMYFUNCTION("""COMPUTED_VALUE"""),22846.0)</f>
        <v>22846</v>
      </c>
      <c r="C24" s="1" t="str">
        <f>IFERROR(__xludf.DUMMYFUNCTION("""COMPUTED_VALUE"""),"Bread bin diner style red")</f>
        <v>Bread bin diner style red</v>
      </c>
      <c r="D24" s="1">
        <f>IFERROR(__xludf.DUMMYFUNCTION("""COMPUTED_VALUE"""),1.0)</f>
        <v>1</v>
      </c>
      <c r="E24" s="3">
        <f>IFERROR(__xludf.DUMMYFUNCTION("""COMPUTED_VALUE"""),40617.0)</f>
        <v>40617</v>
      </c>
      <c r="F24" s="1">
        <f>IFERROR(__xludf.DUMMYFUNCTION("""COMPUTED_VALUE"""),16.95)</f>
        <v>16.95</v>
      </c>
      <c r="G24" s="1">
        <f>IFERROR(__xludf.DUMMYFUNCTION("""COMPUTED_VALUE"""),16214.0)</f>
        <v>16214</v>
      </c>
      <c r="H24" s="1">
        <v>16.95</v>
      </c>
      <c r="I24" s="1" t="str">
        <f t="shared" si="2"/>
        <v>Bread</v>
      </c>
      <c r="J24" s="1">
        <f t="shared" si="3"/>
        <v>57</v>
      </c>
      <c r="K24" s="1">
        <f t="shared" si="4"/>
        <v>1</v>
      </c>
      <c r="L24" s="1">
        <f t="shared" si="5"/>
        <v>16.95</v>
      </c>
    </row>
    <row r="25">
      <c r="A25" s="1">
        <f>IFERROR(__xludf.DUMMYFUNCTION("""COMPUTED_VALUE"""),546786.0)</f>
        <v>546786</v>
      </c>
      <c r="B25" s="1">
        <f>IFERROR(__xludf.DUMMYFUNCTION("""COMPUTED_VALUE"""),22250.0)</f>
        <v>22250</v>
      </c>
      <c r="C25" s="1" t="str">
        <f>IFERROR(__xludf.DUMMYFUNCTION("""COMPUTED_VALUE"""),"Decoration  butterfly  magic garden")</f>
        <v>Decoration  butterfly  magic garden</v>
      </c>
      <c r="D25" s="1">
        <f>IFERROR(__xludf.DUMMYFUNCTION("""COMPUTED_VALUE"""),16.0)</f>
        <v>16</v>
      </c>
      <c r="E25" s="3">
        <f>IFERROR(__xludf.DUMMYFUNCTION("""COMPUTED_VALUE"""),40619.0)</f>
        <v>40619</v>
      </c>
      <c r="F25" s="1">
        <f>IFERROR(__xludf.DUMMYFUNCTION("""COMPUTED_VALUE"""),0.85)</f>
        <v>0.85</v>
      </c>
      <c r="G25" s="1">
        <f>IFERROR(__xludf.DUMMYFUNCTION("""COMPUTED_VALUE"""),16523.0)</f>
        <v>16523</v>
      </c>
      <c r="H25" s="1">
        <v>13.6</v>
      </c>
      <c r="I25" s="1" t="str">
        <f t="shared" si="2"/>
        <v>Decoration</v>
      </c>
      <c r="J25" s="1">
        <f t="shared" si="3"/>
        <v>55</v>
      </c>
      <c r="K25" s="1">
        <f t="shared" si="4"/>
        <v>1</v>
      </c>
      <c r="L25" s="1">
        <f t="shared" si="5"/>
        <v>13.6</v>
      </c>
    </row>
    <row r="26">
      <c r="A26" s="1">
        <f>IFERROR(__xludf.DUMMYFUNCTION("""COMPUTED_VALUE"""),541838.0)</f>
        <v>541838</v>
      </c>
      <c r="B26" s="1">
        <f>IFERROR(__xludf.DUMMYFUNCTION("""COMPUTED_VALUE"""),22794.0)</f>
        <v>22794</v>
      </c>
      <c r="C26" s="1" t="str">
        <f>IFERROR(__xludf.DUMMYFUNCTION("""COMPUTED_VALUE"""),"Sweetheart wire magazine rack")</f>
        <v>Sweetheart wire magazine rack</v>
      </c>
      <c r="D26" s="1">
        <f>IFERROR(__xludf.DUMMYFUNCTION("""COMPUTED_VALUE"""),3.0)</f>
        <v>3</v>
      </c>
      <c r="E26" s="3">
        <f>IFERROR(__xludf.DUMMYFUNCTION("""COMPUTED_VALUE"""),40566.0)</f>
        <v>40566</v>
      </c>
      <c r="F26" s="1">
        <f>IFERROR(__xludf.DUMMYFUNCTION("""COMPUTED_VALUE"""),7.95)</f>
        <v>7.95</v>
      </c>
      <c r="G26" s="1">
        <f>IFERROR(__xludf.DUMMYFUNCTION("""COMPUTED_VALUE"""),12916.0)</f>
        <v>12916</v>
      </c>
      <c r="H26" s="1">
        <v>23.85</v>
      </c>
      <c r="I26" s="1" t="str">
        <f t="shared" si="2"/>
        <v>Sweetheart</v>
      </c>
      <c r="J26" s="1">
        <f t="shared" si="3"/>
        <v>108</v>
      </c>
      <c r="K26" s="1">
        <f t="shared" si="4"/>
        <v>1</v>
      </c>
      <c r="L26" s="1">
        <f t="shared" si="5"/>
        <v>23.85</v>
      </c>
    </row>
    <row r="27">
      <c r="A27" s="1">
        <f>IFERROR(__xludf.DUMMYFUNCTION("""COMPUTED_VALUE"""),543164.0)</f>
        <v>543164</v>
      </c>
      <c r="B27" s="1">
        <f>IFERROR(__xludf.DUMMYFUNCTION("""COMPUTED_VALUE"""),22469.0)</f>
        <v>22469</v>
      </c>
      <c r="C27" s="1" t="str">
        <f>IFERROR(__xludf.DUMMYFUNCTION("""COMPUTED_VALUE"""),"Heart of wicker small")</f>
        <v>Heart of wicker small</v>
      </c>
      <c r="D27" s="1">
        <f>IFERROR(__xludf.DUMMYFUNCTION("""COMPUTED_VALUE"""),6.0)</f>
        <v>6</v>
      </c>
      <c r="E27" s="3">
        <f>IFERROR(__xludf.DUMMYFUNCTION("""COMPUTED_VALUE"""),40577.0)</f>
        <v>40577</v>
      </c>
      <c r="F27" s="1">
        <f>IFERROR(__xludf.DUMMYFUNCTION("""COMPUTED_VALUE"""),1.65)</f>
        <v>1.65</v>
      </c>
      <c r="G27" s="1">
        <f>IFERROR(__xludf.DUMMYFUNCTION("""COMPUTED_VALUE"""),13208.0)</f>
        <v>13208</v>
      </c>
      <c r="H27" s="1">
        <v>9.899999999999999</v>
      </c>
      <c r="I27" s="1" t="str">
        <f t="shared" si="2"/>
        <v>Heart</v>
      </c>
      <c r="J27" s="1">
        <f t="shared" si="3"/>
        <v>97</v>
      </c>
      <c r="K27" s="1">
        <f t="shared" si="4"/>
        <v>1</v>
      </c>
      <c r="L27" s="1">
        <f t="shared" si="5"/>
        <v>9.9</v>
      </c>
    </row>
    <row r="28">
      <c r="A28" s="1">
        <f>IFERROR(__xludf.DUMMYFUNCTION("""COMPUTED_VALUE"""),540348.0)</f>
        <v>540348</v>
      </c>
      <c r="B28" s="1">
        <f>IFERROR(__xludf.DUMMYFUNCTION("""COMPUTED_VALUE"""),22262.0)</f>
        <v>22262</v>
      </c>
      <c r="C28" s="1" t="str">
        <f>IFERROR(__xludf.DUMMYFUNCTION("""COMPUTED_VALUE"""),"Felt egg cosy chicken")</f>
        <v>Felt egg cosy chicken</v>
      </c>
      <c r="D28" s="1">
        <f>IFERROR(__xludf.DUMMYFUNCTION("""COMPUTED_VALUE"""),4.0)</f>
        <v>4</v>
      </c>
      <c r="E28" s="3">
        <f>IFERROR(__xludf.DUMMYFUNCTION("""COMPUTED_VALUE"""),40549.0)</f>
        <v>40549</v>
      </c>
      <c r="F28" s="1">
        <f>IFERROR(__xludf.DUMMYFUNCTION("""COMPUTED_VALUE"""),0.85)</f>
        <v>0.85</v>
      </c>
      <c r="G28" s="1">
        <f>IFERROR(__xludf.DUMMYFUNCTION("""COMPUTED_VALUE"""),12841.0)</f>
        <v>12841</v>
      </c>
      <c r="H28" s="1">
        <v>3.4</v>
      </c>
      <c r="I28" s="1" t="str">
        <f t="shared" si="2"/>
        <v>Felt</v>
      </c>
      <c r="J28" s="1">
        <f t="shared" si="3"/>
        <v>125</v>
      </c>
      <c r="K28" s="1">
        <f t="shared" si="4"/>
        <v>1</v>
      </c>
      <c r="L28" s="1">
        <f t="shared" si="5"/>
        <v>3.4</v>
      </c>
    </row>
    <row r="29">
      <c r="A29" s="1">
        <f>IFERROR(__xludf.DUMMYFUNCTION("""COMPUTED_VALUE"""),541260.0)</f>
        <v>541260</v>
      </c>
      <c r="B29" s="1">
        <f>IFERROR(__xludf.DUMMYFUNCTION("""COMPUTED_VALUE"""),22241.0)</f>
        <v>22241</v>
      </c>
      <c r="C29" s="1" t="str">
        <f>IFERROR(__xludf.DUMMYFUNCTION("""COMPUTED_VALUE"""),"Garland wooden happy easter")</f>
        <v>Garland wooden happy easter</v>
      </c>
      <c r="D29" s="1">
        <f>IFERROR(__xludf.DUMMYFUNCTION("""COMPUTED_VALUE"""),4.0)</f>
        <v>4</v>
      </c>
      <c r="E29" s="3">
        <f>IFERROR(__xludf.DUMMYFUNCTION("""COMPUTED_VALUE"""),40559.0)</f>
        <v>40559</v>
      </c>
      <c r="F29" s="1">
        <f>IFERROR(__xludf.DUMMYFUNCTION("""COMPUTED_VALUE"""),1.25)</f>
        <v>1.25</v>
      </c>
      <c r="G29" s="1">
        <f>IFERROR(__xludf.DUMMYFUNCTION("""COMPUTED_VALUE"""),16059.0)</f>
        <v>16059</v>
      </c>
      <c r="H29" s="1">
        <v>5.0</v>
      </c>
      <c r="I29" s="1" t="str">
        <f t="shared" si="2"/>
        <v>Garland</v>
      </c>
      <c r="J29" s="1">
        <f t="shared" si="3"/>
        <v>115</v>
      </c>
      <c r="K29" s="1">
        <f t="shared" si="4"/>
        <v>1</v>
      </c>
      <c r="L29" s="1">
        <f t="shared" si="5"/>
        <v>5</v>
      </c>
    </row>
    <row r="30">
      <c r="A30" s="1">
        <f>IFERROR(__xludf.DUMMYFUNCTION("""COMPUTED_VALUE"""),547073.0)</f>
        <v>547073</v>
      </c>
      <c r="B30" s="1">
        <f>IFERROR(__xludf.DUMMYFUNCTION("""COMPUTED_VALUE"""),22178.0)</f>
        <v>22178</v>
      </c>
      <c r="C30" s="1" t="str">
        <f>IFERROR(__xludf.DUMMYFUNCTION("""COMPUTED_VALUE"""),"Victorian glass hanging t-light")</f>
        <v>Victorian glass hanging t-light</v>
      </c>
      <c r="D30" s="1">
        <f>IFERROR(__xludf.DUMMYFUNCTION("""COMPUTED_VALUE"""),12.0)</f>
        <v>12</v>
      </c>
      <c r="E30" s="3">
        <f>IFERROR(__xludf.DUMMYFUNCTION("""COMPUTED_VALUE"""),40622.0)</f>
        <v>40622</v>
      </c>
      <c r="F30" s="1">
        <f>IFERROR(__xludf.DUMMYFUNCTION("""COMPUTED_VALUE"""),1.25)</f>
        <v>1.25</v>
      </c>
      <c r="G30" s="1">
        <f>IFERROR(__xludf.DUMMYFUNCTION("""COMPUTED_VALUE"""),17211.0)</f>
        <v>17211</v>
      </c>
      <c r="H30" s="1">
        <v>15.0</v>
      </c>
      <c r="I30" s="1" t="str">
        <f t="shared" si="2"/>
        <v>Victorian</v>
      </c>
      <c r="J30" s="1">
        <f t="shared" si="3"/>
        <v>52</v>
      </c>
      <c r="K30" s="1">
        <f t="shared" si="4"/>
        <v>1</v>
      </c>
      <c r="L30" s="1">
        <f t="shared" si="5"/>
        <v>15</v>
      </c>
    </row>
    <row r="31">
      <c r="A31" s="1">
        <f>IFERROR(__xludf.DUMMYFUNCTION("""COMPUTED_VALUE"""),543979.0)</f>
        <v>543979</v>
      </c>
      <c r="B31" s="1">
        <f>IFERROR(__xludf.DUMMYFUNCTION("""COMPUTED_VALUE"""),22296.0)</f>
        <v>22296</v>
      </c>
      <c r="C31" s="1" t="str">
        <f>IFERROR(__xludf.DUMMYFUNCTION("""COMPUTED_VALUE"""),"Heart ivory trellis large")</f>
        <v>Heart ivory trellis large</v>
      </c>
      <c r="D31" s="1">
        <f>IFERROR(__xludf.DUMMYFUNCTION("""COMPUTED_VALUE"""),1.0)</f>
        <v>1</v>
      </c>
      <c r="E31" s="3">
        <f>IFERROR(__xludf.DUMMYFUNCTION("""COMPUTED_VALUE"""),40588.0)</f>
        <v>40588</v>
      </c>
      <c r="F31" s="1">
        <f>IFERROR(__xludf.DUMMYFUNCTION("""COMPUTED_VALUE"""),1.65)</f>
        <v>1.65</v>
      </c>
      <c r="G31" s="1">
        <f>IFERROR(__xludf.DUMMYFUNCTION("""COMPUTED_VALUE"""),14606.0)</f>
        <v>14606</v>
      </c>
      <c r="H31" s="1">
        <v>1.65</v>
      </c>
      <c r="I31" s="1" t="str">
        <f t="shared" si="2"/>
        <v>Heart</v>
      </c>
      <c r="J31" s="1">
        <f t="shared" si="3"/>
        <v>86</v>
      </c>
      <c r="K31" s="1">
        <f t="shared" si="4"/>
        <v>1</v>
      </c>
      <c r="L31" s="1">
        <f t="shared" si="5"/>
        <v>1.65</v>
      </c>
    </row>
    <row r="32">
      <c r="A32" s="1">
        <f>IFERROR(__xludf.DUMMYFUNCTION("""COMPUTED_VALUE"""),552472.0)</f>
        <v>552472</v>
      </c>
      <c r="B32" s="1">
        <f>IFERROR(__xludf.DUMMYFUNCTION("""COMPUTED_VALUE"""),22568.0)</f>
        <v>22568</v>
      </c>
      <c r="C32" s="1" t="str">
        <f>IFERROR(__xludf.DUMMYFUNCTION("""COMPUTED_VALUE"""),"Feltcraft cushion owl")</f>
        <v>Feltcraft cushion owl</v>
      </c>
      <c r="D32" s="1">
        <f>IFERROR(__xludf.DUMMYFUNCTION("""COMPUTED_VALUE"""),4.0)</f>
        <v>4</v>
      </c>
      <c r="E32" s="3">
        <f>IFERROR(__xludf.DUMMYFUNCTION("""COMPUTED_VALUE"""),40672.0)</f>
        <v>40672</v>
      </c>
      <c r="F32" s="1">
        <f>IFERROR(__xludf.DUMMYFUNCTION("""COMPUTED_VALUE"""),3.75)</f>
        <v>3.75</v>
      </c>
      <c r="G32" s="1">
        <f>IFERROR(__xludf.DUMMYFUNCTION("""COMPUTED_VALUE"""),16503.0)</f>
        <v>16503</v>
      </c>
      <c r="H32" s="1">
        <v>15.0</v>
      </c>
      <c r="I32" s="1" t="str">
        <f t="shared" si="2"/>
        <v>Feltcraft</v>
      </c>
      <c r="J32" s="1">
        <f t="shared" si="3"/>
        <v>2</v>
      </c>
      <c r="K32" s="1">
        <f t="shared" si="4"/>
        <v>1</v>
      </c>
      <c r="L32" s="1">
        <f t="shared" si="5"/>
        <v>15</v>
      </c>
    </row>
    <row r="33">
      <c r="A33" s="1">
        <f>IFERROR(__xludf.DUMMYFUNCTION("""COMPUTED_VALUE"""),544167.0)</f>
        <v>544167</v>
      </c>
      <c r="B33" s="1">
        <f>IFERROR(__xludf.DUMMYFUNCTION("""COMPUTED_VALUE"""),21217.0)</f>
        <v>21217</v>
      </c>
      <c r="C33" s="1" t="str">
        <f>IFERROR(__xludf.DUMMYFUNCTION("""COMPUTED_VALUE"""),"Red retrospot round cake tins")</f>
        <v>Red retrospot round cake tins</v>
      </c>
      <c r="D33" s="1">
        <f>IFERROR(__xludf.DUMMYFUNCTION("""COMPUTED_VALUE"""),1.0)</f>
        <v>1</v>
      </c>
      <c r="E33" s="3">
        <f>IFERROR(__xludf.DUMMYFUNCTION("""COMPUTED_VALUE"""),40590.0)</f>
        <v>40590</v>
      </c>
      <c r="F33" s="1">
        <f>IFERROR(__xludf.DUMMYFUNCTION("""COMPUTED_VALUE"""),9.95)</f>
        <v>9.95</v>
      </c>
      <c r="G33" s="1">
        <f>IFERROR(__xludf.DUMMYFUNCTION("""COMPUTED_VALUE"""),14755.0)</f>
        <v>14755</v>
      </c>
      <c r="H33" s="1">
        <v>9.95</v>
      </c>
      <c r="I33" s="1" t="str">
        <f t="shared" si="2"/>
        <v>Red</v>
      </c>
      <c r="J33" s="1">
        <f t="shared" si="3"/>
        <v>84</v>
      </c>
      <c r="K33" s="1">
        <f t="shared" si="4"/>
        <v>1</v>
      </c>
      <c r="L33" s="1">
        <f t="shared" si="5"/>
        <v>9.95</v>
      </c>
    </row>
    <row r="34">
      <c r="A34" s="1">
        <f>IFERROR(__xludf.DUMMYFUNCTION("""COMPUTED_VALUE"""),543040.0)</f>
        <v>543040</v>
      </c>
      <c r="B34" s="1">
        <f>IFERROR(__xludf.DUMMYFUNCTION("""COMPUTED_VALUE"""),85176.0)</f>
        <v>85176</v>
      </c>
      <c r="C34" s="1" t="str">
        <f>IFERROR(__xludf.DUMMYFUNCTION("""COMPUTED_VALUE"""),"Sewing susan 21 needle set")</f>
        <v>Sewing susan 21 needle set</v>
      </c>
      <c r="D34" s="1">
        <f>IFERROR(__xludf.DUMMYFUNCTION("""COMPUTED_VALUE"""),2.0)</f>
        <v>2</v>
      </c>
      <c r="E34" s="3">
        <f>IFERROR(__xludf.DUMMYFUNCTION("""COMPUTED_VALUE"""),40576.0)</f>
        <v>40576</v>
      </c>
      <c r="F34" s="1">
        <f>IFERROR(__xludf.DUMMYFUNCTION("""COMPUTED_VALUE"""),0.85)</f>
        <v>0.85</v>
      </c>
      <c r="G34" s="1">
        <f>IFERROR(__xludf.DUMMYFUNCTION("""COMPUTED_VALUE"""),17337.0)</f>
        <v>17337</v>
      </c>
      <c r="H34" s="1">
        <v>1.7</v>
      </c>
      <c r="I34" s="1" t="str">
        <f t="shared" si="2"/>
        <v>Sewing</v>
      </c>
      <c r="J34" s="1">
        <f t="shared" si="3"/>
        <v>98</v>
      </c>
      <c r="K34" s="1">
        <f t="shared" si="4"/>
        <v>1</v>
      </c>
      <c r="L34" s="1">
        <f t="shared" si="5"/>
        <v>1.7</v>
      </c>
    </row>
    <row r="35">
      <c r="A35" s="1">
        <f>IFERROR(__xludf.DUMMYFUNCTION("""COMPUTED_VALUE"""),548612.0)</f>
        <v>548612</v>
      </c>
      <c r="B35" s="1">
        <f>IFERROR(__xludf.DUMMYFUNCTION("""COMPUTED_VALUE"""),22380.0)</f>
        <v>22380</v>
      </c>
      <c r="C35" s="1" t="str">
        <f>IFERROR(__xludf.DUMMYFUNCTION("""COMPUTED_VALUE"""),"Toy tidy spaceboy")</f>
        <v>Toy tidy spaceboy</v>
      </c>
      <c r="D35" s="1">
        <f>IFERROR(__xludf.DUMMYFUNCTION("""COMPUTED_VALUE"""),3.0)</f>
        <v>3</v>
      </c>
      <c r="E35" s="3">
        <f>IFERROR(__xludf.DUMMYFUNCTION("""COMPUTED_VALUE"""),40634.0)</f>
        <v>40634</v>
      </c>
      <c r="F35" s="1">
        <f>IFERROR(__xludf.DUMMYFUNCTION("""COMPUTED_VALUE"""),2.1)</f>
        <v>2.1</v>
      </c>
      <c r="G35" s="1">
        <f>IFERROR(__xludf.DUMMYFUNCTION("""COMPUTED_VALUE"""),13137.0)</f>
        <v>13137</v>
      </c>
      <c r="H35" s="1">
        <v>6.300000000000001</v>
      </c>
      <c r="I35" s="1" t="str">
        <f t="shared" si="2"/>
        <v>Toy</v>
      </c>
      <c r="J35" s="1">
        <f t="shared" si="3"/>
        <v>40</v>
      </c>
      <c r="K35" s="1">
        <f t="shared" si="4"/>
        <v>1</v>
      </c>
      <c r="L35" s="1">
        <f t="shared" si="5"/>
        <v>6.3</v>
      </c>
    </row>
    <row r="36">
      <c r="A36" s="1">
        <f>IFERROR(__xludf.DUMMYFUNCTION("""COMPUTED_VALUE"""),538168.0)</f>
        <v>538168</v>
      </c>
      <c r="B36" s="1">
        <f>IFERROR(__xludf.DUMMYFUNCTION("""COMPUTED_VALUE"""),22144.0)</f>
        <v>22144</v>
      </c>
      <c r="C36" s="1" t="str">
        <f>IFERROR(__xludf.DUMMYFUNCTION("""COMPUTED_VALUE"""),"Christmas craft little friends")</f>
        <v>Christmas craft little friends</v>
      </c>
      <c r="D36" s="1">
        <f>IFERROR(__xludf.DUMMYFUNCTION("""COMPUTED_VALUE"""),6.0)</f>
        <v>6</v>
      </c>
      <c r="E36" s="3">
        <f>IFERROR(__xludf.DUMMYFUNCTION("""COMPUTED_VALUE"""),40521.0)</f>
        <v>40521</v>
      </c>
      <c r="F36" s="1">
        <f>IFERROR(__xludf.DUMMYFUNCTION("""COMPUTED_VALUE"""),2.1)</f>
        <v>2.1</v>
      </c>
      <c r="G36" s="1">
        <f>IFERROR(__xludf.DUMMYFUNCTION("""COMPUTED_VALUE"""),14702.0)</f>
        <v>14702</v>
      </c>
      <c r="H36" s="1">
        <v>12.600000000000001</v>
      </c>
      <c r="I36" s="1" t="str">
        <f t="shared" si="2"/>
        <v>Christmas</v>
      </c>
      <c r="J36" s="1">
        <f t="shared" si="3"/>
        <v>153</v>
      </c>
      <c r="K36" s="1">
        <f t="shared" si="4"/>
        <v>1</v>
      </c>
      <c r="L36" s="1">
        <f t="shared" si="5"/>
        <v>12.6</v>
      </c>
    </row>
    <row r="37">
      <c r="A37" s="1">
        <f>IFERROR(__xludf.DUMMYFUNCTION("""COMPUTED_VALUE"""),546561.0)</f>
        <v>546561</v>
      </c>
      <c r="B37" s="1">
        <f>IFERROR(__xludf.DUMMYFUNCTION("""COMPUTED_VALUE"""),22053.0)</f>
        <v>22053</v>
      </c>
      <c r="C37" s="1" t="str">
        <f>IFERROR(__xludf.DUMMYFUNCTION("""COMPUTED_VALUE"""),"Empire design rosette")</f>
        <v>Empire design rosette</v>
      </c>
      <c r="D37" s="1">
        <f>IFERROR(__xludf.DUMMYFUNCTION("""COMPUTED_VALUE"""),10.0)</f>
        <v>10</v>
      </c>
      <c r="E37" s="3">
        <f>IFERROR(__xludf.DUMMYFUNCTION("""COMPUTED_VALUE"""),40617.0)</f>
        <v>40617</v>
      </c>
      <c r="F37" s="1">
        <f>IFERROR(__xludf.DUMMYFUNCTION("""COMPUTED_VALUE"""),1.25)</f>
        <v>1.25</v>
      </c>
      <c r="G37" s="1">
        <f>IFERROR(__xludf.DUMMYFUNCTION("""COMPUTED_VALUE"""),18260.0)</f>
        <v>18260</v>
      </c>
      <c r="H37" s="1">
        <v>12.5</v>
      </c>
      <c r="I37" s="1" t="str">
        <f t="shared" si="2"/>
        <v>Empire</v>
      </c>
      <c r="J37" s="1">
        <f t="shared" si="3"/>
        <v>57</v>
      </c>
      <c r="K37" s="1">
        <f t="shared" si="4"/>
        <v>1</v>
      </c>
      <c r="L37" s="1">
        <f t="shared" si="5"/>
        <v>12.5</v>
      </c>
    </row>
    <row r="38">
      <c r="A38" s="1">
        <f>IFERROR(__xludf.DUMMYFUNCTION("""COMPUTED_VALUE"""),538201.0)</f>
        <v>538201</v>
      </c>
      <c r="B38" s="1" t="str">
        <f>IFERROR(__xludf.DUMMYFUNCTION("""COMPUTED_VALUE"""),"84559B")</f>
        <v>84559B</v>
      </c>
      <c r="C38" s="1" t="str">
        <f>IFERROR(__xludf.DUMMYFUNCTION("""COMPUTED_VALUE"""),"3d sheet of cat stickers")</f>
        <v>3d sheet of cat stickers</v>
      </c>
      <c r="D38" s="1">
        <f>IFERROR(__xludf.DUMMYFUNCTION("""COMPUTED_VALUE"""),1.0)</f>
        <v>1</v>
      </c>
      <c r="E38" s="3">
        <f>IFERROR(__xludf.DUMMYFUNCTION("""COMPUTED_VALUE"""),40522.0)</f>
        <v>40522</v>
      </c>
      <c r="F38" s="1">
        <f>IFERROR(__xludf.DUMMYFUNCTION("""COMPUTED_VALUE"""),0.85)</f>
        <v>0.85</v>
      </c>
      <c r="G38" s="1">
        <f>IFERROR(__xludf.DUMMYFUNCTION("""COMPUTED_VALUE"""),15723.0)</f>
        <v>15723</v>
      </c>
      <c r="H38" s="1">
        <v>0.85</v>
      </c>
      <c r="I38" s="1" t="str">
        <f t="shared" si="2"/>
        <v>3d</v>
      </c>
      <c r="J38" s="1">
        <f t="shared" si="3"/>
        <v>152</v>
      </c>
      <c r="K38" s="1">
        <f t="shared" si="4"/>
        <v>1</v>
      </c>
      <c r="L38" s="1">
        <f t="shared" si="5"/>
        <v>0.85</v>
      </c>
    </row>
    <row r="39">
      <c r="A39" s="1">
        <f>IFERROR(__xludf.DUMMYFUNCTION("""COMPUTED_VALUE"""),539463.0)</f>
        <v>539463</v>
      </c>
      <c r="B39" s="1">
        <f>IFERROR(__xludf.DUMMYFUNCTION("""COMPUTED_VALUE"""),21012.0)</f>
        <v>21012</v>
      </c>
      <c r="C39" s="1" t="str">
        <f>IFERROR(__xludf.DUMMYFUNCTION("""COMPUTED_VALUE"""),"Antique all glass candlestick")</f>
        <v>Antique all glass candlestick</v>
      </c>
      <c r="D39" s="1">
        <f>IFERROR(__xludf.DUMMYFUNCTION("""COMPUTED_VALUE"""),6.0)</f>
        <v>6</v>
      </c>
      <c r="E39" s="3">
        <f>IFERROR(__xludf.DUMMYFUNCTION("""COMPUTED_VALUE"""),40531.0)</f>
        <v>40531</v>
      </c>
      <c r="F39" s="1">
        <f>IFERROR(__xludf.DUMMYFUNCTION("""COMPUTED_VALUE"""),2.1)</f>
        <v>2.1</v>
      </c>
      <c r="G39" s="1">
        <f>IFERROR(__xludf.DUMMYFUNCTION("""COMPUTED_VALUE"""),18077.0)</f>
        <v>18077</v>
      </c>
      <c r="H39" s="1">
        <v>12.600000000000001</v>
      </c>
      <c r="I39" s="1" t="str">
        <f t="shared" si="2"/>
        <v>Antique</v>
      </c>
      <c r="J39" s="1">
        <f t="shared" si="3"/>
        <v>143</v>
      </c>
      <c r="K39" s="1">
        <f t="shared" si="4"/>
        <v>1</v>
      </c>
      <c r="L39" s="1">
        <f t="shared" si="5"/>
        <v>12.6</v>
      </c>
    </row>
    <row r="40">
      <c r="A40" s="1">
        <f>IFERROR(__xludf.DUMMYFUNCTION("""COMPUTED_VALUE"""),542647.0)</f>
        <v>542647</v>
      </c>
      <c r="B40" s="1">
        <f>IFERROR(__xludf.DUMMYFUNCTION("""COMPUTED_VALUE"""),22926.0)</f>
        <v>22926</v>
      </c>
      <c r="C40" s="1" t="str">
        <f>IFERROR(__xludf.DUMMYFUNCTION("""COMPUTED_VALUE"""),"Ivory giant garden thermometer")</f>
        <v>Ivory giant garden thermometer</v>
      </c>
      <c r="D40" s="1">
        <f>IFERROR(__xludf.DUMMYFUNCTION("""COMPUTED_VALUE"""),2.0)</f>
        <v>2</v>
      </c>
      <c r="E40" s="3">
        <f>IFERROR(__xludf.DUMMYFUNCTION("""COMPUTED_VALUE"""),40574.0)</f>
        <v>40574</v>
      </c>
      <c r="F40" s="1">
        <f>IFERROR(__xludf.DUMMYFUNCTION("""COMPUTED_VALUE"""),5.95)</f>
        <v>5.95</v>
      </c>
      <c r="G40" s="1">
        <f>IFERROR(__xludf.DUMMYFUNCTION("""COMPUTED_VALUE"""),18245.0)</f>
        <v>18245</v>
      </c>
      <c r="H40" s="1">
        <v>11.9</v>
      </c>
      <c r="I40" s="1" t="str">
        <f t="shared" si="2"/>
        <v>Ivory</v>
      </c>
      <c r="J40" s="1">
        <f t="shared" si="3"/>
        <v>100</v>
      </c>
      <c r="K40" s="1">
        <f t="shared" si="4"/>
        <v>1</v>
      </c>
      <c r="L40" s="1">
        <f t="shared" si="5"/>
        <v>11.9</v>
      </c>
    </row>
    <row r="41">
      <c r="A41" s="1">
        <f>IFERROR(__xludf.DUMMYFUNCTION("""COMPUTED_VALUE"""),548670.0)</f>
        <v>548670</v>
      </c>
      <c r="B41" s="1">
        <f>IFERROR(__xludf.DUMMYFUNCTION("""COMPUTED_VALUE"""),22662.0)</f>
        <v>22662</v>
      </c>
      <c r="C41" s="1" t="str">
        <f>IFERROR(__xludf.DUMMYFUNCTION("""COMPUTED_VALUE"""),"Lunch bag dolly girl design")</f>
        <v>Lunch bag dolly girl design</v>
      </c>
      <c r="D41" s="1">
        <f>IFERROR(__xludf.DUMMYFUNCTION("""COMPUTED_VALUE"""),4.0)</f>
        <v>4</v>
      </c>
      <c r="E41" s="3">
        <f>IFERROR(__xludf.DUMMYFUNCTION("""COMPUTED_VALUE"""),40634.0)</f>
        <v>40634</v>
      </c>
      <c r="F41" s="1">
        <f>IFERROR(__xludf.DUMMYFUNCTION("""COMPUTED_VALUE"""),1.65)</f>
        <v>1.65</v>
      </c>
      <c r="G41" s="1">
        <f>IFERROR(__xludf.DUMMYFUNCTION("""COMPUTED_VALUE"""),15356.0)</f>
        <v>15356</v>
      </c>
      <c r="H41" s="1">
        <v>6.6</v>
      </c>
      <c r="I41" s="1" t="str">
        <f t="shared" si="2"/>
        <v>Lunch</v>
      </c>
      <c r="J41" s="1">
        <f t="shared" si="3"/>
        <v>40</v>
      </c>
      <c r="K41" s="1">
        <f t="shared" si="4"/>
        <v>1</v>
      </c>
      <c r="L41" s="1">
        <f t="shared" si="5"/>
        <v>6.6</v>
      </c>
    </row>
    <row r="42">
      <c r="A42" s="1">
        <f>IFERROR(__xludf.DUMMYFUNCTION("""COMPUTED_VALUE"""),544846.0)</f>
        <v>544846</v>
      </c>
      <c r="B42" s="1">
        <f>IFERROR(__xludf.DUMMYFUNCTION("""COMPUTED_VALUE"""),22704.0)</f>
        <v>22704</v>
      </c>
      <c r="C42" s="1" t="str">
        <f>IFERROR(__xludf.DUMMYFUNCTION("""COMPUTED_VALUE"""),"Wrap red apples")</f>
        <v>Wrap red apples</v>
      </c>
      <c r="D42" s="1">
        <f>IFERROR(__xludf.DUMMYFUNCTION("""COMPUTED_VALUE"""),25.0)</f>
        <v>25</v>
      </c>
      <c r="E42" s="3">
        <f>IFERROR(__xludf.DUMMYFUNCTION("""COMPUTED_VALUE"""),40598.0)</f>
        <v>40598</v>
      </c>
      <c r="F42" s="1">
        <f>IFERROR(__xludf.DUMMYFUNCTION("""COMPUTED_VALUE"""),0.42)</f>
        <v>0.42</v>
      </c>
      <c r="G42" s="1">
        <f>IFERROR(__xludf.DUMMYFUNCTION("""COMPUTED_VALUE"""),16719.0)</f>
        <v>16719</v>
      </c>
      <c r="H42" s="1">
        <v>10.5</v>
      </c>
      <c r="I42" s="1" t="str">
        <f t="shared" si="2"/>
        <v>Wrap</v>
      </c>
      <c r="J42" s="1">
        <f t="shared" si="3"/>
        <v>76</v>
      </c>
      <c r="K42" s="1">
        <f t="shared" si="4"/>
        <v>1</v>
      </c>
      <c r="L42" s="1">
        <f t="shared" si="5"/>
        <v>10.5</v>
      </c>
    </row>
    <row r="43">
      <c r="A43" s="1">
        <f>IFERROR(__xludf.DUMMYFUNCTION("""COMPUTED_VALUE"""),538839.0)</f>
        <v>538839</v>
      </c>
      <c r="B43" s="1" t="str">
        <f>IFERROR(__xludf.DUMMYFUNCTION("""COMPUTED_VALUE"""),"84509A")</f>
        <v>84509A</v>
      </c>
      <c r="C43" s="1" t="str">
        <f>IFERROR(__xludf.DUMMYFUNCTION("""COMPUTED_VALUE"""),"Set of 4 english rose placemats")</f>
        <v>Set of 4 english rose placemats</v>
      </c>
      <c r="D43" s="1">
        <f>IFERROR(__xludf.DUMMYFUNCTION("""COMPUTED_VALUE"""),1.0)</f>
        <v>1</v>
      </c>
      <c r="E43" s="3">
        <f>IFERROR(__xludf.DUMMYFUNCTION("""COMPUTED_VALUE"""),40526.0)</f>
        <v>40526</v>
      </c>
      <c r="F43" s="1">
        <f>IFERROR(__xludf.DUMMYFUNCTION("""COMPUTED_VALUE"""),3.75)</f>
        <v>3.75</v>
      </c>
      <c r="G43" s="1">
        <f>IFERROR(__xludf.DUMMYFUNCTION("""COMPUTED_VALUE"""),14606.0)</f>
        <v>14606</v>
      </c>
      <c r="H43" s="1">
        <v>3.75</v>
      </c>
      <c r="I43" s="1" t="str">
        <f t="shared" si="2"/>
        <v>Set</v>
      </c>
      <c r="J43" s="1">
        <f t="shared" si="3"/>
        <v>148</v>
      </c>
      <c r="K43" s="1">
        <f t="shared" si="4"/>
        <v>1</v>
      </c>
      <c r="L43" s="1">
        <f t="shared" si="5"/>
        <v>3.75</v>
      </c>
    </row>
    <row r="44">
      <c r="A44" s="1">
        <f>IFERROR(__xludf.DUMMYFUNCTION("""COMPUTED_VALUE"""),540856.0)</f>
        <v>540856</v>
      </c>
      <c r="B44" s="1">
        <f>IFERROR(__xludf.DUMMYFUNCTION("""COMPUTED_VALUE"""),21204.0)</f>
        <v>21204</v>
      </c>
      <c r="C44" s="1" t="str">
        <f>IFERROR(__xludf.DUMMYFUNCTION("""COMPUTED_VALUE"""),"Daisies  honeycomb garland")</f>
        <v>Daisies  honeycomb garland</v>
      </c>
      <c r="D44" s="1">
        <f>IFERROR(__xludf.DUMMYFUNCTION("""COMPUTED_VALUE"""),12.0)</f>
        <v>12</v>
      </c>
      <c r="E44" s="3">
        <f>IFERROR(__xludf.DUMMYFUNCTION("""COMPUTED_VALUE"""),40555.0)</f>
        <v>40555</v>
      </c>
      <c r="F44" s="1">
        <f>IFERROR(__xludf.DUMMYFUNCTION("""COMPUTED_VALUE"""),1.65)</f>
        <v>1.65</v>
      </c>
      <c r="G44" s="1">
        <f>IFERROR(__xludf.DUMMYFUNCTION("""COMPUTED_VALUE"""),16655.0)</f>
        <v>16655</v>
      </c>
      <c r="H44" s="1">
        <v>19.799999999999997</v>
      </c>
      <c r="I44" s="1" t="str">
        <f t="shared" si="2"/>
        <v>Daisies</v>
      </c>
      <c r="J44" s="1">
        <f t="shared" si="3"/>
        <v>119</v>
      </c>
      <c r="K44" s="1">
        <f t="shared" si="4"/>
        <v>2</v>
      </c>
      <c r="L44" s="1">
        <f t="shared" si="5"/>
        <v>34.8</v>
      </c>
    </row>
    <row r="45">
      <c r="A45" s="1">
        <f>IFERROR(__xludf.DUMMYFUNCTION("""COMPUTED_VALUE"""),538630.0)</f>
        <v>538630</v>
      </c>
      <c r="B45" s="1">
        <f>IFERROR(__xludf.DUMMYFUNCTION("""COMPUTED_VALUE"""),22674.0)</f>
        <v>22674</v>
      </c>
      <c r="C45" s="1" t="str">
        <f>IFERROR(__xludf.DUMMYFUNCTION("""COMPUTED_VALUE"""),"French toilet sign blue metal")</f>
        <v>French toilet sign blue metal</v>
      </c>
      <c r="D45" s="1">
        <f>IFERROR(__xludf.DUMMYFUNCTION("""COMPUTED_VALUE"""),12.0)</f>
        <v>12</v>
      </c>
      <c r="E45" s="3">
        <f>IFERROR(__xludf.DUMMYFUNCTION("""COMPUTED_VALUE"""),40525.0)</f>
        <v>40525</v>
      </c>
      <c r="F45" s="1">
        <f>IFERROR(__xludf.DUMMYFUNCTION("""COMPUTED_VALUE"""),1.25)</f>
        <v>1.25</v>
      </c>
      <c r="G45" s="1">
        <f>IFERROR(__xludf.DUMMYFUNCTION("""COMPUTED_VALUE"""),14565.0)</f>
        <v>14565</v>
      </c>
      <c r="H45" s="1">
        <v>15.0</v>
      </c>
      <c r="I45" s="1" t="str">
        <f t="shared" si="2"/>
        <v>French</v>
      </c>
      <c r="J45" s="1">
        <f t="shared" si="3"/>
        <v>149</v>
      </c>
      <c r="K45" s="1">
        <f t="shared" si="4"/>
        <v>1</v>
      </c>
      <c r="L45" s="1">
        <f t="shared" si="5"/>
        <v>15</v>
      </c>
    </row>
    <row r="46">
      <c r="A46" s="1">
        <f>IFERROR(__xludf.DUMMYFUNCTION("""COMPUTED_VALUE"""),540567.0)</f>
        <v>540567</v>
      </c>
      <c r="B46" s="1">
        <f>IFERROR(__xludf.DUMMYFUNCTION("""COMPUTED_VALUE"""),84813.0)</f>
        <v>84813</v>
      </c>
      <c r="C46" s="1" t="str">
        <f>IFERROR(__xludf.DUMMYFUNCTION("""COMPUTED_VALUE"""),"Set of 4 diamond napkin rings")</f>
        <v>Set of 4 diamond napkin rings</v>
      </c>
      <c r="D46" s="1">
        <f>IFERROR(__xludf.DUMMYFUNCTION("""COMPUTED_VALUE"""),8.0)</f>
        <v>8</v>
      </c>
      <c r="E46" s="3">
        <f>IFERROR(__xludf.DUMMYFUNCTION("""COMPUTED_VALUE"""),40553.0)</f>
        <v>40553</v>
      </c>
      <c r="F46" s="1">
        <f>IFERROR(__xludf.DUMMYFUNCTION("""COMPUTED_VALUE"""),3.95)</f>
        <v>3.95</v>
      </c>
      <c r="G46" s="1">
        <f>IFERROR(__xludf.DUMMYFUNCTION("""COMPUTED_VALUE"""),16850.0)</f>
        <v>16850</v>
      </c>
      <c r="H46" s="1">
        <v>31.6</v>
      </c>
      <c r="I46" s="1" t="str">
        <f t="shared" si="2"/>
        <v>Set</v>
      </c>
      <c r="J46" s="1">
        <f t="shared" si="3"/>
        <v>121</v>
      </c>
      <c r="K46" s="1">
        <f t="shared" si="4"/>
        <v>1</v>
      </c>
      <c r="L46" s="1">
        <f t="shared" si="5"/>
        <v>31.6</v>
      </c>
    </row>
    <row r="47">
      <c r="A47" s="1">
        <f>IFERROR(__xludf.DUMMYFUNCTION("""COMPUTED_VALUE"""),538994.0)</f>
        <v>538994</v>
      </c>
      <c r="B47" s="1" t="str">
        <f>IFERROR(__xludf.DUMMYFUNCTION("""COMPUTED_VALUE"""),"84029G")</f>
        <v>84029G</v>
      </c>
      <c r="C47" s="1" t="str">
        <f>IFERROR(__xludf.DUMMYFUNCTION("""COMPUTED_VALUE"""),"Knitted union flag hot water bottle")</f>
        <v>Knitted union flag hot water bottle</v>
      </c>
      <c r="D47" s="1">
        <f>IFERROR(__xludf.DUMMYFUNCTION("""COMPUTED_VALUE"""),6.0)</f>
        <v>6</v>
      </c>
      <c r="E47" s="3">
        <f>IFERROR(__xludf.DUMMYFUNCTION("""COMPUTED_VALUE"""),40527.0)</f>
        <v>40527</v>
      </c>
      <c r="F47" s="1">
        <f>IFERROR(__xludf.DUMMYFUNCTION("""COMPUTED_VALUE"""),3.75)</f>
        <v>3.75</v>
      </c>
      <c r="G47" s="1">
        <f>IFERROR(__xludf.DUMMYFUNCTION("""COMPUTED_VALUE"""),17525.0)</f>
        <v>17525</v>
      </c>
      <c r="H47" s="1">
        <v>22.5</v>
      </c>
      <c r="I47" s="1" t="str">
        <f t="shared" si="2"/>
        <v>Knitted</v>
      </c>
      <c r="J47" s="1">
        <f t="shared" si="3"/>
        <v>147</v>
      </c>
      <c r="K47" s="1">
        <f t="shared" si="4"/>
        <v>1</v>
      </c>
      <c r="L47" s="1">
        <f t="shared" si="5"/>
        <v>22.5</v>
      </c>
    </row>
    <row r="48">
      <c r="A48" s="1">
        <f>IFERROR(__xludf.DUMMYFUNCTION("""COMPUTED_VALUE"""),546100.0)</f>
        <v>546100</v>
      </c>
      <c r="B48" s="1">
        <f>IFERROR(__xludf.DUMMYFUNCTION("""COMPUTED_VALUE"""),22283.0)</f>
        <v>22283</v>
      </c>
      <c r="C48" s="1" t="str">
        <f>IFERROR(__xludf.DUMMYFUNCTION("""COMPUTED_VALUE"""),"6 egg house painted wood")</f>
        <v>6 egg house painted wood</v>
      </c>
      <c r="D48" s="1">
        <f>IFERROR(__xludf.DUMMYFUNCTION("""COMPUTED_VALUE"""),2.0)</f>
        <v>2</v>
      </c>
      <c r="E48" s="3">
        <f>IFERROR(__xludf.DUMMYFUNCTION("""COMPUTED_VALUE"""),40611.0)</f>
        <v>40611</v>
      </c>
      <c r="F48" s="1">
        <f>IFERROR(__xludf.DUMMYFUNCTION("""COMPUTED_VALUE"""),7.95)</f>
        <v>7.95</v>
      </c>
      <c r="G48" s="1">
        <f>IFERROR(__xludf.DUMMYFUNCTION("""COMPUTED_VALUE"""),16572.0)</f>
        <v>16572</v>
      </c>
      <c r="H48" s="1">
        <v>15.9</v>
      </c>
      <c r="I48" s="1" t="str">
        <f t="shared" si="2"/>
        <v>6</v>
      </c>
      <c r="J48" s="1">
        <f t="shared" si="3"/>
        <v>63</v>
      </c>
      <c r="K48" s="1">
        <f t="shared" si="4"/>
        <v>1</v>
      </c>
      <c r="L48" s="1">
        <f t="shared" si="5"/>
        <v>15.9</v>
      </c>
    </row>
    <row r="49">
      <c r="A49" s="1">
        <f>IFERROR(__xludf.DUMMYFUNCTION("""COMPUTED_VALUE"""),547708.0)</f>
        <v>547708</v>
      </c>
      <c r="B49" s="1">
        <f>IFERROR(__xludf.DUMMYFUNCTION("""COMPUTED_VALUE"""),22478.0)</f>
        <v>22478</v>
      </c>
      <c r="C49" s="1" t="str">
        <f>IFERROR(__xludf.DUMMYFUNCTION("""COMPUTED_VALUE"""),"Birdhouse garden marker")</f>
        <v>Birdhouse garden marker</v>
      </c>
      <c r="D49" s="1">
        <f>IFERROR(__xludf.DUMMYFUNCTION("""COMPUTED_VALUE"""),360.0)</f>
        <v>360</v>
      </c>
      <c r="E49" s="3">
        <f>IFERROR(__xludf.DUMMYFUNCTION("""COMPUTED_VALUE"""),40626.0)</f>
        <v>40626</v>
      </c>
      <c r="F49" s="1">
        <f>IFERROR(__xludf.DUMMYFUNCTION("""COMPUTED_VALUE"""),1.48)</f>
        <v>1.48</v>
      </c>
      <c r="G49" s="1">
        <f>IFERROR(__xludf.DUMMYFUNCTION("""COMPUTED_VALUE"""),17450.0)</f>
        <v>17450</v>
      </c>
      <c r="H49" s="1">
        <v>532.8</v>
      </c>
      <c r="I49" s="1" t="str">
        <f t="shared" si="2"/>
        <v>Birdhouse</v>
      </c>
      <c r="J49" s="1">
        <f t="shared" si="3"/>
        <v>48</v>
      </c>
      <c r="K49" s="1">
        <f t="shared" si="4"/>
        <v>1</v>
      </c>
      <c r="L49" s="1">
        <f t="shared" si="5"/>
        <v>532.8</v>
      </c>
    </row>
    <row r="50">
      <c r="A50" s="1">
        <f>IFERROR(__xludf.DUMMYFUNCTION("""COMPUTED_VALUE"""),539243.0)</f>
        <v>539243</v>
      </c>
      <c r="B50" s="1">
        <f>IFERROR(__xludf.DUMMYFUNCTION("""COMPUTED_VALUE"""),82482.0)</f>
        <v>82482</v>
      </c>
      <c r="C50" s="1" t="str">
        <f>IFERROR(__xludf.DUMMYFUNCTION("""COMPUTED_VALUE"""),"Wooden picture frame white finish")</f>
        <v>Wooden picture frame white finish</v>
      </c>
      <c r="D50" s="1">
        <f>IFERROR(__xludf.DUMMYFUNCTION("""COMPUTED_VALUE"""),2.0)</f>
        <v>2</v>
      </c>
      <c r="E50" s="3">
        <f>IFERROR(__xludf.DUMMYFUNCTION("""COMPUTED_VALUE"""),40528.0)</f>
        <v>40528</v>
      </c>
      <c r="F50" s="1">
        <f>IFERROR(__xludf.DUMMYFUNCTION("""COMPUTED_VALUE"""),2.55)</f>
        <v>2.55</v>
      </c>
      <c r="G50" s="1">
        <f>IFERROR(__xludf.DUMMYFUNCTION("""COMPUTED_VALUE"""),18116.0)</f>
        <v>18116</v>
      </c>
      <c r="H50" s="1">
        <v>5.1</v>
      </c>
      <c r="I50" s="1" t="str">
        <f t="shared" si="2"/>
        <v>Wooden</v>
      </c>
      <c r="J50" s="1">
        <f t="shared" si="3"/>
        <v>146</v>
      </c>
      <c r="K50" s="1">
        <f t="shared" si="4"/>
        <v>1</v>
      </c>
      <c r="L50" s="1">
        <f t="shared" si="5"/>
        <v>5.1</v>
      </c>
    </row>
    <row r="51">
      <c r="A51" s="1">
        <f>IFERROR(__xludf.DUMMYFUNCTION("""COMPUTED_VALUE"""),549056.0)</f>
        <v>549056</v>
      </c>
      <c r="B51" s="1">
        <f>IFERROR(__xludf.DUMMYFUNCTION("""COMPUTED_VALUE"""),21476.0)</f>
        <v>21476</v>
      </c>
      <c r="C51" s="1" t="str">
        <f>IFERROR(__xludf.DUMMYFUNCTION("""COMPUTED_VALUE"""),"Steel sweetheart round table cream")</f>
        <v>Steel sweetheart round table cream</v>
      </c>
      <c r="D51" s="1">
        <f>IFERROR(__xludf.DUMMYFUNCTION("""COMPUTED_VALUE"""),2.0)</f>
        <v>2</v>
      </c>
      <c r="E51" s="3">
        <f>IFERROR(__xludf.DUMMYFUNCTION("""COMPUTED_VALUE"""),40639.0)</f>
        <v>40639</v>
      </c>
      <c r="F51" s="1">
        <f>IFERROR(__xludf.DUMMYFUNCTION("""COMPUTED_VALUE"""),14.95)</f>
        <v>14.95</v>
      </c>
      <c r="G51" s="1">
        <f>IFERROR(__xludf.DUMMYFUNCTION("""COMPUTED_VALUE"""),15917.0)</f>
        <v>15917</v>
      </c>
      <c r="H51" s="1">
        <v>29.9</v>
      </c>
      <c r="I51" s="1" t="str">
        <f t="shared" si="2"/>
        <v>Steel</v>
      </c>
      <c r="J51" s="1">
        <f t="shared" si="3"/>
        <v>35</v>
      </c>
      <c r="K51" s="1">
        <f t="shared" si="4"/>
        <v>1</v>
      </c>
      <c r="L51" s="1">
        <f t="shared" si="5"/>
        <v>29.9</v>
      </c>
    </row>
    <row r="52">
      <c r="A52" s="1">
        <f>IFERROR(__xludf.DUMMYFUNCTION("""COMPUTED_VALUE"""),545681.0)</f>
        <v>545681</v>
      </c>
      <c r="B52" s="1">
        <f>IFERROR(__xludf.DUMMYFUNCTION("""COMPUTED_VALUE"""),23003.0)</f>
        <v>23003</v>
      </c>
      <c r="C52" s="1" t="str">
        <f>IFERROR(__xludf.DUMMYFUNCTION("""COMPUTED_VALUE"""),"Travel card wallet vintage rose")</f>
        <v>Travel card wallet vintage rose</v>
      </c>
      <c r="D52" s="1">
        <f>IFERROR(__xludf.DUMMYFUNCTION("""COMPUTED_VALUE"""),2.0)</f>
        <v>2</v>
      </c>
      <c r="E52" s="3">
        <f>IFERROR(__xludf.DUMMYFUNCTION("""COMPUTED_VALUE"""),40608.0)</f>
        <v>40608</v>
      </c>
      <c r="F52" s="1">
        <f>IFERROR(__xludf.DUMMYFUNCTION("""COMPUTED_VALUE"""),0.42)</f>
        <v>0.42</v>
      </c>
      <c r="G52" s="1">
        <f>IFERROR(__xludf.DUMMYFUNCTION("""COMPUTED_VALUE"""),16923.0)</f>
        <v>16923</v>
      </c>
      <c r="H52" s="1">
        <v>0.84</v>
      </c>
      <c r="I52" s="1" t="str">
        <f t="shared" si="2"/>
        <v>Travel</v>
      </c>
      <c r="J52" s="1">
        <f t="shared" si="3"/>
        <v>66</v>
      </c>
      <c r="K52" s="1">
        <f t="shared" si="4"/>
        <v>1</v>
      </c>
      <c r="L52" s="1">
        <f t="shared" si="5"/>
        <v>0.84</v>
      </c>
    </row>
    <row r="53">
      <c r="A53" s="1">
        <f>IFERROR(__xludf.DUMMYFUNCTION("""COMPUTED_VALUE"""),541987.0)</f>
        <v>541987</v>
      </c>
      <c r="B53" s="1">
        <f>IFERROR(__xludf.DUMMYFUNCTION("""COMPUTED_VALUE"""),21980.0)</f>
        <v>21980</v>
      </c>
      <c r="C53" s="1" t="str">
        <f>IFERROR(__xludf.DUMMYFUNCTION("""COMPUTED_VALUE"""),"Pack of 12 red retrospot tissues")</f>
        <v>Pack of 12 red retrospot tissues</v>
      </c>
      <c r="D53" s="1">
        <f>IFERROR(__xludf.DUMMYFUNCTION("""COMPUTED_VALUE"""),12.0)</f>
        <v>12</v>
      </c>
      <c r="E53" s="3">
        <f>IFERROR(__xludf.DUMMYFUNCTION("""COMPUTED_VALUE"""),40567.0)</f>
        <v>40567</v>
      </c>
      <c r="F53" s="1">
        <f>IFERROR(__xludf.DUMMYFUNCTION("""COMPUTED_VALUE"""),0.29)</f>
        <v>0.29</v>
      </c>
      <c r="G53" s="1">
        <f>IFERROR(__xludf.DUMMYFUNCTION("""COMPUTED_VALUE"""),14130.0)</f>
        <v>14130</v>
      </c>
      <c r="H53" s="1">
        <v>3.4799999999999995</v>
      </c>
      <c r="I53" s="1" t="str">
        <f t="shared" si="2"/>
        <v>Pack</v>
      </c>
      <c r="J53" s="1">
        <f t="shared" si="3"/>
        <v>107</v>
      </c>
      <c r="K53" s="1">
        <f t="shared" si="4"/>
        <v>1</v>
      </c>
      <c r="L53" s="1">
        <f t="shared" si="5"/>
        <v>3.48</v>
      </c>
    </row>
    <row r="54">
      <c r="A54" s="1">
        <f>IFERROR(__xludf.DUMMYFUNCTION("""COMPUTED_VALUE"""),538260.0)</f>
        <v>538260</v>
      </c>
      <c r="B54" s="1">
        <f>IFERROR(__xludf.DUMMYFUNCTION("""COMPUTED_VALUE"""),22749.0)</f>
        <v>22749</v>
      </c>
      <c r="C54" s="1" t="str">
        <f>IFERROR(__xludf.DUMMYFUNCTION("""COMPUTED_VALUE"""),"Feltcraft princess charlotte doll")</f>
        <v>Feltcraft princess charlotte doll</v>
      </c>
      <c r="D54" s="1">
        <f>IFERROR(__xludf.DUMMYFUNCTION("""COMPUTED_VALUE"""),4.0)</f>
        <v>4</v>
      </c>
      <c r="E54" s="3">
        <f>IFERROR(__xludf.DUMMYFUNCTION("""COMPUTED_VALUE"""),40522.0)</f>
        <v>40522</v>
      </c>
      <c r="F54" s="1">
        <f>IFERROR(__xludf.DUMMYFUNCTION("""COMPUTED_VALUE"""),3.75)</f>
        <v>3.75</v>
      </c>
      <c r="G54" s="1">
        <f>IFERROR(__xludf.DUMMYFUNCTION("""COMPUTED_VALUE"""),18178.0)</f>
        <v>18178</v>
      </c>
      <c r="H54" s="1">
        <v>15.0</v>
      </c>
      <c r="I54" s="1" t="str">
        <f t="shared" si="2"/>
        <v>Feltcraft</v>
      </c>
      <c r="J54" s="1">
        <f t="shared" si="3"/>
        <v>152</v>
      </c>
      <c r="K54" s="1">
        <f t="shared" si="4"/>
        <v>1</v>
      </c>
      <c r="L54" s="1">
        <f t="shared" si="5"/>
        <v>15</v>
      </c>
    </row>
    <row r="55">
      <c r="A55" s="1">
        <f>IFERROR(__xludf.DUMMYFUNCTION("""COMPUTED_VALUE"""),550955.0)</f>
        <v>550955</v>
      </c>
      <c r="B55" s="1">
        <f>IFERROR(__xludf.DUMMYFUNCTION("""COMPUTED_VALUE"""),22859.0)</f>
        <v>22859</v>
      </c>
      <c r="C55" s="1" t="str">
        <f>IFERROR(__xludf.DUMMYFUNCTION("""COMPUTED_VALUE"""),"Easter tin bunny bouquet")</f>
        <v>Easter tin bunny bouquet</v>
      </c>
      <c r="D55" s="1">
        <f>IFERROR(__xludf.DUMMYFUNCTION("""COMPUTED_VALUE"""),6.0)</f>
        <v>6</v>
      </c>
      <c r="E55" s="3">
        <f>IFERROR(__xludf.DUMMYFUNCTION("""COMPUTED_VALUE"""),40654.0)</f>
        <v>40654</v>
      </c>
      <c r="F55" s="1">
        <f>IFERROR(__xludf.DUMMYFUNCTION("""COMPUTED_VALUE"""),1.65)</f>
        <v>1.65</v>
      </c>
      <c r="G55" s="1">
        <f>IFERROR(__xludf.DUMMYFUNCTION("""COMPUTED_VALUE"""),14189.0)</f>
        <v>14189</v>
      </c>
      <c r="H55" s="1">
        <v>9.899999999999999</v>
      </c>
      <c r="I55" s="1" t="str">
        <f t="shared" si="2"/>
        <v>Easter</v>
      </c>
      <c r="J55" s="1">
        <f t="shared" si="3"/>
        <v>20</v>
      </c>
      <c r="K55" s="1">
        <f t="shared" si="4"/>
        <v>1</v>
      </c>
      <c r="L55" s="1">
        <f t="shared" si="5"/>
        <v>9.9</v>
      </c>
    </row>
    <row r="56">
      <c r="A56" s="1">
        <f>IFERROR(__xludf.DUMMYFUNCTION("""COMPUTED_VALUE"""),545048.0)</f>
        <v>545048</v>
      </c>
      <c r="B56" s="1">
        <f>IFERROR(__xludf.DUMMYFUNCTION("""COMPUTED_VALUE"""),22662.0)</f>
        <v>22662</v>
      </c>
      <c r="C56" s="1" t="str">
        <f>IFERROR(__xludf.DUMMYFUNCTION("""COMPUTED_VALUE"""),"Lunch bag dolly girl design")</f>
        <v>Lunch bag dolly girl design</v>
      </c>
      <c r="D56" s="1">
        <f>IFERROR(__xludf.DUMMYFUNCTION("""COMPUTED_VALUE"""),3.0)</f>
        <v>3</v>
      </c>
      <c r="E56" s="3">
        <f>IFERROR(__xludf.DUMMYFUNCTION("""COMPUTED_VALUE"""),40601.0)</f>
        <v>40601</v>
      </c>
      <c r="F56" s="1">
        <f>IFERROR(__xludf.DUMMYFUNCTION("""COMPUTED_VALUE"""),1.65)</f>
        <v>1.65</v>
      </c>
      <c r="G56" s="1">
        <f>IFERROR(__xludf.DUMMYFUNCTION("""COMPUTED_VALUE"""),14810.0)</f>
        <v>14810</v>
      </c>
      <c r="H56" s="1">
        <v>4.949999999999999</v>
      </c>
      <c r="I56" s="1" t="str">
        <f t="shared" si="2"/>
        <v>Lunch</v>
      </c>
      <c r="J56" s="1">
        <f t="shared" si="3"/>
        <v>73</v>
      </c>
      <c r="K56" s="1">
        <f t="shared" si="4"/>
        <v>1</v>
      </c>
      <c r="L56" s="1">
        <f t="shared" si="5"/>
        <v>4.95</v>
      </c>
    </row>
    <row r="57">
      <c r="A57" s="1">
        <f>IFERROR(__xludf.DUMMYFUNCTION("""COMPUTED_VALUE"""),544839.0)</f>
        <v>544839</v>
      </c>
      <c r="B57" s="1">
        <f>IFERROR(__xludf.DUMMYFUNCTION("""COMPUTED_VALUE"""),21314.0)</f>
        <v>21314</v>
      </c>
      <c r="C57" s="1" t="str">
        <f>IFERROR(__xludf.DUMMYFUNCTION("""COMPUTED_VALUE"""),"Small glass heart trinket pot")</f>
        <v>Small glass heart trinket pot</v>
      </c>
      <c r="D57" s="1">
        <f>IFERROR(__xludf.DUMMYFUNCTION("""COMPUTED_VALUE"""),8.0)</f>
        <v>8</v>
      </c>
      <c r="E57" s="3">
        <f>IFERROR(__xludf.DUMMYFUNCTION("""COMPUTED_VALUE"""),40598.0)</f>
        <v>40598</v>
      </c>
      <c r="F57" s="1">
        <f>IFERROR(__xludf.DUMMYFUNCTION("""COMPUTED_VALUE"""),2.1)</f>
        <v>2.1</v>
      </c>
      <c r="G57" s="1">
        <f>IFERROR(__xludf.DUMMYFUNCTION("""COMPUTED_VALUE"""),14841.0)</f>
        <v>14841</v>
      </c>
      <c r="H57" s="1">
        <v>16.8</v>
      </c>
      <c r="I57" s="1" t="str">
        <f t="shared" si="2"/>
        <v>Small</v>
      </c>
      <c r="J57" s="1">
        <f t="shared" si="3"/>
        <v>76</v>
      </c>
      <c r="K57" s="1">
        <f t="shared" si="4"/>
        <v>1</v>
      </c>
      <c r="L57" s="1">
        <f t="shared" si="5"/>
        <v>16.8</v>
      </c>
    </row>
    <row r="58">
      <c r="A58" s="1">
        <f>IFERROR(__xludf.DUMMYFUNCTION("""COMPUTED_VALUE"""),551414.0)</f>
        <v>551414</v>
      </c>
      <c r="B58" s="1">
        <f>IFERROR(__xludf.DUMMYFUNCTION("""COMPUTED_VALUE"""),23064.0)</f>
        <v>23064</v>
      </c>
      <c r="C58" s="1" t="str">
        <f>IFERROR(__xludf.DUMMYFUNCTION("""COMPUTED_VALUE"""),"Cinderella chandelier")</f>
        <v>Cinderella chandelier</v>
      </c>
      <c r="D58" s="1">
        <f>IFERROR(__xludf.DUMMYFUNCTION("""COMPUTED_VALUE"""),1.0)</f>
        <v>1</v>
      </c>
      <c r="E58" s="3">
        <f>IFERROR(__xludf.DUMMYFUNCTION("""COMPUTED_VALUE"""),40661.0)</f>
        <v>40661</v>
      </c>
      <c r="F58" s="1">
        <f>IFERROR(__xludf.DUMMYFUNCTION("""COMPUTED_VALUE"""),49.95)</f>
        <v>49.95</v>
      </c>
      <c r="G58" s="1">
        <f>IFERROR(__xludf.DUMMYFUNCTION("""COMPUTED_VALUE"""),15622.0)</f>
        <v>15622</v>
      </c>
      <c r="H58" s="1">
        <v>49.95</v>
      </c>
      <c r="I58" s="1" t="str">
        <f t="shared" si="2"/>
        <v>Cinderella</v>
      </c>
      <c r="J58" s="1">
        <f t="shared" si="3"/>
        <v>13</v>
      </c>
      <c r="K58" s="1">
        <f t="shared" si="4"/>
        <v>1</v>
      </c>
      <c r="L58" s="1">
        <f t="shared" si="5"/>
        <v>49.95</v>
      </c>
    </row>
    <row r="59">
      <c r="A59" s="1">
        <f>IFERROR(__xludf.DUMMYFUNCTION("""COMPUTED_VALUE"""),551824.0)</f>
        <v>551824</v>
      </c>
      <c r="B59" s="1" t="str">
        <f>IFERROR(__xludf.DUMMYFUNCTION("""COMPUTED_VALUE"""),"84510A")</f>
        <v>84510A</v>
      </c>
      <c r="C59" s="1" t="str">
        <f>IFERROR(__xludf.DUMMYFUNCTION("""COMPUTED_VALUE"""),"Set of 4 english rose coasters")</f>
        <v>Set of 4 english rose coasters</v>
      </c>
      <c r="D59" s="1">
        <f>IFERROR(__xludf.DUMMYFUNCTION("""COMPUTED_VALUE"""),10.0)</f>
        <v>10</v>
      </c>
      <c r="E59" s="3">
        <f>IFERROR(__xludf.DUMMYFUNCTION("""COMPUTED_VALUE"""),40667.0)</f>
        <v>40667</v>
      </c>
      <c r="F59" s="1">
        <f>IFERROR(__xludf.DUMMYFUNCTION("""COMPUTED_VALUE"""),1.25)</f>
        <v>1.25</v>
      </c>
      <c r="G59" s="1">
        <f>IFERROR(__xludf.DUMMYFUNCTION("""COMPUTED_VALUE"""),15128.0)</f>
        <v>15128</v>
      </c>
      <c r="H59" s="1">
        <v>12.5</v>
      </c>
      <c r="I59" s="1" t="str">
        <f t="shared" si="2"/>
        <v>Set</v>
      </c>
      <c r="J59" s="1">
        <f t="shared" si="3"/>
        <v>7</v>
      </c>
      <c r="K59" s="1">
        <f t="shared" si="4"/>
        <v>1</v>
      </c>
      <c r="L59" s="1">
        <f t="shared" si="5"/>
        <v>12.5</v>
      </c>
    </row>
    <row r="60">
      <c r="A60" s="1">
        <f>IFERROR(__xludf.DUMMYFUNCTION("""COMPUTED_VALUE"""),550289.0)</f>
        <v>550289</v>
      </c>
      <c r="B60" s="1">
        <f>IFERROR(__xludf.DUMMYFUNCTION("""COMPUTED_VALUE"""),22322.0)</f>
        <v>22322</v>
      </c>
      <c r="C60" s="1" t="str">
        <f>IFERROR(__xludf.DUMMYFUNCTION("""COMPUTED_VALUE"""),"Bird decoration green polkadot")</f>
        <v>Bird decoration green polkadot</v>
      </c>
      <c r="D60" s="1">
        <f>IFERROR(__xludf.DUMMYFUNCTION("""COMPUTED_VALUE"""),12.0)</f>
        <v>12</v>
      </c>
      <c r="E60" s="3">
        <f>IFERROR(__xludf.DUMMYFUNCTION("""COMPUTED_VALUE"""),40648.0)</f>
        <v>40648</v>
      </c>
      <c r="F60" s="1">
        <f>IFERROR(__xludf.DUMMYFUNCTION("""COMPUTED_VALUE"""),0.85)</f>
        <v>0.85</v>
      </c>
      <c r="G60" s="1">
        <f>IFERROR(__xludf.DUMMYFUNCTION("""COMPUTED_VALUE"""),13880.0)</f>
        <v>13880</v>
      </c>
      <c r="H60" s="1">
        <v>10.2</v>
      </c>
      <c r="I60" s="1" t="str">
        <f t="shared" si="2"/>
        <v>Bird</v>
      </c>
      <c r="J60" s="1">
        <f t="shared" si="3"/>
        <v>26</v>
      </c>
      <c r="K60" s="1">
        <f t="shared" si="4"/>
        <v>1</v>
      </c>
      <c r="L60" s="1">
        <f t="shared" si="5"/>
        <v>10.2</v>
      </c>
    </row>
    <row r="61">
      <c r="A61" s="1">
        <f>IFERROR(__xludf.DUMMYFUNCTION("""COMPUTED_VALUE"""),538799.0)</f>
        <v>538799</v>
      </c>
      <c r="B61" s="1">
        <f>IFERROR(__xludf.DUMMYFUNCTION("""COMPUTED_VALUE"""),21929.0)</f>
        <v>21929</v>
      </c>
      <c r="C61" s="1" t="str">
        <f>IFERROR(__xludf.DUMMYFUNCTION("""COMPUTED_VALUE"""),"Jumbo bag pink vintage paisley")</f>
        <v>Jumbo bag pink vintage paisley</v>
      </c>
      <c r="D61" s="1">
        <f>IFERROR(__xludf.DUMMYFUNCTION("""COMPUTED_VALUE"""),10.0)</f>
        <v>10</v>
      </c>
      <c r="E61" s="3">
        <f>IFERROR(__xludf.DUMMYFUNCTION("""COMPUTED_VALUE"""),40526.0)</f>
        <v>40526</v>
      </c>
      <c r="F61" s="1">
        <f>IFERROR(__xludf.DUMMYFUNCTION("""COMPUTED_VALUE"""),1.95)</f>
        <v>1.95</v>
      </c>
      <c r="G61" s="1">
        <f>IFERROR(__xludf.DUMMYFUNCTION("""COMPUTED_VALUE"""),15039.0)</f>
        <v>15039</v>
      </c>
      <c r="H61" s="1">
        <v>19.5</v>
      </c>
      <c r="I61" s="1" t="str">
        <f t="shared" si="2"/>
        <v>Jumbo</v>
      </c>
      <c r="J61" s="1">
        <f t="shared" si="3"/>
        <v>148</v>
      </c>
      <c r="K61" s="1">
        <f t="shared" si="4"/>
        <v>1</v>
      </c>
      <c r="L61" s="1">
        <f t="shared" si="5"/>
        <v>19.5</v>
      </c>
    </row>
    <row r="62">
      <c r="A62" s="1">
        <f>IFERROR(__xludf.DUMMYFUNCTION("""COMPUTED_VALUE"""),550768.0)</f>
        <v>550768</v>
      </c>
      <c r="B62" s="1" t="str">
        <f>IFERROR(__xludf.DUMMYFUNCTION("""COMPUTED_VALUE"""),"85099C")</f>
        <v>85099C</v>
      </c>
      <c r="C62" s="1" t="str">
        <f>IFERROR(__xludf.DUMMYFUNCTION("""COMPUTED_VALUE"""),"Jumbo  bag baroque black white")</f>
        <v>Jumbo  bag baroque black white</v>
      </c>
      <c r="D62" s="1">
        <f>IFERROR(__xludf.DUMMYFUNCTION("""COMPUTED_VALUE"""),20.0)</f>
        <v>20</v>
      </c>
      <c r="E62" s="3">
        <f>IFERROR(__xludf.DUMMYFUNCTION("""COMPUTED_VALUE"""),40653.0)</f>
        <v>40653</v>
      </c>
      <c r="F62" s="1">
        <f>IFERROR(__xludf.DUMMYFUNCTION("""COMPUTED_VALUE"""),2.08)</f>
        <v>2.08</v>
      </c>
      <c r="G62" s="1">
        <f>IFERROR(__xludf.DUMMYFUNCTION("""COMPUTED_VALUE"""),15039.0)</f>
        <v>15039</v>
      </c>
      <c r="H62" s="1">
        <v>41.6</v>
      </c>
      <c r="I62" s="1" t="str">
        <f t="shared" si="2"/>
        <v>Jumbo</v>
      </c>
      <c r="J62" s="1">
        <f t="shared" si="3"/>
        <v>21</v>
      </c>
      <c r="K62" s="1">
        <f t="shared" si="4"/>
        <v>1</v>
      </c>
      <c r="L62" s="1">
        <f t="shared" si="5"/>
        <v>41.6</v>
      </c>
    </row>
    <row r="63">
      <c r="A63" s="1">
        <f>IFERROR(__xludf.DUMMYFUNCTION("""COMPUTED_VALUE"""),544056.0)</f>
        <v>544056</v>
      </c>
      <c r="B63" s="1">
        <f>IFERROR(__xludf.DUMMYFUNCTION("""COMPUTED_VALUE"""),20713.0)</f>
        <v>20713</v>
      </c>
      <c r="C63" s="1" t="str">
        <f>IFERROR(__xludf.DUMMYFUNCTION("""COMPUTED_VALUE"""),"Jumbo bag owls")</f>
        <v>Jumbo bag owls</v>
      </c>
      <c r="D63" s="1">
        <f>IFERROR(__xludf.DUMMYFUNCTION("""COMPUTED_VALUE"""),10.0)</f>
        <v>10</v>
      </c>
      <c r="E63" s="3">
        <f>IFERROR(__xludf.DUMMYFUNCTION("""COMPUTED_VALUE"""),40589.0)</f>
        <v>40589</v>
      </c>
      <c r="F63" s="1">
        <f>IFERROR(__xludf.DUMMYFUNCTION("""COMPUTED_VALUE"""),1.95)</f>
        <v>1.95</v>
      </c>
      <c r="G63" s="1">
        <f>IFERROR(__xludf.DUMMYFUNCTION("""COMPUTED_VALUE"""),13004.0)</f>
        <v>13004</v>
      </c>
      <c r="H63" s="1">
        <v>19.5</v>
      </c>
      <c r="I63" s="1" t="str">
        <f t="shared" si="2"/>
        <v>Jumbo</v>
      </c>
      <c r="J63" s="1">
        <f t="shared" si="3"/>
        <v>85</v>
      </c>
      <c r="K63" s="1">
        <f t="shared" si="4"/>
        <v>1</v>
      </c>
      <c r="L63" s="1">
        <f t="shared" si="5"/>
        <v>19.5</v>
      </c>
    </row>
    <row r="64">
      <c r="A64" s="1">
        <f>IFERROR(__xludf.DUMMYFUNCTION("""COMPUTED_VALUE"""),548234.0)</f>
        <v>548234</v>
      </c>
      <c r="B64" s="1">
        <f>IFERROR(__xludf.DUMMYFUNCTION("""COMPUTED_VALUE"""),22661.0)</f>
        <v>22661</v>
      </c>
      <c r="C64" s="1" t="str">
        <f>IFERROR(__xludf.DUMMYFUNCTION("""COMPUTED_VALUE"""),"Charlotte bag dolly girl design")</f>
        <v>Charlotte bag dolly girl design</v>
      </c>
      <c r="D64" s="1">
        <f>IFERROR(__xludf.DUMMYFUNCTION("""COMPUTED_VALUE"""),10.0)</f>
        <v>10</v>
      </c>
      <c r="E64" s="3">
        <f>IFERROR(__xludf.DUMMYFUNCTION("""COMPUTED_VALUE"""),40632.0)</f>
        <v>40632</v>
      </c>
      <c r="F64" s="1">
        <f>IFERROR(__xludf.DUMMYFUNCTION("""COMPUTED_VALUE"""),0.85)</f>
        <v>0.85</v>
      </c>
      <c r="G64" s="1">
        <f>IFERROR(__xludf.DUMMYFUNCTION("""COMPUTED_VALUE"""),17594.0)</f>
        <v>17594</v>
      </c>
      <c r="H64" s="1">
        <v>8.5</v>
      </c>
      <c r="I64" s="1" t="str">
        <f t="shared" si="2"/>
        <v>Charlotte</v>
      </c>
      <c r="J64" s="1">
        <f t="shared" si="3"/>
        <v>42</v>
      </c>
      <c r="K64" s="1">
        <f t="shared" si="4"/>
        <v>1</v>
      </c>
      <c r="L64" s="1">
        <f t="shared" si="5"/>
        <v>8.5</v>
      </c>
    </row>
    <row r="65">
      <c r="A65" s="1">
        <f>IFERROR(__xludf.DUMMYFUNCTION("""COMPUTED_VALUE"""),538035.0)</f>
        <v>538035</v>
      </c>
      <c r="B65" s="1" t="str">
        <f>IFERROR(__xludf.DUMMYFUNCTION("""COMPUTED_VALUE"""),"47591D")</f>
        <v>47591D</v>
      </c>
      <c r="C65" s="1" t="str">
        <f>IFERROR(__xludf.DUMMYFUNCTION("""COMPUTED_VALUE"""),"Pink fairy cake childrens apron")</f>
        <v>Pink fairy cake childrens apron</v>
      </c>
      <c r="D65" s="1">
        <f>IFERROR(__xludf.DUMMYFUNCTION("""COMPUTED_VALUE"""),2.0)</f>
        <v>2</v>
      </c>
      <c r="E65" s="3">
        <f>IFERROR(__xludf.DUMMYFUNCTION("""COMPUTED_VALUE"""),40521.0)</f>
        <v>40521</v>
      </c>
      <c r="F65" s="1">
        <f>IFERROR(__xludf.DUMMYFUNCTION("""COMPUTED_VALUE"""),1.95)</f>
        <v>1.95</v>
      </c>
      <c r="G65" s="1">
        <f>IFERROR(__xludf.DUMMYFUNCTION("""COMPUTED_VALUE"""),16065.0)</f>
        <v>16065</v>
      </c>
      <c r="H65" s="1">
        <v>3.9</v>
      </c>
      <c r="I65" s="1" t="str">
        <f t="shared" si="2"/>
        <v>Pink</v>
      </c>
      <c r="J65" s="1">
        <f t="shared" si="3"/>
        <v>153</v>
      </c>
      <c r="K65" s="1">
        <f t="shared" si="4"/>
        <v>1</v>
      </c>
      <c r="L65" s="1">
        <f t="shared" si="5"/>
        <v>3.9</v>
      </c>
    </row>
    <row r="66">
      <c r="A66" s="1">
        <f>IFERROR(__xludf.DUMMYFUNCTION("""COMPUTED_VALUE"""),547668.0)</f>
        <v>547668</v>
      </c>
      <c r="B66" s="1">
        <f>IFERROR(__xludf.DUMMYFUNCTION("""COMPUTED_VALUE"""),21034.0)</f>
        <v>21034</v>
      </c>
      <c r="C66" s="1" t="str">
        <f>IFERROR(__xludf.DUMMYFUNCTION("""COMPUTED_VALUE"""),"Rex cash+carry jumbo shopper")</f>
        <v>Rex cash+carry jumbo shopper</v>
      </c>
      <c r="D66" s="1">
        <f>IFERROR(__xludf.DUMMYFUNCTION("""COMPUTED_VALUE"""),1.0)</f>
        <v>1</v>
      </c>
      <c r="E66" s="3">
        <f>IFERROR(__xludf.DUMMYFUNCTION("""COMPUTED_VALUE"""),40626.0)</f>
        <v>40626</v>
      </c>
      <c r="F66" s="1">
        <f>IFERROR(__xludf.DUMMYFUNCTION("""COMPUTED_VALUE"""),0.95)</f>
        <v>0.95</v>
      </c>
      <c r="G66" s="1">
        <f>IFERROR(__xludf.DUMMYFUNCTION("""COMPUTED_VALUE"""),14071.0)</f>
        <v>14071</v>
      </c>
      <c r="H66" s="1">
        <v>0.95</v>
      </c>
      <c r="I66" s="1" t="str">
        <f t="shared" si="2"/>
        <v>Rex</v>
      </c>
      <c r="J66" s="1">
        <f t="shared" si="3"/>
        <v>48</v>
      </c>
      <c r="K66" s="1">
        <f t="shared" si="4"/>
        <v>1</v>
      </c>
      <c r="L66" s="1">
        <f t="shared" si="5"/>
        <v>0.95</v>
      </c>
    </row>
    <row r="67">
      <c r="A67" s="1">
        <f>IFERROR(__xludf.DUMMYFUNCTION("""COMPUTED_VALUE"""),550144.0)</f>
        <v>550144</v>
      </c>
      <c r="B67" s="1">
        <f>IFERROR(__xludf.DUMMYFUNCTION("""COMPUTED_VALUE"""),22090.0)</f>
        <v>22090</v>
      </c>
      <c r="C67" s="1" t="str">
        <f>IFERROR(__xludf.DUMMYFUNCTION("""COMPUTED_VALUE"""),"Paper bunting retrospot")</f>
        <v>Paper bunting retrospot</v>
      </c>
      <c r="D67" s="1">
        <f>IFERROR(__xludf.DUMMYFUNCTION("""COMPUTED_VALUE"""),2.0)</f>
        <v>2</v>
      </c>
      <c r="E67" s="3">
        <f>IFERROR(__xludf.DUMMYFUNCTION("""COMPUTED_VALUE"""),40647.0)</f>
        <v>40647</v>
      </c>
      <c r="F67" s="1">
        <f>IFERROR(__xludf.DUMMYFUNCTION("""COMPUTED_VALUE"""),2.95)</f>
        <v>2.95</v>
      </c>
      <c r="G67" s="1">
        <f>IFERROR(__xludf.DUMMYFUNCTION("""COMPUTED_VALUE"""),16520.0)</f>
        <v>16520</v>
      </c>
      <c r="H67" s="1">
        <v>5.9</v>
      </c>
      <c r="I67" s="1" t="str">
        <f t="shared" si="2"/>
        <v>Paper</v>
      </c>
      <c r="J67" s="1">
        <f t="shared" si="3"/>
        <v>27</v>
      </c>
      <c r="K67" s="1">
        <f t="shared" si="4"/>
        <v>1</v>
      </c>
      <c r="L67" s="1">
        <f t="shared" si="5"/>
        <v>5.9</v>
      </c>
    </row>
    <row r="68">
      <c r="A68" s="1">
        <f>IFERROR(__xludf.DUMMYFUNCTION("""COMPUTED_VALUE"""),546984.0)</f>
        <v>546984</v>
      </c>
      <c r="B68" s="1">
        <f>IFERROR(__xludf.DUMMYFUNCTION("""COMPUTED_VALUE"""),20658.0)</f>
        <v>20658</v>
      </c>
      <c r="C68" s="1" t="str">
        <f>IFERROR(__xludf.DUMMYFUNCTION("""COMPUTED_VALUE"""),"Red retrospot luggage tag")</f>
        <v>Red retrospot luggage tag</v>
      </c>
      <c r="D68" s="1">
        <f>IFERROR(__xludf.DUMMYFUNCTION("""COMPUTED_VALUE"""),2.0)</f>
        <v>2</v>
      </c>
      <c r="E68" s="3">
        <f>IFERROR(__xludf.DUMMYFUNCTION("""COMPUTED_VALUE"""),40620.0)</f>
        <v>40620</v>
      </c>
      <c r="F68" s="1">
        <f>IFERROR(__xludf.DUMMYFUNCTION("""COMPUTED_VALUE"""),1.25)</f>
        <v>1.25</v>
      </c>
      <c r="G68" s="1">
        <f>IFERROR(__xludf.DUMMYFUNCTION("""COMPUTED_VALUE"""),15019.0)</f>
        <v>15019</v>
      </c>
      <c r="H68" s="1">
        <v>2.5</v>
      </c>
      <c r="I68" s="1" t="str">
        <f t="shared" si="2"/>
        <v>Red</v>
      </c>
      <c r="J68" s="1">
        <f t="shared" si="3"/>
        <v>54</v>
      </c>
      <c r="K68" s="1">
        <f t="shared" si="4"/>
        <v>1</v>
      </c>
      <c r="L68" s="1">
        <f t="shared" si="5"/>
        <v>2.5</v>
      </c>
    </row>
    <row r="69">
      <c r="A69" s="1">
        <f>IFERROR(__xludf.DUMMYFUNCTION("""COMPUTED_VALUE"""),541970.0)</f>
        <v>541970</v>
      </c>
      <c r="B69" s="1">
        <f>IFERROR(__xludf.DUMMYFUNCTION("""COMPUTED_VALUE"""),22972.0)</f>
        <v>22972</v>
      </c>
      <c r="C69" s="1" t="str">
        <f>IFERROR(__xludf.DUMMYFUNCTION("""COMPUTED_VALUE"""),"Children's spaceboy mug")</f>
        <v>Children's spaceboy mug</v>
      </c>
      <c r="D69" s="1">
        <f>IFERROR(__xludf.DUMMYFUNCTION("""COMPUTED_VALUE"""),12.0)</f>
        <v>12</v>
      </c>
      <c r="E69" s="3">
        <f>IFERROR(__xludf.DUMMYFUNCTION("""COMPUTED_VALUE"""),40567.0)</f>
        <v>40567</v>
      </c>
      <c r="F69" s="1">
        <f>IFERROR(__xludf.DUMMYFUNCTION("""COMPUTED_VALUE"""),1.65)</f>
        <v>1.65</v>
      </c>
      <c r="G69" s="1">
        <f>IFERROR(__xludf.DUMMYFUNCTION("""COMPUTED_VALUE"""),15179.0)</f>
        <v>15179</v>
      </c>
      <c r="H69" s="1">
        <v>19.799999999999997</v>
      </c>
      <c r="I69" s="1" t="str">
        <f t="shared" si="2"/>
        <v>Children's</v>
      </c>
      <c r="J69" s="1">
        <f t="shared" si="3"/>
        <v>107</v>
      </c>
      <c r="K69" s="1">
        <f t="shared" si="4"/>
        <v>1</v>
      </c>
      <c r="L69" s="1">
        <f t="shared" si="5"/>
        <v>19.8</v>
      </c>
    </row>
    <row r="70">
      <c r="A70" s="1">
        <f>IFERROR(__xludf.DUMMYFUNCTION("""COMPUTED_VALUE"""),543604.0)</f>
        <v>543604</v>
      </c>
      <c r="B70" s="1">
        <f>IFERROR(__xludf.DUMMYFUNCTION("""COMPUTED_VALUE"""),22861.0)</f>
        <v>22861</v>
      </c>
      <c r="C70" s="1" t="str">
        <f>IFERROR(__xludf.DUMMYFUNCTION("""COMPUTED_VALUE"""),"Easter tin chicks in garden")</f>
        <v>Easter tin chicks in garden</v>
      </c>
      <c r="D70" s="1">
        <f>IFERROR(__xludf.DUMMYFUNCTION("""COMPUTED_VALUE"""),6.0)</f>
        <v>6</v>
      </c>
      <c r="E70" s="3">
        <f>IFERROR(__xludf.DUMMYFUNCTION("""COMPUTED_VALUE"""),40584.0)</f>
        <v>40584</v>
      </c>
      <c r="F70" s="1">
        <f>IFERROR(__xludf.DUMMYFUNCTION("""COMPUTED_VALUE"""),1.65)</f>
        <v>1.65</v>
      </c>
      <c r="G70" s="1">
        <f>IFERROR(__xludf.DUMMYFUNCTION("""COMPUTED_VALUE"""),16558.0)</f>
        <v>16558</v>
      </c>
      <c r="H70" s="1">
        <v>9.899999999999999</v>
      </c>
      <c r="I70" s="1" t="str">
        <f t="shared" si="2"/>
        <v>Easter</v>
      </c>
      <c r="J70" s="1">
        <f t="shared" si="3"/>
        <v>90</v>
      </c>
      <c r="K70" s="1">
        <f t="shared" si="4"/>
        <v>1</v>
      </c>
      <c r="L70" s="1">
        <f t="shared" si="5"/>
        <v>9.9</v>
      </c>
    </row>
    <row r="71">
      <c r="A71" s="1">
        <f>IFERROR(__xludf.DUMMYFUNCTION("""COMPUTED_VALUE"""),546774.0)</f>
        <v>546774</v>
      </c>
      <c r="B71" s="1">
        <f>IFERROR(__xludf.DUMMYFUNCTION("""COMPUTED_VALUE"""),21773.0)</f>
        <v>21773</v>
      </c>
      <c r="C71" s="1" t="str">
        <f>IFERROR(__xludf.DUMMYFUNCTION("""COMPUTED_VALUE"""),"Decorative rose bathroom bottle")</f>
        <v>Decorative rose bathroom bottle</v>
      </c>
      <c r="D71" s="1">
        <f>IFERROR(__xludf.DUMMYFUNCTION("""COMPUTED_VALUE"""),3.0)</f>
        <v>3</v>
      </c>
      <c r="E71" s="3">
        <f>IFERROR(__xludf.DUMMYFUNCTION("""COMPUTED_VALUE"""),40618.0)</f>
        <v>40618</v>
      </c>
      <c r="F71" s="1">
        <f>IFERROR(__xludf.DUMMYFUNCTION("""COMPUTED_VALUE"""),1.25)</f>
        <v>1.25</v>
      </c>
      <c r="G71" s="1">
        <f>IFERROR(__xludf.DUMMYFUNCTION("""COMPUTED_VALUE"""),14505.0)</f>
        <v>14505</v>
      </c>
      <c r="H71" s="1">
        <v>3.75</v>
      </c>
      <c r="I71" s="1" t="str">
        <f t="shared" si="2"/>
        <v>Decorative</v>
      </c>
      <c r="J71" s="1">
        <f t="shared" si="3"/>
        <v>56</v>
      </c>
      <c r="K71" s="1">
        <f t="shared" si="4"/>
        <v>1</v>
      </c>
      <c r="L71" s="1">
        <f t="shared" si="5"/>
        <v>3.75</v>
      </c>
    </row>
    <row r="72">
      <c r="A72" s="1">
        <f>IFERROR(__xludf.DUMMYFUNCTION("""COMPUTED_VALUE"""),541509.0)</f>
        <v>541509</v>
      </c>
      <c r="B72" s="1">
        <f>IFERROR(__xludf.DUMMYFUNCTION("""COMPUTED_VALUE"""),22499.0)</f>
        <v>22499</v>
      </c>
      <c r="C72" s="1" t="str">
        <f>IFERROR(__xludf.DUMMYFUNCTION("""COMPUTED_VALUE"""),"Wooden union jack bunting")</f>
        <v>Wooden union jack bunting</v>
      </c>
      <c r="D72" s="1">
        <f>IFERROR(__xludf.DUMMYFUNCTION("""COMPUTED_VALUE"""),1.0)</f>
        <v>1</v>
      </c>
      <c r="E72" s="3">
        <f>IFERROR(__xludf.DUMMYFUNCTION("""COMPUTED_VALUE"""),40561.0)</f>
        <v>40561</v>
      </c>
      <c r="F72" s="1">
        <f>IFERROR(__xludf.DUMMYFUNCTION("""COMPUTED_VALUE"""),5.95)</f>
        <v>5.95</v>
      </c>
      <c r="G72" s="1">
        <f>IFERROR(__xludf.DUMMYFUNCTION("""COMPUTED_VALUE"""),13263.0)</f>
        <v>13263</v>
      </c>
      <c r="H72" s="1">
        <v>5.95</v>
      </c>
      <c r="I72" s="1" t="str">
        <f t="shared" si="2"/>
        <v>Wooden</v>
      </c>
      <c r="J72" s="1">
        <f t="shared" si="3"/>
        <v>113</v>
      </c>
      <c r="K72" s="1">
        <f t="shared" si="4"/>
        <v>1</v>
      </c>
      <c r="L72" s="1">
        <f t="shared" si="5"/>
        <v>5.95</v>
      </c>
    </row>
    <row r="73">
      <c r="A73" s="1">
        <f>IFERROR(__xludf.DUMMYFUNCTION("""COMPUTED_VALUE"""),544476.0)</f>
        <v>544476</v>
      </c>
      <c r="B73" s="1">
        <f>IFERROR(__xludf.DUMMYFUNCTION("""COMPUTED_VALUE"""),84378.0)</f>
        <v>84378</v>
      </c>
      <c r="C73" s="1" t="str">
        <f>IFERROR(__xludf.DUMMYFUNCTION("""COMPUTED_VALUE"""),"Set of 3 heart cookie cutters")</f>
        <v>Set of 3 heart cookie cutters</v>
      </c>
      <c r="D73" s="1">
        <f>IFERROR(__xludf.DUMMYFUNCTION("""COMPUTED_VALUE"""),1.0)</f>
        <v>1</v>
      </c>
      <c r="E73" s="3">
        <f>IFERROR(__xludf.DUMMYFUNCTION("""COMPUTED_VALUE"""),40595.0)</f>
        <v>40595</v>
      </c>
      <c r="F73" s="1">
        <f>IFERROR(__xludf.DUMMYFUNCTION("""COMPUTED_VALUE"""),1.25)</f>
        <v>1.25</v>
      </c>
      <c r="G73" s="1">
        <f>IFERROR(__xludf.DUMMYFUNCTION("""COMPUTED_VALUE"""),14796.0)</f>
        <v>14796</v>
      </c>
      <c r="H73" s="1">
        <v>1.25</v>
      </c>
      <c r="I73" s="1" t="str">
        <f t="shared" si="2"/>
        <v>Set</v>
      </c>
      <c r="J73" s="1">
        <f t="shared" si="3"/>
        <v>79</v>
      </c>
      <c r="K73" s="1">
        <f t="shared" si="4"/>
        <v>1</v>
      </c>
      <c r="L73" s="1">
        <f t="shared" si="5"/>
        <v>1.25</v>
      </c>
    </row>
    <row r="74">
      <c r="A74" s="1">
        <f>IFERROR(__xludf.DUMMYFUNCTION("""COMPUTED_VALUE"""),542219.0)</f>
        <v>542219</v>
      </c>
      <c r="B74" s="1">
        <f>IFERROR(__xludf.DUMMYFUNCTION("""COMPUTED_VALUE"""),21070.0)</f>
        <v>21070</v>
      </c>
      <c r="C74" s="1" t="str">
        <f>IFERROR(__xludf.DUMMYFUNCTION("""COMPUTED_VALUE"""),"Vintage billboard mug")</f>
        <v>Vintage billboard mug</v>
      </c>
      <c r="D74" s="1">
        <f>IFERROR(__xludf.DUMMYFUNCTION("""COMPUTED_VALUE"""),12.0)</f>
        <v>12</v>
      </c>
      <c r="E74" s="3">
        <f>IFERROR(__xludf.DUMMYFUNCTION("""COMPUTED_VALUE"""),40569.0)</f>
        <v>40569</v>
      </c>
      <c r="F74" s="1">
        <f>IFERROR(__xludf.DUMMYFUNCTION("""COMPUTED_VALUE"""),1.25)</f>
        <v>1.25</v>
      </c>
      <c r="G74" s="1">
        <f>IFERROR(__xludf.DUMMYFUNCTION("""COMPUTED_VALUE"""),17735.0)</f>
        <v>17735</v>
      </c>
      <c r="H74" s="1">
        <v>15.0</v>
      </c>
      <c r="I74" s="1" t="str">
        <f t="shared" si="2"/>
        <v>Vintage</v>
      </c>
      <c r="J74" s="1">
        <f t="shared" si="3"/>
        <v>105</v>
      </c>
      <c r="K74" s="1">
        <f t="shared" si="4"/>
        <v>2</v>
      </c>
      <c r="L74" s="1">
        <f t="shared" si="5"/>
        <v>32.7</v>
      </c>
    </row>
    <row r="75">
      <c r="A75" s="1">
        <f>IFERROR(__xludf.DUMMYFUNCTION("""COMPUTED_VALUE"""),546378.0)</f>
        <v>546378</v>
      </c>
      <c r="B75" s="1">
        <f>IFERROR(__xludf.DUMMYFUNCTION("""COMPUTED_VALUE"""),22287.0)</f>
        <v>22287</v>
      </c>
      <c r="C75" s="1" t="str">
        <f>IFERROR(__xludf.DUMMYFUNCTION("""COMPUTED_VALUE"""),"Decoration , wobbly chicken, metal ")</f>
        <v>Decoration , wobbly chicken, metal </v>
      </c>
      <c r="D75" s="1">
        <f>IFERROR(__xludf.DUMMYFUNCTION("""COMPUTED_VALUE"""),12.0)</f>
        <v>12</v>
      </c>
      <c r="E75" s="3">
        <f>IFERROR(__xludf.DUMMYFUNCTION("""COMPUTED_VALUE"""),40613.0)</f>
        <v>40613</v>
      </c>
      <c r="F75" s="1">
        <f>IFERROR(__xludf.DUMMYFUNCTION("""COMPUTED_VALUE"""),1.65)</f>
        <v>1.65</v>
      </c>
      <c r="G75" s="1">
        <f>IFERROR(__xludf.DUMMYFUNCTION("""COMPUTED_VALUE"""),14329.0)</f>
        <v>14329</v>
      </c>
      <c r="H75" s="1">
        <v>19.799999999999997</v>
      </c>
      <c r="I75" s="1" t="str">
        <f t="shared" si="2"/>
        <v>Decoration</v>
      </c>
      <c r="J75" s="1">
        <f t="shared" si="3"/>
        <v>61</v>
      </c>
      <c r="K75" s="1">
        <f t="shared" si="4"/>
        <v>1</v>
      </c>
      <c r="L75" s="1">
        <f t="shared" si="5"/>
        <v>19.8</v>
      </c>
    </row>
    <row r="76">
      <c r="A76" s="1">
        <f>IFERROR(__xludf.DUMMYFUNCTION("""COMPUTED_VALUE"""),544304.0)</f>
        <v>544304</v>
      </c>
      <c r="B76" s="1">
        <f>IFERROR(__xludf.DUMMYFUNCTION("""COMPUTED_VALUE"""),22996.0)</f>
        <v>22996</v>
      </c>
      <c r="C76" s="1" t="str">
        <f>IFERROR(__xludf.DUMMYFUNCTION("""COMPUTED_VALUE"""),"Travel card wallet vintage ticket")</f>
        <v>Travel card wallet vintage ticket</v>
      </c>
      <c r="D76" s="1">
        <f>IFERROR(__xludf.DUMMYFUNCTION("""COMPUTED_VALUE"""),2.0)</f>
        <v>2</v>
      </c>
      <c r="E76" s="3">
        <f>IFERROR(__xludf.DUMMYFUNCTION("""COMPUTED_VALUE"""),40591.0)</f>
        <v>40591</v>
      </c>
      <c r="F76" s="1">
        <f>IFERROR(__xludf.DUMMYFUNCTION("""COMPUTED_VALUE"""),0.42)</f>
        <v>0.42</v>
      </c>
      <c r="G76" s="1">
        <f>IFERROR(__xludf.DUMMYFUNCTION("""COMPUTED_VALUE"""),18125.0)</f>
        <v>18125</v>
      </c>
      <c r="H76" s="1">
        <v>0.84</v>
      </c>
      <c r="I76" s="1" t="str">
        <f t="shared" si="2"/>
        <v>Travel</v>
      </c>
      <c r="J76" s="1">
        <f t="shared" si="3"/>
        <v>83</v>
      </c>
      <c r="K76" s="1">
        <f t="shared" si="4"/>
        <v>1</v>
      </c>
      <c r="L76" s="1">
        <f t="shared" si="5"/>
        <v>0.84</v>
      </c>
    </row>
    <row r="77">
      <c r="A77" s="1">
        <f>IFERROR(__xludf.DUMMYFUNCTION("""COMPUTED_VALUE"""),546890.0)</f>
        <v>546890</v>
      </c>
      <c r="B77" s="1">
        <f>IFERROR(__xludf.DUMMYFUNCTION("""COMPUTED_VALUE"""),22303.0)</f>
        <v>22303</v>
      </c>
      <c r="C77" s="1" t="str">
        <f>IFERROR(__xludf.DUMMYFUNCTION("""COMPUTED_VALUE"""),"Coffee mug apples design")</f>
        <v>Coffee mug apples design</v>
      </c>
      <c r="D77" s="1">
        <f>IFERROR(__xludf.DUMMYFUNCTION("""COMPUTED_VALUE"""),6.0)</f>
        <v>6</v>
      </c>
      <c r="E77" s="3">
        <f>IFERROR(__xludf.DUMMYFUNCTION("""COMPUTED_VALUE"""),40619.0)</f>
        <v>40619</v>
      </c>
      <c r="F77" s="1">
        <f>IFERROR(__xludf.DUMMYFUNCTION("""COMPUTED_VALUE"""),2.55)</f>
        <v>2.55</v>
      </c>
      <c r="G77" s="1">
        <f>IFERROR(__xludf.DUMMYFUNCTION("""COMPUTED_VALUE"""),13394.0)</f>
        <v>13394</v>
      </c>
      <c r="H77" s="1">
        <v>15.299999999999999</v>
      </c>
      <c r="I77" s="1" t="str">
        <f t="shared" si="2"/>
        <v>Coffee</v>
      </c>
      <c r="J77" s="1">
        <f t="shared" si="3"/>
        <v>55</v>
      </c>
      <c r="K77" s="1">
        <f t="shared" si="4"/>
        <v>1</v>
      </c>
      <c r="L77" s="1">
        <f t="shared" si="5"/>
        <v>15.3</v>
      </c>
    </row>
    <row r="78">
      <c r="A78" s="1">
        <f>IFERROR(__xludf.DUMMYFUNCTION("""COMPUTED_VALUE"""),546246.0)</f>
        <v>546246</v>
      </c>
      <c r="B78" s="1">
        <f>IFERROR(__xludf.DUMMYFUNCTION("""COMPUTED_VALUE"""),22366.0)</f>
        <v>22366</v>
      </c>
      <c r="C78" s="1" t="str">
        <f>IFERROR(__xludf.DUMMYFUNCTION("""COMPUTED_VALUE"""),"Doormat airmail")</f>
        <v>Doormat airmail</v>
      </c>
      <c r="D78" s="1">
        <f>IFERROR(__xludf.DUMMYFUNCTION("""COMPUTED_VALUE"""),4.0)</f>
        <v>4</v>
      </c>
      <c r="E78" s="3">
        <f>IFERROR(__xludf.DUMMYFUNCTION("""COMPUTED_VALUE"""),40612.0)</f>
        <v>40612</v>
      </c>
      <c r="F78" s="1">
        <f>IFERROR(__xludf.DUMMYFUNCTION("""COMPUTED_VALUE"""),7.95)</f>
        <v>7.95</v>
      </c>
      <c r="G78" s="1">
        <f>IFERROR(__xludf.DUMMYFUNCTION("""COMPUTED_VALUE"""),14841.0)</f>
        <v>14841</v>
      </c>
      <c r="H78" s="1">
        <v>31.8</v>
      </c>
      <c r="I78" s="1" t="str">
        <f t="shared" si="2"/>
        <v>Doormat</v>
      </c>
      <c r="J78" s="1">
        <f t="shared" si="3"/>
        <v>62</v>
      </c>
      <c r="K78" s="1">
        <f t="shared" si="4"/>
        <v>1</v>
      </c>
      <c r="L78" s="1">
        <f t="shared" si="5"/>
        <v>31.8</v>
      </c>
    </row>
    <row r="79">
      <c r="A79" s="1">
        <f>IFERROR(__xludf.DUMMYFUNCTION("""COMPUTED_VALUE"""),542890.0)</f>
        <v>542890</v>
      </c>
      <c r="B79" s="1">
        <f>IFERROR(__xludf.DUMMYFUNCTION("""COMPUTED_VALUE"""),22112.0)</f>
        <v>22112</v>
      </c>
      <c r="C79" s="1" t="str">
        <f>IFERROR(__xludf.DUMMYFUNCTION("""COMPUTED_VALUE"""),"Chocolate hot water bottle")</f>
        <v>Chocolate hot water bottle</v>
      </c>
      <c r="D79" s="1">
        <f>IFERROR(__xludf.DUMMYFUNCTION("""COMPUTED_VALUE"""),3.0)</f>
        <v>3</v>
      </c>
      <c r="E79" s="3">
        <f>IFERROR(__xludf.DUMMYFUNCTION("""COMPUTED_VALUE"""),40575.0)</f>
        <v>40575</v>
      </c>
      <c r="F79" s="1">
        <f>IFERROR(__xludf.DUMMYFUNCTION("""COMPUTED_VALUE"""),4.95)</f>
        <v>4.95</v>
      </c>
      <c r="G79" s="1">
        <f>IFERROR(__xludf.DUMMYFUNCTION("""COMPUTED_VALUE"""),15311.0)</f>
        <v>15311</v>
      </c>
      <c r="H79" s="1">
        <v>14.850000000000001</v>
      </c>
      <c r="I79" s="1" t="str">
        <f t="shared" si="2"/>
        <v>Chocolate</v>
      </c>
      <c r="J79" s="1">
        <f t="shared" si="3"/>
        <v>99</v>
      </c>
      <c r="K79" s="1">
        <f t="shared" si="4"/>
        <v>1</v>
      </c>
      <c r="L79" s="1">
        <f t="shared" si="5"/>
        <v>14.85</v>
      </c>
    </row>
    <row r="80">
      <c r="A80" s="1">
        <f>IFERROR(__xludf.DUMMYFUNCTION("""COMPUTED_VALUE"""),550138.0)</f>
        <v>550138</v>
      </c>
      <c r="B80" s="1">
        <f>IFERROR(__xludf.DUMMYFUNCTION("""COMPUTED_VALUE"""),85203.0)</f>
        <v>85203</v>
      </c>
      <c r="C80" s="1" t="str">
        <f>IFERROR(__xludf.DUMMYFUNCTION("""COMPUTED_VALUE"""),"Hanging wood and felt butterfly")</f>
        <v>Hanging wood and felt butterfly</v>
      </c>
      <c r="D80" s="1">
        <f>IFERROR(__xludf.DUMMYFUNCTION("""COMPUTED_VALUE"""),5.0)</f>
        <v>5</v>
      </c>
      <c r="E80" s="3">
        <f>IFERROR(__xludf.DUMMYFUNCTION("""COMPUTED_VALUE"""),40647.0)</f>
        <v>40647</v>
      </c>
      <c r="F80" s="1">
        <f>IFERROR(__xludf.DUMMYFUNCTION("""COMPUTED_VALUE"""),0.42)</f>
        <v>0.42</v>
      </c>
      <c r="G80" s="1">
        <f>IFERROR(__xludf.DUMMYFUNCTION("""COMPUTED_VALUE"""),12841.0)</f>
        <v>12841</v>
      </c>
      <c r="H80" s="1">
        <v>2.1</v>
      </c>
      <c r="I80" s="1" t="str">
        <f t="shared" si="2"/>
        <v>Hanging</v>
      </c>
      <c r="J80" s="1">
        <f t="shared" si="3"/>
        <v>27</v>
      </c>
      <c r="K80" s="1">
        <f t="shared" si="4"/>
        <v>1</v>
      </c>
      <c r="L80" s="1">
        <f t="shared" si="5"/>
        <v>2.1</v>
      </c>
    </row>
    <row r="81">
      <c r="A81" s="1">
        <f>IFERROR(__xludf.DUMMYFUNCTION("""COMPUTED_VALUE"""),550194.0)</f>
        <v>550194</v>
      </c>
      <c r="B81" s="1">
        <f>IFERROR(__xludf.DUMMYFUNCTION("""COMPUTED_VALUE"""),21932.0)</f>
        <v>21932</v>
      </c>
      <c r="C81" s="1" t="str">
        <f>IFERROR(__xludf.DUMMYFUNCTION("""COMPUTED_VALUE"""),"Scandinavian paisley picnic bag")</f>
        <v>Scandinavian paisley picnic bag</v>
      </c>
      <c r="D81" s="1">
        <f>IFERROR(__xludf.DUMMYFUNCTION("""COMPUTED_VALUE"""),5.0)</f>
        <v>5</v>
      </c>
      <c r="E81" s="3">
        <f>IFERROR(__xludf.DUMMYFUNCTION("""COMPUTED_VALUE"""),40648.0)</f>
        <v>40648</v>
      </c>
      <c r="F81" s="1">
        <f>IFERROR(__xludf.DUMMYFUNCTION("""COMPUTED_VALUE"""),2.95)</f>
        <v>2.95</v>
      </c>
      <c r="G81" s="1">
        <f>IFERROR(__xludf.DUMMYFUNCTION("""COMPUTED_VALUE"""),15270.0)</f>
        <v>15270</v>
      </c>
      <c r="H81" s="1">
        <v>14.75</v>
      </c>
      <c r="I81" s="1" t="str">
        <f t="shared" si="2"/>
        <v>Scandinavian</v>
      </c>
      <c r="J81" s="1">
        <f t="shared" si="3"/>
        <v>26</v>
      </c>
      <c r="K81" s="1">
        <f t="shared" si="4"/>
        <v>1</v>
      </c>
      <c r="L81" s="1">
        <f t="shared" si="5"/>
        <v>14.75</v>
      </c>
    </row>
    <row r="82">
      <c r="A82" s="1">
        <f>IFERROR(__xludf.DUMMYFUNCTION("""COMPUTED_VALUE"""),548014.0)</f>
        <v>548014</v>
      </c>
      <c r="B82" s="1">
        <f>IFERROR(__xludf.DUMMYFUNCTION("""COMPUTED_VALUE"""),22726.0)</f>
        <v>22726</v>
      </c>
      <c r="C82" s="1" t="str">
        <f>IFERROR(__xludf.DUMMYFUNCTION("""COMPUTED_VALUE"""),"Alarm clock bakelike green")</f>
        <v>Alarm clock bakelike green</v>
      </c>
      <c r="D82" s="1">
        <f>IFERROR(__xludf.DUMMYFUNCTION("""COMPUTED_VALUE"""),4.0)</f>
        <v>4</v>
      </c>
      <c r="E82" s="3">
        <f>IFERROR(__xludf.DUMMYFUNCTION("""COMPUTED_VALUE"""),40631.0)</f>
        <v>40631</v>
      </c>
      <c r="F82" s="1">
        <f>IFERROR(__xludf.DUMMYFUNCTION("""COMPUTED_VALUE"""),3.75)</f>
        <v>3.75</v>
      </c>
      <c r="G82" s="1">
        <f>IFERROR(__xludf.DUMMYFUNCTION("""COMPUTED_VALUE"""),17719.0)</f>
        <v>17719</v>
      </c>
      <c r="H82" s="1">
        <v>15.0</v>
      </c>
      <c r="I82" s="1" t="str">
        <f t="shared" si="2"/>
        <v>Alarm</v>
      </c>
      <c r="J82" s="1">
        <f t="shared" si="3"/>
        <v>43</v>
      </c>
      <c r="K82" s="1">
        <f t="shared" si="4"/>
        <v>1</v>
      </c>
      <c r="L82" s="1">
        <f t="shared" si="5"/>
        <v>15</v>
      </c>
    </row>
    <row r="83">
      <c r="A83" s="1">
        <f>IFERROR(__xludf.DUMMYFUNCTION("""COMPUTED_VALUE"""),547359.0)</f>
        <v>547359</v>
      </c>
      <c r="B83" s="1">
        <f>IFERROR(__xludf.DUMMYFUNCTION("""COMPUTED_VALUE"""),21908.0)</f>
        <v>21908</v>
      </c>
      <c r="C83" s="1" t="str">
        <f>IFERROR(__xludf.DUMMYFUNCTION("""COMPUTED_VALUE"""),"Chocolate this way metal sign")</f>
        <v>Chocolate this way metal sign</v>
      </c>
      <c r="D83" s="1">
        <f>IFERROR(__xludf.DUMMYFUNCTION("""COMPUTED_VALUE"""),1.0)</f>
        <v>1</v>
      </c>
      <c r="E83" s="3">
        <f>IFERROR(__xludf.DUMMYFUNCTION("""COMPUTED_VALUE"""),40624.0)</f>
        <v>40624</v>
      </c>
      <c r="F83" s="1">
        <f>IFERROR(__xludf.DUMMYFUNCTION("""COMPUTED_VALUE"""),2.1)</f>
        <v>2.1</v>
      </c>
      <c r="G83" s="1">
        <f>IFERROR(__xludf.DUMMYFUNCTION("""COMPUTED_VALUE"""),15719.0)</f>
        <v>15719</v>
      </c>
      <c r="H83" s="1">
        <v>2.1</v>
      </c>
      <c r="I83" s="1" t="str">
        <f t="shared" si="2"/>
        <v>Chocolate</v>
      </c>
      <c r="J83" s="1">
        <f t="shared" si="3"/>
        <v>50</v>
      </c>
      <c r="K83" s="1">
        <f t="shared" si="4"/>
        <v>1</v>
      </c>
      <c r="L83" s="1">
        <f t="shared" si="5"/>
        <v>2.1</v>
      </c>
    </row>
    <row r="84">
      <c r="A84" s="1">
        <f>IFERROR(__xludf.DUMMYFUNCTION("""COMPUTED_VALUE"""),543354.0)</f>
        <v>543354</v>
      </c>
      <c r="B84" s="1">
        <f>IFERROR(__xludf.DUMMYFUNCTION("""COMPUTED_VALUE"""),22249.0)</f>
        <v>22249</v>
      </c>
      <c r="C84" s="1" t="str">
        <f>IFERROR(__xludf.DUMMYFUNCTION("""COMPUTED_VALUE"""),"Decoration white chick magic garden")</f>
        <v>Decoration white chick magic garden</v>
      </c>
      <c r="D84" s="1">
        <f>IFERROR(__xludf.DUMMYFUNCTION("""COMPUTED_VALUE"""),16.0)</f>
        <v>16</v>
      </c>
      <c r="E84" s="3">
        <f>IFERROR(__xludf.DUMMYFUNCTION("""COMPUTED_VALUE"""),40581.0)</f>
        <v>40581</v>
      </c>
      <c r="F84" s="1">
        <f>IFERROR(__xludf.DUMMYFUNCTION("""COMPUTED_VALUE"""),0.85)</f>
        <v>0.85</v>
      </c>
      <c r="G84" s="1">
        <f>IFERROR(__xludf.DUMMYFUNCTION("""COMPUTED_VALUE"""),13458.0)</f>
        <v>13458</v>
      </c>
      <c r="H84" s="1">
        <v>13.6</v>
      </c>
      <c r="I84" s="1" t="str">
        <f t="shared" si="2"/>
        <v>Decoration</v>
      </c>
      <c r="J84" s="1">
        <f t="shared" si="3"/>
        <v>93</v>
      </c>
      <c r="K84" s="1">
        <f t="shared" si="4"/>
        <v>1</v>
      </c>
      <c r="L84" s="1">
        <f t="shared" si="5"/>
        <v>13.6</v>
      </c>
    </row>
    <row r="85">
      <c r="A85" s="1">
        <f>IFERROR(__xludf.DUMMYFUNCTION("""COMPUTED_VALUE"""),549303.0)</f>
        <v>549303</v>
      </c>
      <c r="B85" s="1">
        <f>IFERROR(__xludf.DUMMYFUNCTION("""COMPUTED_VALUE"""),22585.0)</f>
        <v>22585</v>
      </c>
      <c r="C85" s="1" t="str">
        <f>IFERROR(__xludf.DUMMYFUNCTION("""COMPUTED_VALUE"""),"Pack of 6 birdy gift tags")</f>
        <v>Pack of 6 birdy gift tags</v>
      </c>
      <c r="D85" s="1">
        <f>IFERROR(__xludf.DUMMYFUNCTION("""COMPUTED_VALUE"""),12.0)</f>
        <v>12</v>
      </c>
      <c r="E85" s="3">
        <f>IFERROR(__xludf.DUMMYFUNCTION("""COMPUTED_VALUE"""),40641.0)</f>
        <v>40641</v>
      </c>
      <c r="F85" s="1">
        <f>IFERROR(__xludf.DUMMYFUNCTION("""COMPUTED_VALUE"""),1.25)</f>
        <v>1.25</v>
      </c>
      <c r="G85" s="1">
        <f>IFERROR(__xludf.DUMMYFUNCTION("""COMPUTED_VALUE"""),18040.0)</f>
        <v>18040</v>
      </c>
      <c r="H85" s="1">
        <v>15.0</v>
      </c>
      <c r="I85" s="1" t="str">
        <f t="shared" si="2"/>
        <v>Pack</v>
      </c>
      <c r="J85" s="1">
        <f t="shared" si="3"/>
        <v>33</v>
      </c>
      <c r="K85" s="1">
        <f t="shared" si="4"/>
        <v>1</v>
      </c>
      <c r="L85" s="1">
        <f t="shared" si="5"/>
        <v>15</v>
      </c>
    </row>
    <row r="86">
      <c r="A86" s="1">
        <f>IFERROR(__xludf.DUMMYFUNCTION("""COMPUTED_VALUE"""),546681.0)</f>
        <v>546681</v>
      </c>
      <c r="B86" s="1">
        <f>IFERROR(__xludf.DUMMYFUNCTION("""COMPUTED_VALUE"""),21934.0)</f>
        <v>21934</v>
      </c>
      <c r="C86" s="1" t="str">
        <f>IFERROR(__xludf.DUMMYFUNCTION("""COMPUTED_VALUE"""),"Skull shoulder bag")</f>
        <v>Skull shoulder bag</v>
      </c>
      <c r="D86" s="1">
        <f>IFERROR(__xludf.DUMMYFUNCTION("""COMPUTED_VALUE"""),10.0)</f>
        <v>10</v>
      </c>
      <c r="E86" s="3">
        <f>IFERROR(__xludf.DUMMYFUNCTION("""COMPUTED_VALUE"""),40618.0)</f>
        <v>40618</v>
      </c>
      <c r="F86" s="1">
        <f>IFERROR(__xludf.DUMMYFUNCTION("""COMPUTED_VALUE"""),1.65)</f>
        <v>1.65</v>
      </c>
      <c r="G86" s="1">
        <f>IFERROR(__xludf.DUMMYFUNCTION("""COMPUTED_VALUE"""),16297.0)</f>
        <v>16297</v>
      </c>
      <c r="H86" s="1">
        <v>16.5</v>
      </c>
      <c r="I86" s="1" t="str">
        <f t="shared" si="2"/>
        <v>Skull</v>
      </c>
      <c r="J86" s="1">
        <f t="shared" si="3"/>
        <v>56</v>
      </c>
      <c r="K86" s="1">
        <f t="shared" si="4"/>
        <v>1</v>
      </c>
      <c r="L86" s="1">
        <f t="shared" si="5"/>
        <v>16.5</v>
      </c>
    </row>
    <row r="87">
      <c r="A87" s="1">
        <f>IFERROR(__xludf.DUMMYFUNCTION("""COMPUTED_VALUE"""),546120.0)</f>
        <v>546120</v>
      </c>
      <c r="B87" s="1">
        <f>IFERROR(__xludf.DUMMYFUNCTION("""COMPUTED_VALUE"""),23006.0)</f>
        <v>23006</v>
      </c>
      <c r="C87" s="1" t="str">
        <f>IFERROR(__xludf.DUMMYFUNCTION("""COMPUTED_VALUE"""),"Travel card wallet flower meadow")</f>
        <v>Travel card wallet flower meadow</v>
      </c>
      <c r="D87" s="1">
        <f>IFERROR(__xludf.DUMMYFUNCTION("""COMPUTED_VALUE"""),24.0)</f>
        <v>24</v>
      </c>
      <c r="E87" s="3">
        <f>IFERROR(__xludf.DUMMYFUNCTION("""COMPUTED_VALUE"""),40611.0)</f>
        <v>40611</v>
      </c>
      <c r="F87" s="1">
        <f>IFERROR(__xludf.DUMMYFUNCTION("""COMPUTED_VALUE"""),0.42)</f>
        <v>0.42</v>
      </c>
      <c r="G87" s="1">
        <f>IFERROR(__xludf.DUMMYFUNCTION("""COMPUTED_VALUE"""),16945.0)</f>
        <v>16945</v>
      </c>
      <c r="H87" s="1">
        <v>10.08</v>
      </c>
      <c r="I87" s="1" t="str">
        <f t="shared" si="2"/>
        <v>Travel</v>
      </c>
      <c r="J87" s="1">
        <f t="shared" si="3"/>
        <v>63</v>
      </c>
      <c r="K87" s="1">
        <f t="shared" si="4"/>
        <v>1</v>
      </c>
      <c r="L87" s="1">
        <f t="shared" si="5"/>
        <v>10.08</v>
      </c>
    </row>
    <row r="88">
      <c r="A88" s="1">
        <f>IFERROR(__xludf.DUMMYFUNCTION("""COMPUTED_VALUE"""),552280.0)</f>
        <v>552280</v>
      </c>
      <c r="B88" s="1">
        <f>IFERROR(__xludf.DUMMYFUNCTION("""COMPUTED_VALUE"""),22926.0)</f>
        <v>22926</v>
      </c>
      <c r="C88" s="1" t="str">
        <f>IFERROR(__xludf.DUMMYFUNCTION("""COMPUTED_VALUE"""),"Ivory giant garden thermometer")</f>
        <v>Ivory giant garden thermometer</v>
      </c>
      <c r="D88" s="1">
        <f>IFERROR(__xludf.DUMMYFUNCTION("""COMPUTED_VALUE"""),1.0)</f>
        <v>1</v>
      </c>
      <c r="E88" s="3">
        <f>IFERROR(__xludf.DUMMYFUNCTION("""COMPUTED_VALUE"""),40671.0)</f>
        <v>40671</v>
      </c>
      <c r="F88" s="1">
        <f>IFERROR(__xludf.DUMMYFUNCTION("""COMPUTED_VALUE"""),5.95)</f>
        <v>5.95</v>
      </c>
      <c r="G88" s="1">
        <f>IFERROR(__xludf.DUMMYFUNCTION("""COMPUTED_VALUE"""),13561.0)</f>
        <v>13561</v>
      </c>
      <c r="H88" s="1">
        <v>5.95</v>
      </c>
      <c r="I88" s="1" t="str">
        <f t="shared" si="2"/>
        <v>Ivory</v>
      </c>
      <c r="J88" s="1">
        <f t="shared" si="3"/>
        <v>3</v>
      </c>
      <c r="K88" s="1">
        <f t="shared" si="4"/>
        <v>1</v>
      </c>
      <c r="L88" s="1">
        <f t="shared" si="5"/>
        <v>5.95</v>
      </c>
    </row>
    <row r="89">
      <c r="A89" s="1">
        <f>IFERROR(__xludf.DUMMYFUNCTION("""COMPUTED_VALUE"""),550479.0)</f>
        <v>550479</v>
      </c>
      <c r="B89" s="1">
        <f>IFERROR(__xludf.DUMMYFUNCTION("""COMPUTED_VALUE"""),22617.0)</f>
        <v>22617</v>
      </c>
      <c r="C89" s="1" t="str">
        <f>IFERROR(__xludf.DUMMYFUNCTION("""COMPUTED_VALUE"""),"Baking set spaceboy design")</f>
        <v>Baking set spaceboy design</v>
      </c>
      <c r="D89" s="1">
        <f>IFERROR(__xludf.DUMMYFUNCTION("""COMPUTED_VALUE"""),3.0)</f>
        <v>3</v>
      </c>
      <c r="E89" s="3">
        <f>IFERROR(__xludf.DUMMYFUNCTION("""COMPUTED_VALUE"""),40651.0)</f>
        <v>40651</v>
      </c>
      <c r="F89" s="1">
        <f>IFERROR(__xludf.DUMMYFUNCTION("""COMPUTED_VALUE"""),4.95)</f>
        <v>4.95</v>
      </c>
      <c r="G89" s="1">
        <f>IFERROR(__xludf.DUMMYFUNCTION("""COMPUTED_VALUE"""),15625.0)</f>
        <v>15625</v>
      </c>
      <c r="H89" s="1">
        <v>14.850000000000001</v>
      </c>
      <c r="I89" s="1" t="str">
        <f t="shared" si="2"/>
        <v>Baking</v>
      </c>
      <c r="J89" s="1">
        <f t="shared" si="3"/>
        <v>23</v>
      </c>
      <c r="K89" s="1">
        <f t="shared" si="4"/>
        <v>1</v>
      </c>
      <c r="L89" s="1">
        <f t="shared" si="5"/>
        <v>14.85</v>
      </c>
    </row>
    <row r="90">
      <c r="A90" s="1">
        <f>IFERROR(__xludf.DUMMYFUNCTION("""COMPUTED_VALUE"""),539579.0)</f>
        <v>539579</v>
      </c>
      <c r="B90" s="1">
        <f>IFERROR(__xludf.DUMMYFUNCTION("""COMPUTED_VALUE"""),20681.0)</f>
        <v>20681</v>
      </c>
      <c r="C90" s="1" t="str">
        <f>IFERROR(__xludf.DUMMYFUNCTION("""COMPUTED_VALUE"""),"Pink polkadot childrens umbrella")</f>
        <v>Pink polkadot childrens umbrella</v>
      </c>
      <c r="D90" s="1">
        <f>IFERROR(__xludf.DUMMYFUNCTION("""COMPUTED_VALUE"""),2.0)</f>
        <v>2</v>
      </c>
      <c r="E90" s="3">
        <f>IFERROR(__xludf.DUMMYFUNCTION("""COMPUTED_VALUE"""),40532.0)</f>
        <v>40532</v>
      </c>
      <c r="F90" s="1">
        <f>IFERROR(__xludf.DUMMYFUNCTION("""COMPUTED_VALUE"""),3.25)</f>
        <v>3.25</v>
      </c>
      <c r="G90" s="1">
        <f>IFERROR(__xludf.DUMMYFUNCTION("""COMPUTED_VALUE"""),16713.0)</f>
        <v>16713</v>
      </c>
      <c r="H90" s="1">
        <v>6.5</v>
      </c>
      <c r="I90" s="1" t="str">
        <f t="shared" si="2"/>
        <v>Pink</v>
      </c>
      <c r="J90" s="1">
        <f t="shared" si="3"/>
        <v>142</v>
      </c>
      <c r="K90" s="1">
        <f t="shared" si="4"/>
        <v>1</v>
      </c>
      <c r="L90" s="1">
        <f t="shared" si="5"/>
        <v>6.5</v>
      </c>
    </row>
    <row r="91">
      <c r="A91" s="1">
        <f>IFERROR(__xludf.DUMMYFUNCTION("""COMPUTED_VALUE"""),539502.0)</f>
        <v>539502</v>
      </c>
      <c r="B91" s="1">
        <f>IFERROR(__xludf.DUMMYFUNCTION("""COMPUTED_VALUE"""),22983.0)</f>
        <v>22983</v>
      </c>
      <c r="C91" s="1" t="str">
        <f>IFERROR(__xludf.DUMMYFUNCTION("""COMPUTED_VALUE"""),"Card billboard font")</f>
        <v>Card billboard font</v>
      </c>
      <c r="D91" s="1">
        <f>IFERROR(__xludf.DUMMYFUNCTION("""COMPUTED_VALUE"""),12.0)</f>
        <v>12</v>
      </c>
      <c r="E91" s="3">
        <f>IFERROR(__xludf.DUMMYFUNCTION("""COMPUTED_VALUE"""),40532.0)</f>
        <v>40532</v>
      </c>
      <c r="F91" s="1">
        <f>IFERROR(__xludf.DUMMYFUNCTION("""COMPUTED_VALUE"""),0.42)</f>
        <v>0.42</v>
      </c>
      <c r="G91" s="1">
        <f>IFERROR(__xludf.DUMMYFUNCTION("""COMPUTED_VALUE"""),14099.0)</f>
        <v>14099</v>
      </c>
      <c r="H91" s="1">
        <v>5.04</v>
      </c>
      <c r="I91" s="1" t="str">
        <f t="shared" si="2"/>
        <v>Card</v>
      </c>
      <c r="J91" s="1">
        <f t="shared" si="3"/>
        <v>142</v>
      </c>
      <c r="K91" s="1">
        <f t="shared" si="4"/>
        <v>1</v>
      </c>
      <c r="L91" s="1">
        <f t="shared" si="5"/>
        <v>5.04</v>
      </c>
    </row>
    <row r="92">
      <c r="A92" s="1">
        <f>IFERROR(__xludf.DUMMYFUNCTION("""COMPUTED_VALUE"""),540180.0)</f>
        <v>540180</v>
      </c>
      <c r="B92" s="1">
        <f>IFERROR(__xludf.DUMMYFUNCTION("""COMPUTED_VALUE"""),22558.0)</f>
        <v>22558</v>
      </c>
      <c r="C92" s="1" t="str">
        <f>IFERROR(__xludf.DUMMYFUNCTION("""COMPUTED_VALUE"""),"Clothes pegs retrospot pack 24")</f>
        <v>Clothes pegs retrospot pack 24</v>
      </c>
      <c r="D92" s="1">
        <f>IFERROR(__xludf.DUMMYFUNCTION("""COMPUTED_VALUE"""),1.0)</f>
        <v>1</v>
      </c>
      <c r="E92" s="3">
        <f>IFERROR(__xludf.DUMMYFUNCTION("""COMPUTED_VALUE"""),40548.0)</f>
        <v>40548</v>
      </c>
      <c r="F92" s="1">
        <f>IFERROR(__xludf.DUMMYFUNCTION("""COMPUTED_VALUE"""),1.49)</f>
        <v>1.49</v>
      </c>
      <c r="G92" s="1">
        <f>IFERROR(__xludf.DUMMYFUNCTION("""COMPUTED_VALUE"""),15984.0)</f>
        <v>15984</v>
      </c>
      <c r="H92" s="1">
        <v>1.49</v>
      </c>
      <c r="I92" s="1" t="str">
        <f t="shared" si="2"/>
        <v>Clothes</v>
      </c>
      <c r="J92" s="1">
        <f t="shared" si="3"/>
        <v>126</v>
      </c>
      <c r="K92" s="1">
        <f t="shared" si="4"/>
        <v>1</v>
      </c>
      <c r="L92" s="1">
        <f t="shared" si="5"/>
        <v>1.49</v>
      </c>
    </row>
    <row r="93">
      <c r="A93" s="1">
        <f>IFERROR(__xludf.DUMMYFUNCTION("""COMPUTED_VALUE"""),546912.0)</f>
        <v>546912</v>
      </c>
      <c r="B93" s="1" t="str">
        <f>IFERROR(__xludf.DUMMYFUNCTION("""COMPUTED_VALUE"""),"85132A")</f>
        <v>85132A</v>
      </c>
      <c r="C93" s="1" t="str">
        <f>IFERROR(__xludf.DUMMYFUNCTION("""COMPUTED_VALUE"""),"Charlie + lola biscuits tins")</f>
        <v>Charlie + lola biscuits tins</v>
      </c>
      <c r="D93" s="1">
        <f>IFERROR(__xludf.DUMMYFUNCTION("""COMPUTED_VALUE"""),2.0)</f>
        <v>2</v>
      </c>
      <c r="E93" s="3">
        <f>IFERROR(__xludf.DUMMYFUNCTION("""COMPUTED_VALUE"""),40619.0)</f>
        <v>40619</v>
      </c>
      <c r="F93" s="1">
        <f>IFERROR(__xludf.DUMMYFUNCTION("""COMPUTED_VALUE"""),9.95)</f>
        <v>9.95</v>
      </c>
      <c r="G93" s="1">
        <f>IFERROR(__xludf.DUMMYFUNCTION("""COMPUTED_VALUE"""),15861.0)</f>
        <v>15861</v>
      </c>
      <c r="H93" s="1">
        <v>19.9</v>
      </c>
      <c r="I93" s="1" t="str">
        <f t="shared" si="2"/>
        <v>Charlie</v>
      </c>
      <c r="J93" s="1">
        <f t="shared" si="3"/>
        <v>55</v>
      </c>
      <c r="K93" s="1">
        <f t="shared" si="4"/>
        <v>1</v>
      </c>
      <c r="L93" s="1">
        <f t="shared" si="5"/>
        <v>19.9</v>
      </c>
    </row>
    <row r="94">
      <c r="A94" s="1">
        <f>IFERROR(__xludf.DUMMYFUNCTION("""COMPUTED_VALUE"""),546849.0)</f>
        <v>546849</v>
      </c>
      <c r="B94" s="1">
        <f>IFERROR(__xludf.DUMMYFUNCTION("""COMPUTED_VALUE"""),21619.0)</f>
        <v>21619</v>
      </c>
      <c r="C94" s="1" t="str">
        <f>IFERROR(__xludf.DUMMYFUNCTION("""COMPUTED_VALUE"""),"4 vanilla botanical candles")</f>
        <v>4 vanilla botanical candles</v>
      </c>
      <c r="D94" s="1">
        <f>IFERROR(__xludf.DUMMYFUNCTION("""COMPUTED_VALUE"""),1.0)</f>
        <v>1</v>
      </c>
      <c r="E94" s="3">
        <f>IFERROR(__xludf.DUMMYFUNCTION("""COMPUTED_VALUE"""),40619.0)</f>
        <v>40619</v>
      </c>
      <c r="F94" s="1">
        <f>IFERROR(__xludf.DUMMYFUNCTION("""COMPUTED_VALUE"""),3.75)</f>
        <v>3.75</v>
      </c>
      <c r="G94" s="1">
        <f>IFERROR(__xludf.DUMMYFUNCTION("""COMPUTED_VALUE"""),13623.0)</f>
        <v>13623</v>
      </c>
      <c r="H94" s="1">
        <v>3.75</v>
      </c>
      <c r="I94" s="1" t="str">
        <f t="shared" si="2"/>
        <v>4</v>
      </c>
      <c r="J94" s="1">
        <f t="shared" si="3"/>
        <v>55</v>
      </c>
      <c r="K94" s="1">
        <f t="shared" si="4"/>
        <v>1</v>
      </c>
      <c r="L94" s="1">
        <f t="shared" si="5"/>
        <v>3.75</v>
      </c>
    </row>
    <row r="95">
      <c r="A95" s="1">
        <f>IFERROR(__xludf.DUMMYFUNCTION("""COMPUTED_VALUE"""),544368.0)</f>
        <v>544368</v>
      </c>
      <c r="B95" s="1">
        <f>IFERROR(__xludf.DUMMYFUNCTION("""COMPUTED_VALUE"""),20712.0)</f>
        <v>20712</v>
      </c>
      <c r="C95" s="1" t="str">
        <f>IFERROR(__xludf.DUMMYFUNCTION("""COMPUTED_VALUE"""),"Jumbo bag woodland animals")</f>
        <v>Jumbo bag woodland animals</v>
      </c>
      <c r="D95" s="1">
        <f>IFERROR(__xludf.DUMMYFUNCTION("""COMPUTED_VALUE"""),2.0)</f>
        <v>2</v>
      </c>
      <c r="E95" s="3">
        <f>IFERROR(__xludf.DUMMYFUNCTION("""COMPUTED_VALUE"""),40592.0)</f>
        <v>40592</v>
      </c>
      <c r="F95" s="1">
        <f>IFERROR(__xludf.DUMMYFUNCTION("""COMPUTED_VALUE"""),1.95)</f>
        <v>1.95</v>
      </c>
      <c r="G95" s="1">
        <f>IFERROR(__xludf.DUMMYFUNCTION("""COMPUTED_VALUE"""),14057.0)</f>
        <v>14057</v>
      </c>
      <c r="H95" s="1">
        <v>3.9</v>
      </c>
      <c r="I95" s="1" t="str">
        <f t="shared" si="2"/>
        <v>Jumbo</v>
      </c>
      <c r="J95" s="1">
        <f t="shared" si="3"/>
        <v>82</v>
      </c>
      <c r="K95" s="1">
        <f t="shared" si="4"/>
        <v>1</v>
      </c>
      <c r="L95" s="1">
        <f t="shared" si="5"/>
        <v>3.9</v>
      </c>
    </row>
    <row r="96">
      <c r="A96" s="1">
        <f>IFERROR(__xludf.DUMMYFUNCTION("""COMPUTED_VALUE"""),551056.0)</f>
        <v>551056</v>
      </c>
      <c r="B96" s="1">
        <f>IFERROR(__xludf.DUMMYFUNCTION("""COMPUTED_VALUE"""),22507.0)</f>
        <v>22507</v>
      </c>
      <c r="C96" s="1" t="str">
        <f>IFERROR(__xludf.DUMMYFUNCTION("""COMPUTED_VALUE"""),"Memo board retrospot  design")</f>
        <v>Memo board retrospot  design</v>
      </c>
      <c r="D96" s="1">
        <f>IFERROR(__xludf.DUMMYFUNCTION("""COMPUTED_VALUE"""),1.0)</f>
        <v>1</v>
      </c>
      <c r="E96" s="3">
        <f>IFERROR(__xludf.DUMMYFUNCTION("""COMPUTED_VALUE"""),40659.0)</f>
        <v>40659</v>
      </c>
      <c r="F96" s="1">
        <f>IFERROR(__xludf.DUMMYFUNCTION("""COMPUTED_VALUE"""),4.95)</f>
        <v>4.95</v>
      </c>
      <c r="G96" s="1">
        <f>IFERROR(__xludf.DUMMYFUNCTION("""COMPUTED_VALUE"""),16442.0)</f>
        <v>16442</v>
      </c>
      <c r="H96" s="1">
        <v>4.95</v>
      </c>
      <c r="I96" s="1" t="str">
        <f t="shared" si="2"/>
        <v>Memo</v>
      </c>
      <c r="J96" s="1">
        <f t="shared" si="3"/>
        <v>15</v>
      </c>
      <c r="K96" s="1">
        <f t="shared" si="4"/>
        <v>1</v>
      </c>
      <c r="L96" s="1">
        <f t="shared" si="5"/>
        <v>4.95</v>
      </c>
    </row>
    <row r="97">
      <c r="A97" s="1">
        <f>IFERROR(__xludf.DUMMYFUNCTION("""COMPUTED_VALUE"""),540803.0)</f>
        <v>540803</v>
      </c>
      <c r="B97" s="1">
        <f>IFERROR(__xludf.DUMMYFUNCTION("""COMPUTED_VALUE"""),22924.0)</f>
        <v>22924</v>
      </c>
      <c r="C97" s="1" t="str">
        <f>IFERROR(__xludf.DUMMYFUNCTION("""COMPUTED_VALUE"""),"Fridge magnets la vie en rose")</f>
        <v>Fridge magnets la vie en rose</v>
      </c>
      <c r="D97" s="1">
        <f>IFERROR(__xludf.DUMMYFUNCTION("""COMPUTED_VALUE"""),12.0)</f>
        <v>12</v>
      </c>
      <c r="E97" s="3">
        <f>IFERROR(__xludf.DUMMYFUNCTION("""COMPUTED_VALUE"""),40554.0)</f>
        <v>40554</v>
      </c>
      <c r="F97" s="1">
        <f>IFERROR(__xludf.DUMMYFUNCTION("""COMPUTED_VALUE"""),0.85)</f>
        <v>0.85</v>
      </c>
      <c r="G97" s="1">
        <f>IFERROR(__xludf.DUMMYFUNCTION("""COMPUTED_VALUE"""),14669.0)</f>
        <v>14669</v>
      </c>
      <c r="H97" s="1">
        <v>10.2</v>
      </c>
      <c r="I97" s="1" t="str">
        <f t="shared" si="2"/>
        <v>Fridge</v>
      </c>
      <c r="J97" s="1">
        <f t="shared" si="3"/>
        <v>120</v>
      </c>
      <c r="K97" s="1">
        <f t="shared" si="4"/>
        <v>1</v>
      </c>
      <c r="L97" s="1">
        <f t="shared" si="5"/>
        <v>10.2</v>
      </c>
    </row>
    <row r="98">
      <c r="A98" s="1">
        <f>IFERROR(__xludf.DUMMYFUNCTION("""COMPUTED_VALUE"""),543272.0)</f>
        <v>543272</v>
      </c>
      <c r="B98" s="1">
        <f>IFERROR(__xludf.DUMMYFUNCTION("""COMPUTED_VALUE"""),22555.0)</f>
        <v>22555</v>
      </c>
      <c r="C98" s="1" t="str">
        <f>IFERROR(__xludf.DUMMYFUNCTION("""COMPUTED_VALUE"""),"Plasters in tin strongman")</f>
        <v>Plasters in tin strongman</v>
      </c>
      <c r="D98" s="1">
        <f>IFERROR(__xludf.DUMMYFUNCTION("""COMPUTED_VALUE"""),1.0)</f>
        <v>1</v>
      </c>
      <c r="E98" s="3">
        <f>IFERROR(__xludf.DUMMYFUNCTION("""COMPUTED_VALUE"""),40580.0)</f>
        <v>40580</v>
      </c>
      <c r="F98" s="1">
        <f>IFERROR(__xludf.DUMMYFUNCTION("""COMPUTED_VALUE"""),1.65)</f>
        <v>1.65</v>
      </c>
      <c r="G98" s="1">
        <f>IFERROR(__xludf.DUMMYFUNCTION("""COMPUTED_VALUE"""),14810.0)</f>
        <v>14810</v>
      </c>
      <c r="H98" s="1">
        <v>1.65</v>
      </c>
      <c r="I98" s="1" t="str">
        <f t="shared" si="2"/>
        <v>Plasters</v>
      </c>
      <c r="J98" s="1">
        <f t="shared" si="3"/>
        <v>94</v>
      </c>
      <c r="K98" s="1">
        <f t="shared" si="4"/>
        <v>1</v>
      </c>
      <c r="L98" s="1">
        <f t="shared" si="5"/>
        <v>1.65</v>
      </c>
    </row>
    <row r="99">
      <c r="A99" s="1">
        <f>IFERROR(__xludf.DUMMYFUNCTION("""COMPUTED_VALUE"""),544918.0)</f>
        <v>544918</v>
      </c>
      <c r="B99" s="1">
        <f>IFERROR(__xludf.DUMMYFUNCTION("""COMPUTED_VALUE"""),71459.0)</f>
        <v>71459</v>
      </c>
      <c r="C99" s="1" t="str">
        <f>IFERROR(__xludf.DUMMYFUNCTION("""COMPUTED_VALUE"""),"Hanging jam jar t-light holder")</f>
        <v>Hanging jam jar t-light holder</v>
      </c>
      <c r="D99" s="1">
        <f>IFERROR(__xludf.DUMMYFUNCTION("""COMPUTED_VALUE"""),24.0)</f>
        <v>24</v>
      </c>
      <c r="E99" s="3">
        <f>IFERROR(__xludf.DUMMYFUNCTION("""COMPUTED_VALUE"""),40598.0)</f>
        <v>40598</v>
      </c>
      <c r="F99" s="1">
        <f>IFERROR(__xludf.DUMMYFUNCTION("""COMPUTED_VALUE"""),0.85)</f>
        <v>0.85</v>
      </c>
      <c r="G99" s="1">
        <f>IFERROR(__xludf.DUMMYFUNCTION("""COMPUTED_VALUE"""),13081.0)</f>
        <v>13081</v>
      </c>
      <c r="H99" s="1">
        <v>20.4</v>
      </c>
      <c r="I99" s="1" t="str">
        <f t="shared" si="2"/>
        <v>Hanging</v>
      </c>
      <c r="J99" s="1">
        <f t="shared" si="3"/>
        <v>76</v>
      </c>
      <c r="K99" s="1">
        <f t="shared" si="4"/>
        <v>2</v>
      </c>
      <c r="L99" s="1">
        <f t="shared" si="5"/>
        <v>36</v>
      </c>
    </row>
    <row r="100">
      <c r="A100" s="1">
        <f>IFERROR(__xludf.DUMMYFUNCTION("""COMPUTED_VALUE"""),540855.0)</f>
        <v>540855</v>
      </c>
      <c r="B100" s="1">
        <f>IFERROR(__xludf.DUMMYFUNCTION("""COMPUTED_VALUE"""),21154.0)</f>
        <v>21154</v>
      </c>
      <c r="C100" s="1" t="str">
        <f>IFERROR(__xludf.DUMMYFUNCTION("""COMPUTED_VALUE"""),"Red retrospot oven glove")</f>
        <v>Red retrospot oven glove</v>
      </c>
      <c r="D100" s="1">
        <f>IFERROR(__xludf.DUMMYFUNCTION("""COMPUTED_VALUE"""),20.0)</f>
        <v>20</v>
      </c>
      <c r="E100" s="3">
        <f>IFERROR(__xludf.DUMMYFUNCTION("""COMPUTED_VALUE"""),40555.0)</f>
        <v>40555</v>
      </c>
      <c r="F100" s="1">
        <f>IFERROR(__xludf.DUMMYFUNCTION("""COMPUTED_VALUE"""),1.25)</f>
        <v>1.25</v>
      </c>
      <c r="G100" s="1">
        <f>IFERROR(__xludf.DUMMYFUNCTION("""COMPUTED_VALUE"""),16353.0)</f>
        <v>16353</v>
      </c>
      <c r="H100" s="1">
        <v>25.0</v>
      </c>
      <c r="I100" s="1" t="str">
        <f t="shared" si="2"/>
        <v>Red</v>
      </c>
      <c r="J100" s="1">
        <f t="shared" si="3"/>
        <v>119</v>
      </c>
      <c r="K100" s="1">
        <f t="shared" si="4"/>
        <v>1</v>
      </c>
      <c r="L100" s="1">
        <f t="shared" si="5"/>
        <v>25</v>
      </c>
    </row>
    <row r="101">
      <c r="A101" s="1">
        <f>IFERROR(__xludf.DUMMYFUNCTION("""COMPUTED_VALUE"""),547240.0)</f>
        <v>547240</v>
      </c>
      <c r="B101" s="1">
        <f>IFERROR(__xludf.DUMMYFUNCTION("""COMPUTED_VALUE"""),22860.0)</f>
        <v>22860</v>
      </c>
      <c r="C101" s="1" t="str">
        <f>IFERROR(__xludf.DUMMYFUNCTION("""COMPUTED_VALUE"""),"Easter tin chicks pink daisy")</f>
        <v>Easter tin chicks pink daisy</v>
      </c>
      <c r="D101" s="1">
        <f>IFERROR(__xludf.DUMMYFUNCTION("""COMPUTED_VALUE"""),1.0)</f>
        <v>1</v>
      </c>
      <c r="E101" s="3">
        <f>IFERROR(__xludf.DUMMYFUNCTION("""COMPUTED_VALUE"""),40623.0)</f>
        <v>40623</v>
      </c>
      <c r="F101" s="1">
        <f>IFERROR(__xludf.DUMMYFUNCTION("""COMPUTED_VALUE"""),1.65)</f>
        <v>1.65</v>
      </c>
      <c r="G101" s="1">
        <f>IFERROR(__xludf.DUMMYFUNCTION("""COMPUTED_VALUE"""),17585.0)</f>
        <v>17585</v>
      </c>
      <c r="H101" s="1">
        <v>1.65</v>
      </c>
      <c r="I101" s="1" t="str">
        <f t="shared" si="2"/>
        <v>Easter</v>
      </c>
      <c r="J101" s="1">
        <f t="shared" si="3"/>
        <v>51</v>
      </c>
      <c r="K101" s="1">
        <f t="shared" si="4"/>
        <v>1</v>
      </c>
      <c r="L101" s="1">
        <f t="shared" si="5"/>
        <v>1.65</v>
      </c>
    </row>
    <row r="102">
      <c r="A102" s="1">
        <f>IFERROR(__xludf.DUMMYFUNCTION("""COMPUTED_VALUE"""),550275.0)</f>
        <v>550275</v>
      </c>
      <c r="B102" s="1">
        <f>IFERROR(__xludf.DUMMYFUNCTION("""COMPUTED_VALUE"""),22090.0)</f>
        <v>22090</v>
      </c>
      <c r="C102" s="1" t="str">
        <f>IFERROR(__xludf.DUMMYFUNCTION("""COMPUTED_VALUE"""),"Paper bunting retrospot")</f>
        <v>Paper bunting retrospot</v>
      </c>
      <c r="D102" s="1">
        <f>IFERROR(__xludf.DUMMYFUNCTION("""COMPUTED_VALUE"""),6.0)</f>
        <v>6</v>
      </c>
      <c r="E102" s="3">
        <f>IFERROR(__xludf.DUMMYFUNCTION("""COMPUTED_VALUE"""),40648.0)</f>
        <v>40648</v>
      </c>
      <c r="F102" s="1">
        <f>IFERROR(__xludf.DUMMYFUNCTION("""COMPUTED_VALUE"""),2.95)</f>
        <v>2.95</v>
      </c>
      <c r="G102" s="1">
        <f>IFERROR(__xludf.DUMMYFUNCTION("""COMPUTED_VALUE"""),13993.0)</f>
        <v>13993</v>
      </c>
      <c r="H102" s="1">
        <v>17.700000000000003</v>
      </c>
      <c r="I102" s="1" t="str">
        <f t="shared" si="2"/>
        <v>Paper</v>
      </c>
      <c r="J102" s="1">
        <f t="shared" si="3"/>
        <v>26</v>
      </c>
      <c r="K102" s="1">
        <f t="shared" si="4"/>
        <v>1</v>
      </c>
      <c r="L102" s="1">
        <f t="shared" si="5"/>
        <v>17.7</v>
      </c>
    </row>
    <row r="103">
      <c r="A103" s="1">
        <f>IFERROR(__xludf.DUMMYFUNCTION("""COMPUTED_VALUE"""),552721.0)</f>
        <v>552721</v>
      </c>
      <c r="B103" s="1">
        <f>IFERROR(__xludf.DUMMYFUNCTION("""COMPUTED_VALUE"""),22919.0)</f>
        <v>22919</v>
      </c>
      <c r="C103" s="1" t="str">
        <f>IFERROR(__xludf.DUMMYFUNCTION("""COMPUTED_VALUE"""),"Herb marker mint")</f>
        <v>Herb marker mint</v>
      </c>
      <c r="D103" s="1">
        <f>IFERROR(__xludf.DUMMYFUNCTION("""COMPUTED_VALUE"""),12.0)</f>
        <v>12</v>
      </c>
      <c r="E103" s="3">
        <f>IFERROR(__xludf.DUMMYFUNCTION("""COMPUTED_VALUE"""),40674.0)</f>
        <v>40674</v>
      </c>
      <c r="F103" s="1">
        <f>IFERROR(__xludf.DUMMYFUNCTION("""COMPUTED_VALUE"""),0.65)</f>
        <v>0.65</v>
      </c>
      <c r="G103" s="1">
        <f>IFERROR(__xludf.DUMMYFUNCTION("""COMPUTED_VALUE"""),14691.0)</f>
        <v>14691</v>
      </c>
      <c r="H103" s="1">
        <v>7.800000000000001</v>
      </c>
      <c r="I103" s="1" t="str">
        <f t="shared" si="2"/>
        <v>Herb</v>
      </c>
      <c r="J103" s="1">
        <f t="shared" si="3"/>
        <v>0</v>
      </c>
      <c r="K103" s="1">
        <f t="shared" si="4"/>
        <v>1</v>
      </c>
      <c r="L103" s="1">
        <f t="shared" si="5"/>
        <v>7.8</v>
      </c>
    </row>
    <row r="104">
      <c r="A104" s="1">
        <f>IFERROR(__xludf.DUMMYFUNCTION("""COMPUTED_VALUE"""),548860.0)</f>
        <v>548860</v>
      </c>
      <c r="B104" s="1">
        <f>IFERROR(__xludf.DUMMYFUNCTION("""COMPUTED_VALUE"""),84978.0)</f>
        <v>84978</v>
      </c>
      <c r="C104" s="1" t="str">
        <f>IFERROR(__xludf.DUMMYFUNCTION("""COMPUTED_VALUE"""),"Hanging heart jar t-light holder")</f>
        <v>Hanging heart jar t-light holder</v>
      </c>
      <c r="D104" s="1">
        <f>IFERROR(__xludf.DUMMYFUNCTION("""COMPUTED_VALUE"""),6.0)</f>
        <v>6</v>
      </c>
      <c r="E104" s="3">
        <f>IFERROR(__xludf.DUMMYFUNCTION("""COMPUTED_VALUE"""),40637.0)</f>
        <v>40637</v>
      </c>
      <c r="F104" s="1">
        <f>IFERROR(__xludf.DUMMYFUNCTION("""COMPUTED_VALUE"""),1.25)</f>
        <v>1.25</v>
      </c>
      <c r="G104" s="1">
        <f>IFERROR(__xludf.DUMMYFUNCTION("""COMPUTED_VALUE"""),13263.0)</f>
        <v>13263</v>
      </c>
      <c r="H104" s="1">
        <v>7.5</v>
      </c>
      <c r="I104" s="1" t="str">
        <f t="shared" si="2"/>
        <v>Hanging</v>
      </c>
      <c r="J104" s="1">
        <f t="shared" si="3"/>
        <v>36</v>
      </c>
      <c r="K104" s="1">
        <f t="shared" si="4"/>
        <v>1</v>
      </c>
      <c r="L104" s="1">
        <f t="shared" si="5"/>
        <v>7.5</v>
      </c>
    </row>
    <row r="105">
      <c r="A105" s="1">
        <f>IFERROR(__xludf.DUMMYFUNCTION("""COMPUTED_VALUE"""),542895.0)</f>
        <v>542895</v>
      </c>
      <c r="B105" s="1">
        <f>IFERROR(__xludf.DUMMYFUNCTION("""COMPUTED_VALUE"""),21907.0)</f>
        <v>21907</v>
      </c>
      <c r="C105" s="1" t="str">
        <f>IFERROR(__xludf.DUMMYFUNCTION("""COMPUTED_VALUE"""),"I'm on holiday metal sign")</f>
        <v>I'm on holiday metal sign</v>
      </c>
      <c r="D105" s="1">
        <f>IFERROR(__xludf.DUMMYFUNCTION("""COMPUTED_VALUE"""),1.0)</f>
        <v>1</v>
      </c>
      <c r="E105" s="3">
        <f>IFERROR(__xludf.DUMMYFUNCTION("""COMPUTED_VALUE"""),40575.0)</f>
        <v>40575</v>
      </c>
      <c r="F105" s="1">
        <f>IFERROR(__xludf.DUMMYFUNCTION("""COMPUTED_VALUE"""),2.1)</f>
        <v>2.1</v>
      </c>
      <c r="G105" s="1">
        <f>IFERROR(__xludf.DUMMYFUNCTION("""COMPUTED_VALUE"""),14549.0)</f>
        <v>14549</v>
      </c>
      <c r="H105" s="1">
        <v>2.1</v>
      </c>
      <c r="I105" s="1" t="str">
        <f t="shared" si="2"/>
        <v>I'm</v>
      </c>
      <c r="J105" s="1">
        <f t="shared" si="3"/>
        <v>98</v>
      </c>
      <c r="K105" s="1">
        <f t="shared" si="4"/>
        <v>1</v>
      </c>
      <c r="L105" s="1">
        <f t="shared" si="5"/>
        <v>2.1</v>
      </c>
    </row>
    <row r="106">
      <c r="A106" s="1">
        <f>IFERROR(__xludf.DUMMYFUNCTION("""COMPUTED_VALUE"""),548807.0)</f>
        <v>548807</v>
      </c>
      <c r="B106" s="1">
        <f>IFERROR(__xludf.DUMMYFUNCTION("""COMPUTED_VALUE"""),21086.0)</f>
        <v>21086</v>
      </c>
      <c r="C106" s="1" t="str">
        <f>IFERROR(__xludf.DUMMYFUNCTION("""COMPUTED_VALUE"""),"Set/6 red spotty paper cups")</f>
        <v>Set/6 red spotty paper cups</v>
      </c>
      <c r="D106" s="1">
        <f>IFERROR(__xludf.DUMMYFUNCTION("""COMPUTED_VALUE"""),216.0)</f>
        <v>216</v>
      </c>
      <c r="E106" s="3">
        <f>IFERROR(__xludf.DUMMYFUNCTION("""COMPUTED_VALUE"""),40637.0)</f>
        <v>40637</v>
      </c>
      <c r="F106" s="1">
        <f>IFERROR(__xludf.DUMMYFUNCTION("""COMPUTED_VALUE"""),0.53)</f>
        <v>0.53</v>
      </c>
      <c r="G106" s="1">
        <f>IFERROR(__xludf.DUMMYFUNCTION("""COMPUTED_VALUE"""),16422.0)</f>
        <v>16422</v>
      </c>
      <c r="H106" s="1">
        <v>114.48</v>
      </c>
      <c r="I106" s="1" t="str">
        <f t="shared" si="2"/>
        <v>Set/6</v>
      </c>
      <c r="J106" s="1">
        <f t="shared" si="3"/>
        <v>36</v>
      </c>
      <c r="K106" s="1">
        <f t="shared" si="4"/>
        <v>1</v>
      </c>
      <c r="L106" s="1">
        <f t="shared" si="5"/>
        <v>114.48</v>
      </c>
    </row>
    <row r="107">
      <c r="A107" s="1">
        <f>IFERROR(__xludf.DUMMYFUNCTION("""COMPUTED_VALUE"""),538014.0)</f>
        <v>538014</v>
      </c>
      <c r="B107" s="1" t="str">
        <f>IFERROR(__xludf.DUMMYFUNCTION("""COMPUTED_VALUE"""),"72807B")</f>
        <v>72807B</v>
      </c>
      <c r="C107" s="1" t="str">
        <f>IFERROR(__xludf.DUMMYFUNCTION("""COMPUTED_VALUE"""),"Set/3 ocean scent candle jewel box")</f>
        <v>Set/3 ocean scent candle jewel box</v>
      </c>
      <c r="D107" s="1">
        <f>IFERROR(__xludf.DUMMYFUNCTION("""COMPUTED_VALUE"""),12.0)</f>
        <v>12</v>
      </c>
      <c r="E107" s="3">
        <f>IFERROR(__xludf.DUMMYFUNCTION("""COMPUTED_VALUE"""),40521.0)</f>
        <v>40521</v>
      </c>
      <c r="F107" s="1">
        <f>IFERROR(__xludf.DUMMYFUNCTION("""COMPUTED_VALUE"""),4.25)</f>
        <v>4.25</v>
      </c>
      <c r="G107" s="1">
        <f>IFERROR(__xludf.DUMMYFUNCTION("""COMPUTED_VALUE"""),14440.0)</f>
        <v>14440</v>
      </c>
      <c r="H107" s="1">
        <v>51.0</v>
      </c>
      <c r="I107" s="1" t="str">
        <f t="shared" si="2"/>
        <v>Set/3</v>
      </c>
      <c r="J107" s="1">
        <f t="shared" si="3"/>
        <v>152</v>
      </c>
      <c r="K107" s="1">
        <f t="shared" si="4"/>
        <v>1</v>
      </c>
      <c r="L107" s="1">
        <f t="shared" si="5"/>
        <v>51</v>
      </c>
    </row>
    <row r="108">
      <c r="A108" s="1">
        <f>IFERROR(__xludf.DUMMYFUNCTION("""COMPUTED_VALUE"""),551821.0)</f>
        <v>551821</v>
      </c>
      <c r="B108" s="1" t="str">
        <f>IFERROR(__xludf.DUMMYFUNCTION("""COMPUTED_VALUE"""),"84970L")</f>
        <v>84970L</v>
      </c>
      <c r="C108" s="1" t="str">
        <f>IFERROR(__xludf.DUMMYFUNCTION("""COMPUTED_VALUE"""),"Single heart zinc t-light holder")</f>
        <v>Single heart zinc t-light holder</v>
      </c>
      <c r="D108" s="1">
        <f>IFERROR(__xludf.DUMMYFUNCTION("""COMPUTED_VALUE"""),12.0)</f>
        <v>12</v>
      </c>
      <c r="E108" s="3">
        <f>IFERROR(__xludf.DUMMYFUNCTION("""COMPUTED_VALUE"""),40667.0)</f>
        <v>40667</v>
      </c>
      <c r="F108" s="1">
        <f>IFERROR(__xludf.DUMMYFUNCTION("""COMPUTED_VALUE"""),0.95)</f>
        <v>0.95</v>
      </c>
      <c r="G108" s="1">
        <f>IFERROR(__xludf.DUMMYFUNCTION("""COMPUTED_VALUE"""),16942.0)</f>
        <v>16942</v>
      </c>
      <c r="H108" s="1">
        <v>11.399999999999999</v>
      </c>
      <c r="I108" s="1" t="str">
        <f t="shared" si="2"/>
        <v>Single</v>
      </c>
      <c r="J108" s="1">
        <f t="shared" si="3"/>
        <v>6</v>
      </c>
      <c r="K108" s="1">
        <f t="shared" si="4"/>
        <v>1</v>
      </c>
      <c r="L108" s="1">
        <f t="shared" si="5"/>
        <v>11.4</v>
      </c>
    </row>
    <row r="109">
      <c r="A109" s="1">
        <f>IFERROR(__xludf.DUMMYFUNCTION("""COMPUTED_VALUE"""),552046.0)</f>
        <v>552046</v>
      </c>
      <c r="B109" s="1">
        <f>IFERROR(__xludf.DUMMYFUNCTION("""COMPUTED_VALUE"""),47566.0)</f>
        <v>47566</v>
      </c>
      <c r="C109" s="1" t="str">
        <f>IFERROR(__xludf.DUMMYFUNCTION("""COMPUTED_VALUE"""),"Party bunting")</f>
        <v>Party bunting</v>
      </c>
      <c r="D109" s="1">
        <f>IFERROR(__xludf.DUMMYFUNCTION("""COMPUTED_VALUE"""),4.0)</f>
        <v>4</v>
      </c>
      <c r="E109" s="3">
        <f>IFERROR(__xludf.DUMMYFUNCTION("""COMPUTED_VALUE"""),40669.0)</f>
        <v>40669</v>
      </c>
      <c r="F109" s="1">
        <f>IFERROR(__xludf.DUMMYFUNCTION("""COMPUTED_VALUE"""),4.95)</f>
        <v>4.95</v>
      </c>
      <c r="G109" s="1">
        <f>IFERROR(__xludf.DUMMYFUNCTION("""COMPUTED_VALUE"""),15235.0)</f>
        <v>15235</v>
      </c>
      <c r="H109" s="1">
        <v>19.8</v>
      </c>
      <c r="I109" s="1" t="str">
        <f t="shared" si="2"/>
        <v>Party</v>
      </c>
      <c r="J109" s="1">
        <f t="shared" si="3"/>
        <v>4</v>
      </c>
      <c r="K109" s="1">
        <f t="shared" si="4"/>
        <v>1</v>
      </c>
      <c r="L109" s="1">
        <f t="shared" si="5"/>
        <v>19.8</v>
      </c>
    </row>
    <row r="110">
      <c r="A110" s="1">
        <f>IFERROR(__xludf.DUMMYFUNCTION("""COMPUTED_VALUE"""),544406.0)</f>
        <v>544406</v>
      </c>
      <c r="B110" s="1">
        <f>IFERROR(__xludf.DUMMYFUNCTION("""COMPUTED_VALUE"""),22905.0)</f>
        <v>22905</v>
      </c>
      <c r="C110" s="1" t="str">
        <f>IFERROR(__xludf.DUMMYFUNCTION("""COMPUTED_VALUE"""),"Calendar in season design")</f>
        <v>Calendar in season design</v>
      </c>
      <c r="D110" s="1">
        <f>IFERROR(__xludf.DUMMYFUNCTION("""COMPUTED_VALUE"""),5.0)</f>
        <v>5</v>
      </c>
      <c r="E110" s="3">
        <f>IFERROR(__xludf.DUMMYFUNCTION("""COMPUTED_VALUE"""),40592.0)</f>
        <v>40592</v>
      </c>
      <c r="F110" s="1">
        <f>IFERROR(__xludf.DUMMYFUNCTION("""COMPUTED_VALUE"""),2.95)</f>
        <v>2.95</v>
      </c>
      <c r="G110" s="1">
        <f>IFERROR(__xludf.DUMMYFUNCTION("""COMPUTED_VALUE"""),16726.0)</f>
        <v>16726</v>
      </c>
      <c r="H110" s="1">
        <v>14.75</v>
      </c>
      <c r="I110" s="1" t="str">
        <f t="shared" si="2"/>
        <v>Calendar</v>
      </c>
      <c r="J110" s="1">
        <f t="shared" si="3"/>
        <v>81</v>
      </c>
      <c r="K110" s="1">
        <f t="shared" si="4"/>
        <v>1</v>
      </c>
      <c r="L110" s="1">
        <f t="shared" si="5"/>
        <v>14.75</v>
      </c>
    </row>
    <row r="111">
      <c r="A111" s="1">
        <f>IFERROR(__xludf.DUMMYFUNCTION("""COMPUTED_VALUE"""),546466.0)</f>
        <v>546466</v>
      </c>
      <c r="B111" s="1">
        <f>IFERROR(__xludf.DUMMYFUNCTION("""COMPUTED_VALUE"""),22993.0)</f>
        <v>22993</v>
      </c>
      <c r="C111" s="1" t="str">
        <f>IFERROR(__xludf.DUMMYFUNCTION("""COMPUTED_VALUE"""),"Set of 4 pantry jelly moulds")</f>
        <v>Set of 4 pantry jelly moulds</v>
      </c>
      <c r="D111" s="1">
        <f>IFERROR(__xludf.DUMMYFUNCTION("""COMPUTED_VALUE"""),4.0)</f>
        <v>4</v>
      </c>
      <c r="E111" s="3">
        <f>IFERROR(__xludf.DUMMYFUNCTION("""COMPUTED_VALUE"""),40616.0)</f>
        <v>40616</v>
      </c>
      <c r="F111" s="1">
        <f>IFERROR(__xludf.DUMMYFUNCTION("""COMPUTED_VALUE"""),1.25)</f>
        <v>1.25</v>
      </c>
      <c r="G111" s="1">
        <f>IFERROR(__xludf.DUMMYFUNCTION("""COMPUTED_VALUE"""),18118.0)</f>
        <v>18118</v>
      </c>
      <c r="H111" s="1">
        <v>5.0</v>
      </c>
      <c r="I111" s="1" t="str">
        <f t="shared" si="2"/>
        <v>Set</v>
      </c>
      <c r="J111" s="1">
        <f t="shared" si="3"/>
        <v>57</v>
      </c>
      <c r="K111" s="1">
        <f t="shared" si="4"/>
        <v>1</v>
      </c>
      <c r="L111" s="1">
        <f t="shared" si="5"/>
        <v>5</v>
      </c>
    </row>
    <row r="112">
      <c r="A112" s="1">
        <f>IFERROR(__xludf.DUMMYFUNCTION("""COMPUTED_VALUE"""),543598.0)</f>
        <v>543598</v>
      </c>
      <c r="B112" s="1">
        <f>IFERROR(__xludf.DUMMYFUNCTION("""COMPUTED_VALUE"""),21463.0)</f>
        <v>21463</v>
      </c>
      <c r="C112" s="1" t="str">
        <f>IFERROR(__xludf.DUMMYFUNCTION("""COMPUTED_VALUE"""),"Mirrored disco ball")</f>
        <v>Mirrored disco ball</v>
      </c>
      <c r="D112" s="1">
        <f>IFERROR(__xludf.DUMMYFUNCTION("""COMPUTED_VALUE"""),6.0)</f>
        <v>6</v>
      </c>
      <c r="E112" s="3">
        <f>IFERROR(__xludf.DUMMYFUNCTION("""COMPUTED_VALUE"""),40584.0)</f>
        <v>40584</v>
      </c>
      <c r="F112" s="1">
        <f>IFERROR(__xludf.DUMMYFUNCTION("""COMPUTED_VALUE"""),5.95)</f>
        <v>5.95</v>
      </c>
      <c r="G112" s="1">
        <f>IFERROR(__xludf.DUMMYFUNCTION("""COMPUTED_VALUE"""),18230.0)</f>
        <v>18230</v>
      </c>
      <c r="H112" s="1">
        <v>35.7</v>
      </c>
      <c r="I112" s="1" t="str">
        <f t="shared" si="2"/>
        <v>Mirrored</v>
      </c>
      <c r="J112" s="1">
        <f t="shared" si="3"/>
        <v>89</v>
      </c>
      <c r="K112" s="1">
        <f t="shared" si="4"/>
        <v>1</v>
      </c>
      <c r="L112" s="1">
        <f t="shared" si="5"/>
        <v>35.7</v>
      </c>
    </row>
    <row r="113">
      <c r="A113" s="1">
        <f>IFERROR(__xludf.DUMMYFUNCTION("""COMPUTED_VALUE"""),551351.0)</f>
        <v>551351</v>
      </c>
      <c r="B113" s="1">
        <f>IFERROR(__xludf.DUMMYFUNCTION("""COMPUTED_VALUE"""),21733.0)</f>
        <v>21733</v>
      </c>
      <c r="C113" s="1" t="str">
        <f>IFERROR(__xludf.DUMMYFUNCTION("""COMPUTED_VALUE"""),"Red hanging heart t-light holder")</f>
        <v>Red hanging heart t-light holder</v>
      </c>
      <c r="D113" s="1">
        <f>IFERROR(__xludf.DUMMYFUNCTION("""COMPUTED_VALUE"""),32.0)</f>
        <v>32</v>
      </c>
      <c r="E113" s="3">
        <f>IFERROR(__xludf.DUMMYFUNCTION("""COMPUTED_VALUE"""),40661.0)</f>
        <v>40661</v>
      </c>
      <c r="F113" s="1">
        <f>IFERROR(__xludf.DUMMYFUNCTION("""COMPUTED_VALUE"""),2.55)</f>
        <v>2.55</v>
      </c>
      <c r="G113" s="1">
        <f>IFERROR(__xludf.DUMMYFUNCTION("""COMPUTED_VALUE"""),14298.0)</f>
        <v>14298</v>
      </c>
      <c r="H113" s="1">
        <v>81.6</v>
      </c>
      <c r="I113" s="1" t="str">
        <f t="shared" si="2"/>
        <v>Red</v>
      </c>
      <c r="J113" s="1">
        <f t="shared" si="3"/>
        <v>12</v>
      </c>
      <c r="K113" s="1">
        <f t="shared" si="4"/>
        <v>1</v>
      </c>
      <c r="L113" s="1">
        <f t="shared" si="5"/>
        <v>81.6</v>
      </c>
    </row>
    <row r="114">
      <c r="A114" s="1">
        <f>IFERROR(__xludf.DUMMYFUNCTION("""COMPUTED_VALUE"""),540522.0)</f>
        <v>540522</v>
      </c>
      <c r="B114" s="1">
        <f>IFERROR(__xludf.DUMMYFUNCTION("""COMPUTED_VALUE"""),22418.0)</f>
        <v>22418</v>
      </c>
      <c r="C114" s="1" t="str">
        <f>IFERROR(__xludf.DUMMYFUNCTION("""COMPUTED_VALUE"""),"10 colour spaceboy pen")</f>
        <v>10 colour spaceboy pen</v>
      </c>
      <c r="D114" s="1">
        <f>IFERROR(__xludf.DUMMYFUNCTION("""COMPUTED_VALUE"""),24.0)</f>
        <v>24</v>
      </c>
      <c r="E114" s="3">
        <f>IFERROR(__xludf.DUMMYFUNCTION("""COMPUTED_VALUE"""),40552.0)</f>
        <v>40552</v>
      </c>
      <c r="F114" s="1">
        <f>IFERROR(__xludf.DUMMYFUNCTION("""COMPUTED_VALUE"""),0.85)</f>
        <v>0.85</v>
      </c>
      <c r="G114" s="1">
        <f>IFERROR(__xludf.DUMMYFUNCTION("""COMPUTED_VALUE"""),13102.0)</f>
        <v>13102</v>
      </c>
      <c r="H114" s="1">
        <v>20.4</v>
      </c>
      <c r="I114" s="1" t="str">
        <f t="shared" si="2"/>
        <v>10</v>
      </c>
      <c r="J114" s="1">
        <f t="shared" si="3"/>
        <v>121</v>
      </c>
      <c r="K114" s="1">
        <f t="shared" si="4"/>
        <v>1</v>
      </c>
      <c r="L114" s="1">
        <f t="shared" si="5"/>
        <v>20.4</v>
      </c>
    </row>
    <row r="115">
      <c r="A115" s="1">
        <f>IFERROR(__xludf.DUMMYFUNCTION("""COMPUTED_VALUE"""),540364.0)</f>
        <v>540364</v>
      </c>
      <c r="B115" s="1">
        <f>IFERROR(__xludf.DUMMYFUNCTION("""COMPUTED_VALUE"""),22364.0)</f>
        <v>22364</v>
      </c>
      <c r="C115" s="1" t="str">
        <f>IFERROR(__xludf.DUMMYFUNCTION("""COMPUTED_VALUE"""),"Glass jar digestive biscuits")</f>
        <v>Glass jar digestive biscuits</v>
      </c>
      <c r="D115" s="1">
        <f>IFERROR(__xludf.DUMMYFUNCTION("""COMPUTED_VALUE"""),2.0)</f>
        <v>2</v>
      </c>
      <c r="E115" s="3">
        <f>IFERROR(__xludf.DUMMYFUNCTION("""COMPUTED_VALUE"""),40549.0)</f>
        <v>40549</v>
      </c>
      <c r="F115" s="1">
        <f>IFERROR(__xludf.DUMMYFUNCTION("""COMPUTED_VALUE"""),2.95)</f>
        <v>2.95</v>
      </c>
      <c r="G115" s="1">
        <f>IFERROR(__xludf.DUMMYFUNCTION("""COMPUTED_VALUE"""),14505.0)</f>
        <v>14505</v>
      </c>
      <c r="H115" s="1">
        <v>5.9</v>
      </c>
      <c r="I115" s="1" t="str">
        <f t="shared" si="2"/>
        <v>Glass</v>
      </c>
      <c r="J115" s="1">
        <f t="shared" si="3"/>
        <v>124</v>
      </c>
      <c r="K115" s="1">
        <f t="shared" si="4"/>
        <v>1</v>
      </c>
      <c r="L115" s="1">
        <f t="shared" si="5"/>
        <v>5.9</v>
      </c>
    </row>
    <row r="116">
      <c r="A116" s="1">
        <f>IFERROR(__xludf.DUMMYFUNCTION("""COMPUTED_VALUE"""),542520.0)</f>
        <v>542520</v>
      </c>
      <c r="B116" s="1">
        <f>IFERROR(__xludf.DUMMYFUNCTION("""COMPUTED_VALUE"""),20754.0)</f>
        <v>20754</v>
      </c>
      <c r="C116" s="1" t="str">
        <f>IFERROR(__xludf.DUMMYFUNCTION("""COMPUTED_VALUE"""),"Retrospot red washing up gloves")</f>
        <v>Retrospot red washing up gloves</v>
      </c>
      <c r="D116" s="1">
        <f>IFERROR(__xludf.DUMMYFUNCTION("""COMPUTED_VALUE"""),3.0)</f>
        <v>3</v>
      </c>
      <c r="E116" s="3">
        <f>IFERROR(__xludf.DUMMYFUNCTION("""COMPUTED_VALUE"""),40571.0)</f>
        <v>40571</v>
      </c>
      <c r="F116" s="1">
        <f>IFERROR(__xludf.DUMMYFUNCTION("""COMPUTED_VALUE"""),2.1)</f>
        <v>2.1</v>
      </c>
      <c r="G116" s="1">
        <f>IFERROR(__xludf.DUMMYFUNCTION("""COMPUTED_VALUE"""),15547.0)</f>
        <v>15547</v>
      </c>
      <c r="H116" s="1">
        <v>6.300000000000001</v>
      </c>
      <c r="I116" s="1" t="str">
        <f t="shared" si="2"/>
        <v>Retrospot</v>
      </c>
      <c r="J116" s="1">
        <f t="shared" si="3"/>
        <v>102</v>
      </c>
      <c r="K116" s="1">
        <f t="shared" si="4"/>
        <v>1</v>
      </c>
      <c r="L116" s="1">
        <f t="shared" si="5"/>
        <v>6.3</v>
      </c>
    </row>
    <row r="117">
      <c r="A117" s="1">
        <f>IFERROR(__xludf.DUMMYFUNCTION("""COMPUTED_VALUE"""),540162.0)</f>
        <v>540162</v>
      </c>
      <c r="B117" s="1">
        <f>IFERROR(__xludf.DUMMYFUNCTION("""COMPUTED_VALUE"""),21749.0)</f>
        <v>21749</v>
      </c>
      <c r="C117" s="1" t="str">
        <f>IFERROR(__xludf.DUMMYFUNCTION("""COMPUTED_VALUE"""),"Large red retrospot windmill")</f>
        <v>Large red retrospot windmill</v>
      </c>
      <c r="D117" s="1">
        <f>IFERROR(__xludf.DUMMYFUNCTION("""COMPUTED_VALUE"""),6.0)</f>
        <v>6</v>
      </c>
      <c r="E117" s="3">
        <f>IFERROR(__xludf.DUMMYFUNCTION("""COMPUTED_VALUE"""),40548.0)</f>
        <v>40548</v>
      </c>
      <c r="F117" s="1">
        <f>IFERROR(__xludf.DUMMYFUNCTION("""COMPUTED_VALUE"""),2.1)</f>
        <v>2.1</v>
      </c>
      <c r="G117" s="1">
        <f>IFERROR(__xludf.DUMMYFUNCTION("""COMPUTED_VALUE"""),13089.0)</f>
        <v>13089</v>
      </c>
      <c r="H117" s="1">
        <v>12.600000000000001</v>
      </c>
      <c r="I117" s="1" t="str">
        <f t="shared" si="2"/>
        <v>Large</v>
      </c>
      <c r="J117" s="1">
        <f t="shared" si="3"/>
        <v>125</v>
      </c>
      <c r="K117" s="1">
        <f t="shared" si="4"/>
        <v>1</v>
      </c>
      <c r="L117" s="1">
        <f t="shared" si="5"/>
        <v>12.6</v>
      </c>
    </row>
    <row r="118">
      <c r="A118" s="1">
        <f>IFERROR(__xludf.DUMMYFUNCTION("""COMPUTED_VALUE"""),542646.0)</f>
        <v>542646</v>
      </c>
      <c r="B118" s="1">
        <f>IFERROR(__xludf.DUMMYFUNCTION("""COMPUTED_VALUE"""),22720.0)</f>
        <v>22720</v>
      </c>
      <c r="C118" s="1" t="str">
        <f>IFERROR(__xludf.DUMMYFUNCTION("""COMPUTED_VALUE"""),"Set of 3 cake tins pantry design")</f>
        <v>Set of 3 cake tins pantry design</v>
      </c>
      <c r="D118" s="1">
        <f>IFERROR(__xludf.DUMMYFUNCTION("""COMPUTED_VALUE"""),2.0)</f>
        <v>2</v>
      </c>
      <c r="E118" s="3">
        <f>IFERROR(__xludf.DUMMYFUNCTION("""COMPUTED_VALUE"""),40574.0)</f>
        <v>40574</v>
      </c>
      <c r="F118" s="1">
        <f>IFERROR(__xludf.DUMMYFUNCTION("""COMPUTED_VALUE"""),4.95)</f>
        <v>4.95</v>
      </c>
      <c r="G118" s="1">
        <f>IFERROR(__xludf.DUMMYFUNCTION("""COMPUTED_VALUE"""),17220.0)</f>
        <v>17220</v>
      </c>
      <c r="H118" s="1">
        <v>9.9</v>
      </c>
      <c r="I118" s="1" t="str">
        <f t="shared" si="2"/>
        <v>Set</v>
      </c>
      <c r="J118" s="1">
        <f t="shared" si="3"/>
        <v>99</v>
      </c>
      <c r="K118" s="1">
        <f t="shared" si="4"/>
        <v>1</v>
      </c>
      <c r="L118" s="1">
        <f t="shared" si="5"/>
        <v>9.9</v>
      </c>
    </row>
    <row r="119">
      <c r="A119" s="1">
        <f>IFERROR(__xludf.DUMMYFUNCTION("""COMPUTED_VALUE"""),552654.0)</f>
        <v>552654</v>
      </c>
      <c r="B119" s="1">
        <f>IFERROR(__xludf.DUMMYFUNCTION("""COMPUTED_VALUE"""),21733.0)</f>
        <v>21733</v>
      </c>
      <c r="C119" s="1" t="str">
        <f>IFERROR(__xludf.DUMMYFUNCTION("""COMPUTED_VALUE"""),"Red hanging heart t-light holder")</f>
        <v>Red hanging heart t-light holder</v>
      </c>
      <c r="D119" s="1">
        <f>IFERROR(__xludf.DUMMYFUNCTION("""COMPUTED_VALUE"""),1.0)</f>
        <v>1</v>
      </c>
      <c r="E119" s="3">
        <f>IFERROR(__xludf.DUMMYFUNCTION("""COMPUTED_VALUE"""),40673.0)</f>
        <v>40673</v>
      </c>
      <c r="F119" s="1">
        <f>IFERROR(__xludf.DUMMYFUNCTION("""COMPUTED_VALUE"""),2.95)</f>
        <v>2.95</v>
      </c>
      <c r="G119" s="1">
        <f>IFERROR(__xludf.DUMMYFUNCTION("""COMPUTED_VALUE"""),15756.0)</f>
        <v>15756</v>
      </c>
      <c r="H119" s="1">
        <v>2.95</v>
      </c>
      <c r="I119" s="1" t="str">
        <f t="shared" si="2"/>
        <v>Red</v>
      </c>
      <c r="J119" s="1">
        <f t="shared" si="3"/>
        <v>0</v>
      </c>
      <c r="K119" s="1">
        <f t="shared" si="4"/>
        <v>1</v>
      </c>
      <c r="L119" s="1">
        <f t="shared" si="5"/>
        <v>2.95</v>
      </c>
    </row>
    <row r="120">
      <c r="A120" s="1">
        <f>IFERROR(__xludf.DUMMYFUNCTION("""COMPUTED_VALUE"""),539000.0)</f>
        <v>539000</v>
      </c>
      <c r="B120" s="1">
        <f>IFERROR(__xludf.DUMMYFUNCTION("""COMPUTED_VALUE"""),21054.0)</f>
        <v>21054</v>
      </c>
      <c r="C120" s="1" t="str">
        <f>IFERROR(__xludf.DUMMYFUNCTION("""COMPUTED_VALUE"""),"Nurse's bag soft toy")</f>
        <v>Nurse's bag soft toy</v>
      </c>
      <c r="D120" s="1">
        <f>IFERROR(__xludf.DUMMYFUNCTION("""COMPUTED_VALUE"""),3.0)</f>
        <v>3</v>
      </c>
      <c r="E120" s="3">
        <f>IFERROR(__xludf.DUMMYFUNCTION("""COMPUTED_VALUE"""),40527.0)</f>
        <v>40527</v>
      </c>
      <c r="F120" s="1">
        <f>IFERROR(__xludf.DUMMYFUNCTION("""COMPUTED_VALUE"""),8.95)</f>
        <v>8.95</v>
      </c>
      <c r="G120" s="1">
        <f>IFERROR(__xludf.DUMMYFUNCTION("""COMPUTED_VALUE"""),13092.0)</f>
        <v>13092</v>
      </c>
      <c r="H120" s="1">
        <v>26.849999999999998</v>
      </c>
      <c r="I120" s="1" t="str">
        <f t="shared" si="2"/>
        <v>Nurse's</v>
      </c>
      <c r="J120" s="1">
        <f t="shared" si="3"/>
        <v>145</v>
      </c>
      <c r="K120" s="1">
        <f t="shared" si="4"/>
        <v>1</v>
      </c>
      <c r="L120" s="1">
        <f t="shared" si="5"/>
        <v>26.85</v>
      </c>
    </row>
    <row r="121">
      <c r="A121" s="1">
        <f>IFERROR(__xludf.DUMMYFUNCTION("""COMPUTED_VALUE"""),540647.0)</f>
        <v>540647</v>
      </c>
      <c r="B121" s="1">
        <f>IFERROR(__xludf.DUMMYFUNCTION("""COMPUTED_VALUE"""),21155.0)</f>
        <v>21155</v>
      </c>
      <c r="C121" s="1" t="str">
        <f>IFERROR(__xludf.DUMMYFUNCTION("""COMPUTED_VALUE"""),"Red retrospot peg bag")</f>
        <v>Red retrospot peg bag</v>
      </c>
      <c r="D121" s="1">
        <f>IFERROR(__xludf.DUMMYFUNCTION("""COMPUTED_VALUE"""),2.0)</f>
        <v>2</v>
      </c>
      <c r="E121" s="3">
        <f>IFERROR(__xludf.DUMMYFUNCTION("""COMPUTED_VALUE"""),40553.0)</f>
        <v>40553</v>
      </c>
      <c r="F121" s="1">
        <f>IFERROR(__xludf.DUMMYFUNCTION("""COMPUTED_VALUE"""),2.1)</f>
        <v>2.1</v>
      </c>
      <c r="G121" s="1">
        <f>IFERROR(__xludf.DUMMYFUNCTION("""COMPUTED_VALUE"""),17406.0)</f>
        <v>17406</v>
      </c>
      <c r="H121" s="1">
        <v>4.2</v>
      </c>
      <c r="I121" s="1" t="str">
        <f t="shared" si="2"/>
        <v>Red</v>
      </c>
      <c r="J121" s="1">
        <f t="shared" si="3"/>
        <v>119</v>
      </c>
      <c r="K121" s="1">
        <f t="shared" si="4"/>
        <v>1</v>
      </c>
      <c r="L121" s="1">
        <f t="shared" si="5"/>
        <v>4.2</v>
      </c>
    </row>
    <row r="122">
      <c r="A122" s="1">
        <f>IFERROR(__xludf.DUMMYFUNCTION("""COMPUTED_VALUE"""),540779.0)</f>
        <v>540779</v>
      </c>
      <c r="B122" s="1">
        <f>IFERROR(__xludf.DUMMYFUNCTION("""COMPUTED_VALUE"""),22720.0)</f>
        <v>22720</v>
      </c>
      <c r="C122" s="1" t="str">
        <f>IFERROR(__xludf.DUMMYFUNCTION("""COMPUTED_VALUE"""),"Set of 3 cake tins pantry design")</f>
        <v>Set of 3 cake tins pantry design</v>
      </c>
      <c r="D122" s="1">
        <f>IFERROR(__xludf.DUMMYFUNCTION("""COMPUTED_VALUE"""),3.0)</f>
        <v>3</v>
      </c>
      <c r="E122" s="3">
        <f>IFERROR(__xludf.DUMMYFUNCTION("""COMPUTED_VALUE"""),40554.0)</f>
        <v>40554</v>
      </c>
      <c r="F122" s="1">
        <f>IFERROR(__xludf.DUMMYFUNCTION("""COMPUTED_VALUE"""),4.95)</f>
        <v>4.95</v>
      </c>
      <c r="G122" s="1">
        <f>IFERROR(__xludf.DUMMYFUNCTION("""COMPUTED_VALUE"""),15346.0)</f>
        <v>15346</v>
      </c>
      <c r="H122" s="1">
        <v>14.850000000000001</v>
      </c>
      <c r="I122" s="1" t="str">
        <f t="shared" si="2"/>
        <v>Set</v>
      </c>
      <c r="J122" s="1">
        <f t="shared" si="3"/>
        <v>118</v>
      </c>
      <c r="K122" s="1">
        <f t="shared" si="4"/>
        <v>1</v>
      </c>
      <c r="L122" s="1">
        <f t="shared" si="5"/>
        <v>14.85</v>
      </c>
    </row>
    <row r="123">
      <c r="A123" s="1">
        <f>IFERROR(__xludf.DUMMYFUNCTION("""COMPUTED_VALUE"""),546544.0)</f>
        <v>546544</v>
      </c>
      <c r="B123" s="1">
        <f>IFERROR(__xludf.DUMMYFUNCTION("""COMPUTED_VALUE"""),23053.0)</f>
        <v>23053</v>
      </c>
      <c r="C123" s="1" t="str">
        <f>IFERROR(__xludf.DUMMYFUNCTION("""COMPUTED_VALUE"""),"Recycled acapulco mat pink")</f>
        <v>Recycled acapulco mat pink</v>
      </c>
      <c r="D123" s="1">
        <f>IFERROR(__xludf.DUMMYFUNCTION("""COMPUTED_VALUE"""),2.0)</f>
        <v>2</v>
      </c>
      <c r="E123" s="3">
        <f>IFERROR(__xludf.DUMMYFUNCTION("""COMPUTED_VALUE"""),40616.0)</f>
        <v>40616</v>
      </c>
      <c r="F123" s="1">
        <f>IFERROR(__xludf.DUMMYFUNCTION("""COMPUTED_VALUE"""),8.25)</f>
        <v>8.25</v>
      </c>
      <c r="G123" s="1">
        <f>IFERROR(__xludf.DUMMYFUNCTION("""COMPUTED_VALUE"""),16570.0)</f>
        <v>16570</v>
      </c>
      <c r="H123" s="1">
        <v>16.5</v>
      </c>
      <c r="I123" s="1" t="str">
        <f t="shared" si="2"/>
        <v>Recycled</v>
      </c>
      <c r="J123" s="1">
        <f t="shared" si="3"/>
        <v>56</v>
      </c>
      <c r="K123" s="1">
        <f t="shared" si="4"/>
        <v>1</v>
      </c>
      <c r="L123" s="1">
        <f t="shared" si="5"/>
        <v>16.5</v>
      </c>
    </row>
    <row r="124">
      <c r="A124" s="1">
        <f>IFERROR(__xludf.DUMMYFUNCTION("""COMPUTED_VALUE"""),544778.0)</f>
        <v>544778</v>
      </c>
      <c r="B124" s="1">
        <f>IFERROR(__xludf.DUMMYFUNCTION("""COMPUTED_VALUE"""),20750.0)</f>
        <v>20750</v>
      </c>
      <c r="C124" s="1" t="str">
        <f>IFERROR(__xludf.DUMMYFUNCTION("""COMPUTED_VALUE"""),"Red retrospot mini cases")</f>
        <v>Red retrospot mini cases</v>
      </c>
      <c r="D124" s="1">
        <f>IFERROR(__xludf.DUMMYFUNCTION("""COMPUTED_VALUE"""),1.0)</f>
        <v>1</v>
      </c>
      <c r="E124" s="3">
        <f>IFERROR(__xludf.DUMMYFUNCTION("""COMPUTED_VALUE"""),40597.0)</f>
        <v>40597</v>
      </c>
      <c r="F124" s="1">
        <f>IFERROR(__xludf.DUMMYFUNCTION("""COMPUTED_VALUE"""),7.95)</f>
        <v>7.95</v>
      </c>
      <c r="G124" s="1">
        <f>IFERROR(__xludf.DUMMYFUNCTION("""COMPUTED_VALUE"""),14978.0)</f>
        <v>14978</v>
      </c>
      <c r="H124" s="1">
        <v>7.95</v>
      </c>
      <c r="I124" s="1" t="str">
        <f t="shared" si="2"/>
        <v>Red</v>
      </c>
      <c r="J124" s="1">
        <f t="shared" si="3"/>
        <v>75</v>
      </c>
      <c r="K124" s="1">
        <f t="shared" si="4"/>
        <v>1</v>
      </c>
      <c r="L124" s="1">
        <f t="shared" si="5"/>
        <v>7.95</v>
      </c>
    </row>
    <row r="125">
      <c r="A125" s="1">
        <f>IFERROR(__xludf.DUMMYFUNCTION("""COMPUTED_VALUE"""),539044.0)</f>
        <v>539044</v>
      </c>
      <c r="B125" s="1">
        <f>IFERROR(__xludf.DUMMYFUNCTION("""COMPUTED_VALUE"""),20751.0)</f>
        <v>20751</v>
      </c>
      <c r="C125" s="1" t="str">
        <f>IFERROR(__xludf.DUMMYFUNCTION("""COMPUTED_VALUE"""),"Funky washing up gloves assorted")</f>
        <v>Funky washing up gloves assorted</v>
      </c>
      <c r="D125" s="1">
        <f>IFERROR(__xludf.DUMMYFUNCTION("""COMPUTED_VALUE"""),2.0)</f>
        <v>2</v>
      </c>
      <c r="E125" s="3">
        <f>IFERROR(__xludf.DUMMYFUNCTION("""COMPUTED_VALUE"""),40527.0)</f>
        <v>40527</v>
      </c>
      <c r="F125" s="1">
        <f>IFERROR(__xludf.DUMMYFUNCTION("""COMPUTED_VALUE"""),2.1)</f>
        <v>2.1</v>
      </c>
      <c r="G125" s="1">
        <f>IFERROR(__xludf.DUMMYFUNCTION("""COMPUTED_VALUE"""),15727.0)</f>
        <v>15727</v>
      </c>
      <c r="H125" s="1">
        <v>4.2</v>
      </c>
      <c r="I125" s="1" t="str">
        <f t="shared" si="2"/>
        <v>Funky</v>
      </c>
      <c r="J125" s="1">
        <f t="shared" si="3"/>
        <v>145</v>
      </c>
      <c r="K125" s="1">
        <f t="shared" si="4"/>
        <v>1</v>
      </c>
      <c r="L125" s="1">
        <f t="shared" si="5"/>
        <v>4.2</v>
      </c>
    </row>
    <row r="126">
      <c r="A126" s="1">
        <f>IFERROR(__xludf.DUMMYFUNCTION("""COMPUTED_VALUE"""),551270.0)</f>
        <v>551270</v>
      </c>
      <c r="B126" s="1" t="str">
        <f>IFERROR(__xludf.DUMMYFUNCTION("""COMPUTED_VALUE"""),"90199C")</f>
        <v>90199C</v>
      </c>
      <c r="C126" s="1" t="str">
        <f>IFERROR(__xludf.DUMMYFUNCTION("""COMPUTED_VALUE"""),"5 strand glass necklace crystal")</f>
        <v>5 strand glass necklace crystal</v>
      </c>
      <c r="D126" s="1">
        <f>IFERROR(__xludf.DUMMYFUNCTION("""COMPUTED_VALUE"""),2.0)</f>
        <v>2</v>
      </c>
      <c r="E126" s="3">
        <f>IFERROR(__xludf.DUMMYFUNCTION("""COMPUTED_VALUE"""),40660.0)</f>
        <v>40660</v>
      </c>
      <c r="F126" s="1">
        <f>IFERROR(__xludf.DUMMYFUNCTION("""COMPUTED_VALUE"""),6.35)</f>
        <v>6.35</v>
      </c>
      <c r="G126" s="1">
        <f>IFERROR(__xludf.DUMMYFUNCTION("""COMPUTED_VALUE"""),15891.0)</f>
        <v>15891</v>
      </c>
      <c r="H126" s="1">
        <v>12.7</v>
      </c>
      <c r="I126" s="1" t="str">
        <f t="shared" si="2"/>
        <v>5</v>
      </c>
      <c r="J126" s="1">
        <f t="shared" si="3"/>
        <v>12</v>
      </c>
      <c r="K126" s="1">
        <f t="shared" si="4"/>
        <v>1</v>
      </c>
      <c r="L126" s="1">
        <f t="shared" si="5"/>
        <v>12.7</v>
      </c>
    </row>
    <row r="127">
      <c r="A127" s="1">
        <f>IFERROR(__xludf.DUMMYFUNCTION("""COMPUTED_VALUE"""),542921.0)</f>
        <v>542921</v>
      </c>
      <c r="B127" s="1">
        <f>IFERROR(__xludf.DUMMYFUNCTION("""COMPUTED_VALUE"""),22381.0)</f>
        <v>22381</v>
      </c>
      <c r="C127" s="1" t="str">
        <f>IFERROR(__xludf.DUMMYFUNCTION("""COMPUTED_VALUE"""),"Toy tidy pink polkadot")</f>
        <v>Toy tidy pink polkadot</v>
      </c>
      <c r="D127" s="1">
        <f>IFERROR(__xludf.DUMMYFUNCTION("""COMPUTED_VALUE"""),50.0)</f>
        <v>50</v>
      </c>
      <c r="E127" s="3">
        <f>IFERROR(__xludf.DUMMYFUNCTION("""COMPUTED_VALUE"""),40576.0)</f>
        <v>40576</v>
      </c>
      <c r="F127" s="1">
        <f>IFERROR(__xludf.DUMMYFUNCTION("""COMPUTED_VALUE"""),1.85)</f>
        <v>1.85</v>
      </c>
      <c r="G127" s="1">
        <f>IFERROR(__xludf.DUMMYFUNCTION("""COMPUTED_VALUE"""),15838.0)</f>
        <v>15838</v>
      </c>
      <c r="H127" s="1">
        <v>92.5</v>
      </c>
      <c r="I127" s="1" t="str">
        <f t="shared" si="2"/>
        <v>Toy</v>
      </c>
      <c r="J127" s="1">
        <f t="shared" si="3"/>
        <v>96</v>
      </c>
      <c r="K127" s="1">
        <f t="shared" si="4"/>
        <v>1</v>
      </c>
      <c r="L127" s="1">
        <f t="shared" si="5"/>
        <v>92.5</v>
      </c>
    </row>
    <row r="128">
      <c r="A128" s="1">
        <f>IFERROR(__xludf.DUMMYFUNCTION("""COMPUTED_VALUE"""),542241.0)</f>
        <v>542241</v>
      </c>
      <c r="B128" s="1" t="str">
        <f>IFERROR(__xludf.DUMMYFUNCTION("""COMPUTED_VALUE"""),"85040B")</f>
        <v>85040B</v>
      </c>
      <c r="C128" s="1" t="str">
        <f>IFERROR(__xludf.DUMMYFUNCTION("""COMPUTED_VALUE"""),"Set/4 blue flower candles in bowl")</f>
        <v>Set/4 blue flower candles in bowl</v>
      </c>
      <c r="D128" s="1">
        <f>IFERROR(__xludf.DUMMYFUNCTION("""COMPUTED_VALUE"""),6.0)</f>
        <v>6</v>
      </c>
      <c r="E128" s="3">
        <f>IFERROR(__xludf.DUMMYFUNCTION("""COMPUTED_VALUE"""),40569.0)</f>
        <v>40569</v>
      </c>
      <c r="F128" s="1">
        <f>IFERROR(__xludf.DUMMYFUNCTION("""COMPUTED_VALUE"""),1.65)</f>
        <v>1.65</v>
      </c>
      <c r="G128" s="1">
        <f>IFERROR(__xludf.DUMMYFUNCTION("""COMPUTED_VALUE"""),16409.0)</f>
        <v>16409</v>
      </c>
      <c r="H128" s="1">
        <v>9.899999999999999</v>
      </c>
      <c r="I128" s="1" t="str">
        <f t="shared" si="2"/>
        <v>Set/4</v>
      </c>
      <c r="J128" s="1">
        <f t="shared" si="3"/>
        <v>103</v>
      </c>
      <c r="K128" s="1">
        <f t="shared" si="4"/>
        <v>1</v>
      </c>
      <c r="L128" s="1">
        <f t="shared" si="5"/>
        <v>9.9</v>
      </c>
    </row>
    <row r="129">
      <c r="A129" s="1">
        <f>IFERROR(__xludf.DUMMYFUNCTION("""COMPUTED_VALUE"""),539642.0)</f>
        <v>539642</v>
      </c>
      <c r="B129" s="1">
        <f>IFERROR(__xludf.DUMMYFUNCTION("""COMPUTED_VALUE"""),22587.0)</f>
        <v>22587</v>
      </c>
      <c r="C129" s="1" t="str">
        <f>IFERROR(__xludf.DUMMYFUNCTION("""COMPUTED_VALUE"""),"Feltcraft hairband red and blue")</f>
        <v>Feltcraft hairband red and blue</v>
      </c>
      <c r="D129" s="1">
        <f>IFERROR(__xludf.DUMMYFUNCTION("""COMPUTED_VALUE"""),3.0)</f>
        <v>3</v>
      </c>
      <c r="E129" s="3">
        <f>IFERROR(__xludf.DUMMYFUNCTION("""COMPUTED_VALUE"""),40532.0)</f>
        <v>40532</v>
      </c>
      <c r="F129" s="1">
        <f>IFERROR(__xludf.DUMMYFUNCTION("""COMPUTED_VALUE"""),0.85)</f>
        <v>0.85</v>
      </c>
      <c r="G129" s="1">
        <f>IFERROR(__xludf.DUMMYFUNCTION("""COMPUTED_VALUE"""),15867.0)</f>
        <v>15867</v>
      </c>
      <c r="H129" s="1">
        <v>2.55</v>
      </c>
      <c r="I129" s="1" t="str">
        <f t="shared" si="2"/>
        <v>Feltcraft</v>
      </c>
      <c r="J129" s="1">
        <f t="shared" si="3"/>
        <v>140</v>
      </c>
      <c r="K129" s="1">
        <f t="shared" si="4"/>
        <v>1</v>
      </c>
      <c r="L129" s="1">
        <f t="shared" si="5"/>
        <v>2.55</v>
      </c>
    </row>
    <row r="130">
      <c r="A130" s="1">
        <f>IFERROR(__xludf.DUMMYFUNCTION("""COMPUTED_VALUE"""),539002.0)</f>
        <v>539002</v>
      </c>
      <c r="B130" s="1">
        <f>IFERROR(__xludf.DUMMYFUNCTION("""COMPUTED_VALUE"""),21257.0)</f>
        <v>21257</v>
      </c>
      <c r="C130" s="1" t="str">
        <f>IFERROR(__xludf.DUMMYFUNCTION("""COMPUTED_VALUE"""),"Victorian sewing box medium")</f>
        <v>Victorian sewing box medium</v>
      </c>
      <c r="D130" s="1">
        <f>IFERROR(__xludf.DUMMYFUNCTION("""COMPUTED_VALUE"""),1.0)</f>
        <v>1</v>
      </c>
      <c r="E130" s="3">
        <f>IFERROR(__xludf.DUMMYFUNCTION("""COMPUTED_VALUE"""),40527.0)</f>
        <v>40527</v>
      </c>
      <c r="F130" s="1">
        <f>IFERROR(__xludf.DUMMYFUNCTION("""COMPUTED_VALUE"""),7.95)</f>
        <v>7.95</v>
      </c>
      <c r="G130" s="1">
        <f>IFERROR(__xludf.DUMMYFUNCTION("""COMPUTED_VALUE"""),14527.0)</f>
        <v>14527</v>
      </c>
      <c r="H130" s="1">
        <v>7.95</v>
      </c>
      <c r="I130" s="1" t="str">
        <f t="shared" si="2"/>
        <v>Victorian</v>
      </c>
      <c r="J130" s="1">
        <f t="shared" si="3"/>
        <v>145</v>
      </c>
      <c r="K130" s="1">
        <f t="shared" si="4"/>
        <v>1</v>
      </c>
      <c r="L130" s="1">
        <f t="shared" si="5"/>
        <v>7.95</v>
      </c>
    </row>
    <row r="131">
      <c r="A131" s="1">
        <f>IFERROR(__xludf.DUMMYFUNCTION("""COMPUTED_VALUE"""),551564.0)</f>
        <v>551564</v>
      </c>
      <c r="B131" s="1">
        <f>IFERROR(__xludf.DUMMYFUNCTION("""COMPUTED_VALUE"""),22699.0)</f>
        <v>22699</v>
      </c>
      <c r="C131" s="1" t="str">
        <f>IFERROR(__xludf.DUMMYFUNCTION("""COMPUTED_VALUE"""),"Roses regency teacup and saucer")</f>
        <v>Roses regency teacup and saucer</v>
      </c>
      <c r="D131" s="1">
        <f>IFERROR(__xludf.DUMMYFUNCTION("""COMPUTED_VALUE"""),6.0)</f>
        <v>6</v>
      </c>
      <c r="E131" s="3">
        <f>IFERROR(__xludf.DUMMYFUNCTION("""COMPUTED_VALUE"""),40666.0)</f>
        <v>40666</v>
      </c>
      <c r="F131" s="1">
        <f>IFERROR(__xludf.DUMMYFUNCTION("""COMPUTED_VALUE"""),2.95)</f>
        <v>2.95</v>
      </c>
      <c r="G131" s="1">
        <f>IFERROR(__xludf.DUMMYFUNCTION("""COMPUTED_VALUE"""),16609.0)</f>
        <v>16609</v>
      </c>
      <c r="H131" s="1">
        <v>17.700000000000003</v>
      </c>
      <c r="I131" s="1" t="str">
        <f t="shared" si="2"/>
        <v>Roses</v>
      </c>
      <c r="J131" s="1">
        <f t="shared" si="3"/>
        <v>6</v>
      </c>
      <c r="K131" s="1">
        <f t="shared" si="4"/>
        <v>1</v>
      </c>
      <c r="L131" s="1">
        <f t="shared" si="5"/>
        <v>17.7</v>
      </c>
    </row>
    <row r="132">
      <c r="A132" s="1">
        <f>IFERROR(__xludf.DUMMYFUNCTION("""COMPUTED_VALUE"""),548521.0)</f>
        <v>548521</v>
      </c>
      <c r="B132" s="1" t="str">
        <f>IFERROR(__xludf.DUMMYFUNCTION("""COMPUTED_VALUE"""),"84596G")</f>
        <v>84596G</v>
      </c>
      <c r="C132" s="1" t="str">
        <f>IFERROR(__xludf.DUMMYFUNCTION("""COMPUTED_VALUE"""),"Small chocolates pink bowl")</f>
        <v>Small chocolates pink bowl</v>
      </c>
      <c r="D132" s="1">
        <f>IFERROR(__xludf.DUMMYFUNCTION("""COMPUTED_VALUE"""),24.0)</f>
        <v>24</v>
      </c>
      <c r="E132" s="3">
        <f>IFERROR(__xludf.DUMMYFUNCTION("""COMPUTED_VALUE"""),40633.0)</f>
        <v>40633</v>
      </c>
      <c r="F132" s="1">
        <f>IFERROR(__xludf.DUMMYFUNCTION("""COMPUTED_VALUE"""),0.42)</f>
        <v>0.42</v>
      </c>
      <c r="G132" s="1">
        <f>IFERROR(__xludf.DUMMYFUNCTION("""COMPUTED_VALUE"""),17735.0)</f>
        <v>17735</v>
      </c>
      <c r="H132" s="1">
        <v>10.08</v>
      </c>
      <c r="I132" s="1" t="str">
        <f t="shared" si="2"/>
        <v>Small</v>
      </c>
      <c r="J132" s="1">
        <f t="shared" si="3"/>
        <v>39</v>
      </c>
      <c r="K132" s="1">
        <f t="shared" si="4"/>
        <v>1</v>
      </c>
      <c r="L132" s="1">
        <f t="shared" si="5"/>
        <v>10.08</v>
      </c>
    </row>
    <row r="133">
      <c r="A133" s="1">
        <f>IFERROR(__xludf.DUMMYFUNCTION("""COMPUTED_VALUE"""),539053.0)</f>
        <v>539053</v>
      </c>
      <c r="B133" s="1">
        <f>IFERROR(__xludf.DUMMYFUNCTION("""COMPUTED_VALUE"""),21034.0)</f>
        <v>21034</v>
      </c>
      <c r="C133" s="1" t="str">
        <f>IFERROR(__xludf.DUMMYFUNCTION("""COMPUTED_VALUE"""),"Rex cash+carry jumbo shopper")</f>
        <v>Rex cash+carry jumbo shopper</v>
      </c>
      <c r="D133" s="1">
        <f>IFERROR(__xludf.DUMMYFUNCTION("""COMPUTED_VALUE"""),1.0)</f>
        <v>1</v>
      </c>
      <c r="E133" s="3">
        <f>IFERROR(__xludf.DUMMYFUNCTION("""COMPUTED_VALUE"""),40527.0)</f>
        <v>40527</v>
      </c>
      <c r="F133" s="1">
        <f>IFERROR(__xludf.DUMMYFUNCTION("""COMPUTED_VALUE"""),0.95)</f>
        <v>0.95</v>
      </c>
      <c r="G133" s="1">
        <f>IFERROR(__xludf.DUMMYFUNCTION("""COMPUTED_VALUE"""),16725.0)</f>
        <v>16725</v>
      </c>
      <c r="H133" s="1">
        <v>0.95</v>
      </c>
      <c r="I133" s="1" t="str">
        <f t="shared" si="2"/>
        <v>Rex</v>
      </c>
      <c r="J133" s="1">
        <f t="shared" si="3"/>
        <v>145</v>
      </c>
      <c r="K133" s="1">
        <f t="shared" si="4"/>
        <v>1</v>
      </c>
      <c r="L133" s="1">
        <f t="shared" si="5"/>
        <v>0.95</v>
      </c>
    </row>
    <row r="134">
      <c r="A134" s="1">
        <f>IFERROR(__xludf.DUMMYFUNCTION("""COMPUTED_VALUE"""),541565.0)</f>
        <v>541565</v>
      </c>
      <c r="B134" s="1">
        <f>IFERROR(__xludf.DUMMYFUNCTION("""COMPUTED_VALUE"""),22853.0)</f>
        <v>22853</v>
      </c>
      <c r="C134" s="1" t="str">
        <f>IFERROR(__xludf.DUMMYFUNCTION("""COMPUTED_VALUE"""),"Cat bowl vintage cream")</f>
        <v>Cat bowl vintage cream</v>
      </c>
      <c r="D134" s="1">
        <f>IFERROR(__xludf.DUMMYFUNCTION("""COMPUTED_VALUE"""),1.0)</f>
        <v>1</v>
      </c>
      <c r="E134" s="3">
        <f>IFERROR(__xludf.DUMMYFUNCTION("""COMPUTED_VALUE"""),40562.0)</f>
        <v>40562</v>
      </c>
      <c r="F134" s="1">
        <f>IFERROR(__xludf.DUMMYFUNCTION("""COMPUTED_VALUE"""),3.25)</f>
        <v>3.25</v>
      </c>
      <c r="G134" s="1">
        <f>IFERROR(__xludf.DUMMYFUNCTION("""COMPUTED_VALUE"""),14527.0)</f>
        <v>14527</v>
      </c>
      <c r="H134" s="1">
        <v>3.25</v>
      </c>
      <c r="I134" s="1" t="str">
        <f t="shared" si="2"/>
        <v>Cat</v>
      </c>
      <c r="J134" s="1">
        <f t="shared" si="3"/>
        <v>110</v>
      </c>
      <c r="K134" s="1">
        <f t="shared" si="4"/>
        <v>1</v>
      </c>
      <c r="L134" s="1">
        <f t="shared" si="5"/>
        <v>3.25</v>
      </c>
    </row>
    <row r="135">
      <c r="A135" s="1">
        <f>IFERROR(__xludf.DUMMYFUNCTION("""COMPUTED_VALUE"""),551982.0)</f>
        <v>551982</v>
      </c>
      <c r="B135" s="1">
        <f>IFERROR(__xludf.DUMMYFUNCTION("""COMPUTED_VALUE"""),23068.0)</f>
        <v>23068</v>
      </c>
      <c r="C135" s="1" t="str">
        <f>IFERROR(__xludf.DUMMYFUNCTION("""COMPUTED_VALUE"""),"Aluminium stamped heart")</f>
        <v>Aluminium stamped heart</v>
      </c>
      <c r="D135" s="1">
        <f>IFERROR(__xludf.DUMMYFUNCTION("""COMPUTED_VALUE"""),4.0)</f>
        <v>4</v>
      </c>
      <c r="E135" s="3">
        <f>IFERROR(__xludf.DUMMYFUNCTION("""COMPUTED_VALUE"""),40668.0)</f>
        <v>40668</v>
      </c>
      <c r="F135" s="1">
        <f>IFERROR(__xludf.DUMMYFUNCTION("""COMPUTED_VALUE"""),2.49)</f>
        <v>2.49</v>
      </c>
      <c r="G135" s="1">
        <f>IFERROR(__xludf.DUMMYFUNCTION("""COMPUTED_VALUE"""),15023.0)</f>
        <v>15023</v>
      </c>
      <c r="H135" s="1">
        <v>9.96</v>
      </c>
      <c r="I135" s="1" t="str">
        <f t="shared" si="2"/>
        <v>Aluminium</v>
      </c>
      <c r="J135" s="1">
        <f t="shared" si="3"/>
        <v>4</v>
      </c>
      <c r="K135" s="1">
        <f t="shared" si="4"/>
        <v>1</v>
      </c>
      <c r="L135" s="1">
        <f t="shared" si="5"/>
        <v>9.96</v>
      </c>
    </row>
    <row r="136">
      <c r="A136" s="1">
        <f>IFERROR(__xludf.DUMMYFUNCTION("""COMPUTED_VALUE"""),545719.0)</f>
        <v>545719</v>
      </c>
      <c r="B136" s="1">
        <f>IFERROR(__xludf.DUMMYFUNCTION("""COMPUTED_VALUE"""),22877.0)</f>
        <v>22877</v>
      </c>
      <c r="C136" s="1" t="str">
        <f>IFERROR(__xludf.DUMMYFUNCTION("""COMPUTED_VALUE"""),"Number tile cottage garden 9")</f>
        <v>Number tile cottage garden 9</v>
      </c>
      <c r="D136" s="1">
        <f>IFERROR(__xludf.DUMMYFUNCTION("""COMPUTED_VALUE"""),8.0)</f>
        <v>8</v>
      </c>
      <c r="E136" s="3">
        <f>IFERROR(__xludf.DUMMYFUNCTION("""COMPUTED_VALUE"""),40609.0)</f>
        <v>40609</v>
      </c>
      <c r="F136" s="1">
        <f>IFERROR(__xludf.DUMMYFUNCTION("""COMPUTED_VALUE"""),1.95)</f>
        <v>1.95</v>
      </c>
      <c r="G136" s="1">
        <f>IFERROR(__xludf.DUMMYFUNCTION("""COMPUTED_VALUE"""),13344.0)</f>
        <v>13344</v>
      </c>
      <c r="H136" s="1">
        <v>15.6</v>
      </c>
      <c r="I136" s="1" t="str">
        <f t="shared" si="2"/>
        <v>Number</v>
      </c>
      <c r="J136" s="1">
        <f t="shared" si="3"/>
        <v>63</v>
      </c>
      <c r="K136" s="1">
        <f t="shared" si="4"/>
        <v>1</v>
      </c>
      <c r="L136" s="1">
        <f t="shared" si="5"/>
        <v>15.6</v>
      </c>
    </row>
    <row r="137">
      <c r="A137" s="1">
        <f>IFERROR(__xludf.DUMMYFUNCTION("""COMPUTED_VALUE"""),544824.0)</f>
        <v>544824</v>
      </c>
      <c r="B137" s="1">
        <f>IFERROR(__xludf.DUMMYFUNCTION("""COMPUTED_VALUE"""),22699.0)</f>
        <v>22699</v>
      </c>
      <c r="C137" s="1" t="str">
        <f>IFERROR(__xludf.DUMMYFUNCTION("""COMPUTED_VALUE"""),"Roses regency teacup and saucer")</f>
        <v>Roses regency teacup and saucer</v>
      </c>
      <c r="D137" s="1">
        <f>IFERROR(__xludf.DUMMYFUNCTION("""COMPUTED_VALUE"""),6.0)</f>
        <v>6</v>
      </c>
      <c r="E137" s="3">
        <f>IFERROR(__xludf.DUMMYFUNCTION("""COMPUTED_VALUE"""),40598.0)</f>
        <v>40598</v>
      </c>
      <c r="F137" s="1">
        <f>IFERROR(__xludf.DUMMYFUNCTION("""COMPUTED_VALUE"""),2.95)</f>
        <v>2.95</v>
      </c>
      <c r="G137" s="1">
        <f>IFERROR(__xludf.DUMMYFUNCTION("""COMPUTED_VALUE"""),17139.0)</f>
        <v>17139</v>
      </c>
      <c r="H137" s="1">
        <v>17.700000000000003</v>
      </c>
      <c r="I137" s="1" t="str">
        <f t="shared" si="2"/>
        <v>Roses</v>
      </c>
      <c r="J137" s="1">
        <f t="shared" si="3"/>
        <v>74</v>
      </c>
      <c r="K137" s="1">
        <f t="shared" si="4"/>
        <v>1</v>
      </c>
      <c r="L137" s="1">
        <f t="shared" si="5"/>
        <v>17.7</v>
      </c>
    </row>
    <row r="138">
      <c r="A138" s="1">
        <f>IFERROR(__xludf.DUMMYFUNCTION("""COMPUTED_VALUE"""),544453.0)</f>
        <v>544453</v>
      </c>
      <c r="B138" s="1">
        <f>IFERROR(__xludf.DUMMYFUNCTION("""COMPUTED_VALUE"""),22120.0)</f>
        <v>22120</v>
      </c>
      <c r="C138" s="1" t="str">
        <f>IFERROR(__xludf.DUMMYFUNCTION("""COMPUTED_VALUE"""),"Welcome  wooden block letters")</f>
        <v>Welcome  wooden block letters</v>
      </c>
      <c r="D138" s="1">
        <f>IFERROR(__xludf.DUMMYFUNCTION("""COMPUTED_VALUE"""),1.0)</f>
        <v>1</v>
      </c>
      <c r="E138" s="3">
        <f>IFERROR(__xludf.DUMMYFUNCTION("""COMPUTED_VALUE"""),40594.0)</f>
        <v>40594</v>
      </c>
      <c r="F138" s="1">
        <f>IFERROR(__xludf.DUMMYFUNCTION("""COMPUTED_VALUE"""),9.95)</f>
        <v>9.95</v>
      </c>
      <c r="G138" s="1">
        <f>IFERROR(__xludf.DUMMYFUNCTION("""COMPUTED_VALUE"""),17214.0)</f>
        <v>17214</v>
      </c>
      <c r="H138" s="1">
        <v>9.95</v>
      </c>
      <c r="I138" s="1" t="str">
        <f t="shared" si="2"/>
        <v>Welcome</v>
      </c>
      <c r="J138" s="1">
        <f t="shared" si="3"/>
        <v>78</v>
      </c>
      <c r="K138" s="1">
        <f t="shared" si="4"/>
        <v>1</v>
      </c>
      <c r="L138" s="1">
        <f t="shared" si="5"/>
        <v>9.95</v>
      </c>
    </row>
    <row r="139">
      <c r="A139" s="1">
        <f>IFERROR(__xludf.DUMMYFUNCTION("""COMPUTED_VALUE"""),546624.0)</f>
        <v>546624</v>
      </c>
      <c r="B139" s="1">
        <f>IFERROR(__xludf.DUMMYFUNCTION("""COMPUTED_VALUE"""),22149.0)</f>
        <v>22149</v>
      </c>
      <c r="C139" s="1" t="str">
        <f>IFERROR(__xludf.DUMMYFUNCTION("""COMPUTED_VALUE"""),"Feltcraft 6 flower friends")</f>
        <v>Feltcraft 6 flower friends</v>
      </c>
      <c r="D139" s="1">
        <f>IFERROR(__xludf.DUMMYFUNCTION("""COMPUTED_VALUE"""),12.0)</f>
        <v>12</v>
      </c>
      <c r="E139" s="3">
        <f>IFERROR(__xludf.DUMMYFUNCTION("""COMPUTED_VALUE"""),40617.0)</f>
        <v>40617</v>
      </c>
      <c r="F139" s="1">
        <f>IFERROR(__xludf.DUMMYFUNCTION("""COMPUTED_VALUE"""),2.1)</f>
        <v>2.1</v>
      </c>
      <c r="G139" s="1">
        <f>IFERROR(__xludf.DUMMYFUNCTION("""COMPUTED_VALUE"""),14193.0)</f>
        <v>14193</v>
      </c>
      <c r="H139" s="1">
        <v>25.200000000000003</v>
      </c>
      <c r="I139" s="1" t="str">
        <f t="shared" si="2"/>
        <v>Feltcraft</v>
      </c>
      <c r="J139" s="1">
        <f t="shared" si="3"/>
        <v>55</v>
      </c>
      <c r="K139" s="1">
        <f t="shared" si="4"/>
        <v>1</v>
      </c>
      <c r="L139" s="1">
        <f t="shared" si="5"/>
        <v>25.2</v>
      </c>
    </row>
    <row r="140">
      <c r="A140" s="1">
        <f>IFERROR(__xludf.DUMMYFUNCTION("""COMPUTED_VALUE"""),548160.0)</f>
        <v>548160</v>
      </c>
      <c r="B140" s="1">
        <f>IFERROR(__xludf.DUMMYFUNCTION("""COMPUTED_VALUE"""),22148.0)</f>
        <v>22148</v>
      </c>
      <c r="C140" s="1" t="str">
        <f>IFERROR(__xludf.DUMMYFUNCTION("""COMPUTED_VALUE"""),"Easter craft 4 chicks")</f>
        <v>Easter craft 4 chicks</v>
      </c>
      <c r="D140" s="1">
        <f>IFERROR(__xludf.DUMMYFUNCTION("""COMPUTED_VALUE"""),12.0)</f>
        <v>12</v>
      </c>
      <c r="E140" s="3">
        <f>IFERROR(__xludf.DUMMYFUNCTION("""COMPUTED_VALUE"""),40631.0)</f>
        <v>40631</v>
      </c>
      <c r="F140" s="1">
        <f>IFERROR(__xludf.DUMMYFUNCTION("""COMPUTED_VALUE"""),1.95)</f>
        <v>1.95</v>
      </c>
      <c r="G140" s="1">
        <f>IFERROR(__xludf.DUMMYFUNCTION("""COMPUTED_VALUE"""),16253.0)</f>
        <v>16253</v>
      </c>
      <c r="H140" s="1">
        <v>23.4</v>
      </c>
      <c r="I140" s="1" t="str">
        <f t="shared" si="2"/>
        <v>Easter</v>
      </c>
      <c r="J140" s="1">
        <f t="shared" si="3"/>
        <v>41</v>
      </c>
      <c r="K140" s="1">
        <f t="shared" si="4"/>
        <v>1</v>
      </c>
      <c r="L140" s="1">
        <f t="shared" si="5"/>
        <v>23.4</v>
      </c>
    </row>
    <row r="141">
      <c r="A141" s="1">
        <f>IFERROR(__xludf.DUMMYFUNCTION("""COMPUTED_VALUE"""),540993.0)</f>
        <v>540993</v>
      </c>
      <c r="B141" s="1">
        <f>IFERROR(__xludf.DUMMYFUNCTION("""COMPUTED_VALUE"""),20728.0)</f>
        <v>20728</v>
      </c>
      <c r="C141" s="1" t="str">
        <f>IFERROR(__xludf.DUMMYFUNCTION("""COMPUTED_VALUE"""),"Lunch bag cars blue")</f>
        <v>Lunch bag cars blue</v>
      </c>
      <c r="D141" s="1">
        <f>IFERROR(__xludf.DUMMYFUNCTION("""COMPUTED_VALUE"""),10.0)</f>
        <v>10</v>
      </c>
      <c r="E141" s="3">
        <f>IFERROR(__xludf.DUMMYFUNCTION("""COMPUTED_VALUE"""),40556.0)</f>
        <v>40556</v>
      </c>
      <c r="F141" s="1">
        <f>IFERROR(__xludf.DUMMYFUNCTION("""COMPUTED_VALUE"""),1.65)</f>
        <v>1.65</v>
      </c>
      <c r="G141" s="1">
        <f>IFERROR(__xludf.DUMMYFUNCTION("""COMPUTED_VALUE"""),13284.0)</f>
        <v>13284</v>
      </c>
      <c r="H141" s="1">
        <v>16.5</v>
      </c>
      <c r="I141" s="1" t="str">
        <f t="shared" si="2"/>
        <v>Lunch</v>
      </c>
      <c r="J141" s="1">
        <f t="shared" si="3"/>
        <v>116</v>
      </c>
      <c r="K141" s="1">
        <f t="shared" si="4"/>
        <v>1</v>
      </c>
      <c r="L141" s="1">
        <f t="shared" si="5"/>
        <v>16.5</v>
      </c>
    </row>
    <row r="142">
      <c r="A142" s="1">
        <f>IFERROR(__xludf.DUMMYFUNCTION("""COMPUTED_VALUE"""),545044.0)</f>
        <v>545044</v>
      </c>
      <c r="B142" s="1">
        <f>IFERROR(__xludf.DUMMYFUNCTION("""COMPUTED_VALUE"""),20975.0)</f>
        <v>20975</v>
      </c>
      <c r="C142" s="1" t="str">
        <f>IFERROR(__xludf.DUMMYFUNCTION("""COMPUTED_VALUE"""),"12 pencils small tube red retrospot")</f>
        <v>12 pencils small tube red retrospot</v>
      </c>
      <c r="D142" s="1">
        <f>IFERROR(__xludf.DUMMYFUNCTION("""COMPUTED_VALUE"""),48.0)</f>
        <v>48</v>
      </c>
      <c r="E142" s="3">
        <f>IFERROR(__xludf.DUMMYFUNCTION("""COMPUTED_VALUE"""),40601.0)</f>
        <v>40601</v>
      </c>
      <c r="F142" s="1">
        <f>IFERROR(__xludf.DUMMYFUNCTION("""COMPUTED_VALUE"""),0.65)</f>
        <v>0.65</v>
      </c>
      <c r="G142" s="1">
        <f>IFERROR(__xludf.DUMMYFUNCTION("""COMPUTED_VALUE"""),15738.0)</f>
        <v>15738</v>
      </c>
      <c r="H142" s="1">
        <v>31.200000000000003</v>
      </c>
      <c r="I142" s="1" t="str">
        <f t="shared" si="2"/>
        <v>12</v>
      </c>
      <c r="J142" s="1">
        <f t="shared" si="3"/>
        <v>71</v>
      </c>
      <c r="K142" s="1">
        <f t="shared" si="4"/>
        <v>1</v>
      </c>
      <c r="L142" s="1">
        <f t="shared" si="5"/>
        <v>31.2</v>
      </c>
    </row>
    <row r="143">
      <c r="A143" s="1">
        <f>IFERROR(__xludf.DUMMYFUNCTION("""COMPUTED_VALUE"""),550016.0)</f>
        <v>550016</v>
      </c>
      <c r="B143" s="1">
        <f>IFERROR(__xludf.DUMMYFUNCTION("""COMPUTED_VALUE"""),21878.0)</f>
        <v>21878</v>
      </c>
      <c r="C143" s="1" t="str">
        <f>IFERROR(__xludf.DUMMYFUNCTION("""COMPUTED_VALUE"""),"Pack of 6 sandcastle flags assorted")</f>
        <v>Pack of 6 sandcastle flags assorted</v>
      </c>
      <c r="D143" s="1">
        <f>IFERROR(__xludf.DUMMYFUNCTION("""COMPUTED_VALUE"""),12.0)</f>
        <v>12</v>
      </c>
      <c r="E143" s="3">
        <f>IFERROR(__xludf.DUMMYFUNCTION("""COMPUTED_VALUE"""),40647.0)</f>
        <v>40647</v>
      </c>
      <c r="F143" s="1">
        <f>IFERROR(__xludf.DUMMYFUNCTION("""COMPUTED_VALUE"""),0.85)</f>
        <v>0.85</v>
      </c>
      <c r="G143" s="1">
        <f>IFERROR(__xludf.DUMMYFUNCTION("""COMPUTED_VALUE"""),15416.0)</f>
        <v>15416</v>
      </c>
      <c r="H143" s="1">
        <v>10.2</v>
      </c>
      <c r="I143" s="1" t="str">
        <f t="shared" si="2"/>
        <v>Pack</v>
      </c>
      <c r="J143" s="1">
        <f t="shared" si="3"/>
        <v>25</v>
      </c>
      <c r="K143" s="1">
        <f t="shared" si="4"/>
        <v>1</v>
      </c>
      <c r="L143" s="1">
        <f t="shared" si="5"/>
        <v>10.2</v>
      </c>
    </row>
    <row r="144">
      <c r="A144" s="1">
        <f>IFERROR(__xludf.DUMMYFUNCTION("""COMPUTED_VALUE"""),545690.0)</f>
        <v>545690</v>
      </c>
      <c r="B144" s="1">
        <f>IFERROR(__xludf.DUMMYFUNCTION("""COMPUTED_VALUE"""),22335.0)</f>
        <v>22335</v>
      </c>
      <c r="C144" s="1" t="str">
        <f>IFERROR(__xludf.DUMMYFUNCTION("""COMPUTED_VALUE"""),"Heart decoration painted zinc")</f>
        <v>Heart decoration painted zinc</v>
      </c>
      <c r="D144" s="1">
        <f>IFERROR(__xludf.DUMMYFUNCTION("""COMPUTED_VALUE"""),1.0)</f>
        <v>1</v>
      </c>
      <c r="E144" s="3">
        <f>IFERROR(__xludf.DUMMYFUNCTION("""COMPUTED_VALUE"""),40608.0)</f>
        <v>40608</v>
      </c>
      <c r="F144" s="1">
        <f>IFERROR(__xludf.DUMMYFUNCTION("""COMPUTED_VALUE"""),0.65)</f>
        <v>0.65</v>
      </c>
      <c r="G144" s="1">
        <f>IFERROR(__xludf.DUMMYFUNCTION("""COMPUTED_VALUE"""),13263.0)</f>
        <v>13263</v>
      </c>
      <c r="H144" s="1">
        <v>0.65</v>
      </c>
      <c r="I144" s="1" t="str">
        <f t="shared" si="2"/>
        <v>Heart</v>
      </c>
      <c r="J144" s="1">
        <f t="shared" si="3"/>
        <v>64</v>
      </c>
      <c r="K144" s="1">
        <f t="shared" si="4"/>
        <v>2</v>
      </c>
      <c r="L144" s="1">
        <f t="shared" si="5"/>
        <v>4.9</v>
      </c>
    </row>
    <row r="145">
      <c r="A145" s="1">
        <f>IFERROR(__xludf.DUMMYFUNCTION("""COMPUTED_VALUE"""),546088.0)</f>
        <v>546088</v>
      </c>
      <c r="B145" s="1">
        <f>IFERROR(__xludf.DUMMYFUNCTION("""COMPUTED_VALUE"""),22430.0)</f>
        <v>22430</v>
      </c>
      <c r="C145" s="1" t="str">
        <f>IFERROR(__xludf.DUMMYFUNCTION("""COMPUTED_VALUE"""),"Enamel watering can cream")</f>
        <v>Enamel watering can cream</v>
      </c>
      <c r="D145" s="1">
        <f>IFERROR(__xludf.DUMMYFUNCTION("""COMPUTED_VALUE"""),4.0)</f>
        <v>4</v>
      </c>
      <c r="E145" s="3">
        <f>IFERROR(__xludf.DUMMYFUNCTION("""COMPUTED_VALUE"""),40611.0)</f>
        <v>40611</v>
      </c>
      <c r="F145" s="1">
        <f>IFERROR(__xludf.DUMMYFUNCTION("""COMPUTED_VALUE"""),4.95)</f>
        <v>4.95</v>
      </c>
      <c r="G145" s="1">
        <f>IFERROR(__xludf.DUMMYFUNCTION("""COMPUTED_VALUE"""),12881.0)</f>
        <v>12881</v>
      </c>
      <c r="H145" s="1">
        <v>19.8</v>
      </c>
      <c r="I145" s="1" t="str">
        <f t="shared" si="2"/>
        <v>Enamel</v>
      </c>
      <c r="J145" s="1">
        <f t="shared" si="3"/>
        <v>61</v>
      </c>
      <c r="K145" s="1">
        <f t="shared" si="4"/>
        <v>1</v>
      </c>
      <c r="L145" s="1">
        <f t="shared" si="5"/>
        <v>19.8</v>
      </c>
    </row>
    <row r="146">
      <c r="A146" s="1">
        <f>IFERROR(__xludf.DUMMYFUNCTION("""COMPUTED_VALUE"""),548017.0)</f>
        <v>548017</v>
      </c>
      <c r="B146" s="1">
        <f>IFERROR(__xludf.DUMMYFUNCTION("""COMPUTED_VALUE"""),22940.0)</f>
        <v>22940</v>
      </c>
      <c r="C146" s="1" t="str">
        <f>IFERROR(__xludf.DUMMYFUNCTION("""COMPUTED_VALUE"""),"Feltcraft christmas fairy")</f>
        <v>Feltcraft christmas fairy</v>
      </c>
      <c r="D146" s="1">
        <f>IFERROR(__xludf.DUMMYFUNCTION("""COMPUTED_VALUE"""),4.0)</f>
        <v>4</v>
      </c>
      <c r="E146" s="3">
        <f>IFERROR(__xludf.DUMMYFUNCTION("""COMPUTED_VALUE"""),40631.0)</f>
        <v>40631</v>
      </c>
      <c r="F146" s="1">
        <f>IFERROR(__xludf.DUMMYFUNCTION("""COMPUTED_VALUE"""),4.25)</f>
        <v>4.25</v>
      </c>
      <c r="G146" s="1">
        <f>IFERROR(__xludf.DUMMYFUNCTION("""COMPUTED_VALUE"""),16871.0)</f>
        <v>16871</v>
      </c>
      <c r="H146" s="1">
        <v>17.0</v>
      </c>
      <c r="I146" s="1" t="str">
        <f t="shared" si="2"/>
        <v>Feltcraft</v>
      </c>
      <c r="J146" s="1">
        <f t="shared" si="3"/>
        <v>41</v>
      </c>
      <c r="K146" s="1">
        <f t="shared" si="4"/>
        <v>1</v>
      </c>
      <c r="L146" s="1">
        <f t="shared" si="5"/>
        <v>17</v>
      </c>
    </row>
    <row r="147">
      <c r="A147" s="1">
        <f>IFERROR(__xludf.DUMMYFUNCTION("""COMPUTED_VALUE"""),551507.0)</f>
        <v>551507</v>
      </c>
      <c r="B147" s="1">
        <f>IFERROR(__xludf.DUMMYFUNCTION("""COMPUTED_VALUE"""),22993.0)</f>
        <v>22993</v>
      </c>
      <c r="C147" s="1" t="str">
        <f>IFERROR(__xludf.DUMMYFUNCTION("""COMPUTED_VALUE"""),"Set of 4 pantry jelly moulds")</f>
        <v>Set of 4 pantry jelly moulds</v>
      </c>
      <c r="D147" s="1">
        <f>IFERROR(__xludf.DUMMYFUNCTION("""COMPUTED_VALUE"""),12.0)</f>
        <v>12</v>
      </c>
      <c r="E147" s="3">
        <f>IFERROR(__xludf.DUMMYFUNCTION("""COMPUTED_VALUE"""),40661.0)</f>
        <v>40661</v>
      </c>
      <c r="F147" s="1">
        <f>IFERROR(__xludf.DUMMYFUNCTION("""COMPUTED_VALUE"""),1.25)</f>
        <v>1.25</v>
      </c>
      <c r="G147" s="1">
        <f>IFERROR(__xludf.DUMMYFUNCTION("""COMPUTED_VALUE"""),18272.0)</f>
        <v>18272</v>
      </c>
      <c r="H147" s="1">
        <v>15.0</v>
      </c>
      <c r="I147" s="1" t="str">
        <f t="shared" si="2"/>
        <v>Set</v>
      </c>
      <c r="J147" s="1">
        <f t="shared" si="3"/>
        <v>11</v>
      </c>
      <c r="K147" s="1">
        <f t="shared" si="4"/>
        <v>1</v>
      </c>
      <c r="L147" s="1">
        <f t="shared" si="5"/>
        <v>15</v>
      </c>
    </row>
    <row r="148">
      <c r="A148" s="1">
        <f>IFERROR(__xludf.DUMMYFUNCTION("""COMPUTED_VALUE"""),542219.0)</f>
        <v>542219</v>
      </c>
      <c r="B148" s="1">
        <f>IFERROR(__xludf.DUMMYFUNCTION("""COMPUTED_VALUE"""),22326.0)</f>
        <v>22326</v>
      </c>
      <c r="C148" s="1" t="str">
        <f>IFERROR(__xludf.DUMMYFUNCTION("""COMPUTED_VALUE"""),"Round snack boxes set of4 woodland")</f>
        <v>Round snack boxes set of4 woodland</v>
      </c>
      <c r="D148" s="1">
        <f>IFERROR(__xludf.DUMMYFUNCTION("""COMPUTED_VALUE"""),6.0)</f>
        <v>6</v>
      </c>
      <c r="E148" s="3">
        <f>IFERROR(__xludf.DUMMYFUNCTION("""COMPUTED_VALUE"""),40569.0)</f>
        <v>40569</v>
      </c>
      <c r="F148" s="1">
        <f>IFERROR(__xludf.DUMMYFUNCTION("""COMPUTED_VALUE"""),2.95)</f>
        <v>2.95</v>
      </c>
      <c r="G148" s="1">
        <f>IFERROR(__xludf.DUMMYFUNCTION("""COMPUTED_VALUE"""),17735.0)</f>
        <v>17735</v>
      </c>
      <c r="H148" s="1">
        <v>17.700000000000003</v>
      </c>
      <c r="I148" s="1" t="str">
        <f t="shared" si="2"/>
        <v>Round</v>
      </c>
      <c r="J148" s="1">
        <f t="shared" si="3"/>
        <v>103</v>
      </c>
      <c r="K148" s="1">
        <f t="shared" si="4"/>
        <v>2</v>
      </c>
      <c r="L148" s="1">
        <f t="shared" si="5"/>
        <v>32.7</v>
      </c>
    </row>
    <row r="149">
      <c r="A149" s="1">
        <f>IFERROR(__xludf.DUMMYFUNCTION("""COMPUTED_VALUE"""),547075.0)</f>
        <v>547075</v>
      </c>
      <c r="B149" s="1">
        <f>IFERROR(__xludf.DUMMYFUNCTION("""COMPUTED_VALUE"""),22681.0)</f>
        <v>22681</v>
      </c>
      <c r="C149" s="1" t="str">
        <f>IFERROR(__xludf.DUMMYFUNCTION("""COMPUTED_VALUE"""),"French blue metal door sign 6")</f>
        <v>French blue metal door sign 6</v>
      </c>
      <c r="D149" s="1">
        <f>IFERROR(__xludf.DUMMYFUNCTION("""COMPUTED_VALUE"""),10.0)</f>
        <v>10</v>
      </c>
      <c r="E149" s="3">
        <f>IFERROR(__xludf.DUMMYFUNCTION("""COMPUTED_VALUE"""),40622.0)</f>
        <v>40622</v>
      </c>
      <c r="F149" s="1">
        <f>IFERROR(__xludf.DUMMYFUNCTION("""COMPUTED_VALUE"""),1.25)</f>
        <v>1.25</v>
      </c>
      <c r="G149" s="1">
        <f>IFERROR(__xludf.DUMMYFUNCTION("""COMPUTED_VALUE"""),15288.0)</f>
        <v>15288</v>
      </c>
      <c r="H149" s="1">
        <v>12.5</v>
      </c>
      <c r="I149" s="1" t="str">
        <f t="shared" si="2"/>
        <v>French</v>
      </c>
      <c r="J149" s="1">
        <f t="shared" si="3"/>
        <v>50</v>
      </c>
      <c r="K149" s="1">
        <f t="shared" si="4"/>
        <v>1</v>
      </c>
      <c r="L149" s="1">
        <f t="shared" si="5"/>
        <v>12.5</v>
      </c>
    </row>
    <row r="150">
      <c r="A150" s="1">
        <f>IFERROR(__xludf.DUMMYFUNCTION("""COMPUTED_VALUE"""),546412.0)</f>
        <v>546412</v>
      </c>
      <c r="B150" s="1" t="str">
        <f>IFERROR(__xludf.DUMMYFUNCTION("""COMPUTED_VALUE"""),"15056N")</f>
        <v>15056N</v>
      </c>
      <c r="C150" s="1" t="str">
        <f>IFERROR(__xludf.DUMMYFUNCTION("""COMPUTED_VALUE"""),"Edwardian parasol natural")</f>
        <v>Edwardian parasol natural</v>
      </c>
      <c r="D150" s="1">
        <f>IFERROR(__xludf.DUMMYFUNCTION("""COMPUTED_VALUE"""),5.0)</f>
        <v>5</v>
      </c>
      <c r="E150" s="3">
        <f>IFERROR(__xludf.DUMMYFUNCTION("""COMPUTED_VALUE"""),40613.0)</f>
        <v>40613</v>
      </c>
      <c r="F150" s="1">
        <f>IFERROR(__xludf.DUMMYFUNCTION("""COMPUTED_VALUE"""),5.95)</f>
        <v>5.95</v>
      </c>
      <c r="G150" s="1">
        <f>IFERROR(__xludf.DUMMYFUNCTION("""COMPUTED_VALUE"""),12748.0)</f>
        <v>12748</v>
      </c>
      <c r="H150" s="1">
        <v>29.75</v>
      </c>
      <c r="I150" s="1" t="str">
        <f t="shared" si="2"/>
        <v>Edwardian</v>
      </c>
      <c r="J150" s="1">
        <f t="shared" si="3"/>
        <v>59</v>
      </c>
      <c r="K150" s="1">
        <f t="shared" si="4"/>
        <v>1</v>
      </c>
      <c r="L150" s="1">
        <f t="shared" si="5"/>
        <v>29.75</v>
      </c>
    </row>
    <row r="151">
      <c r="A151" s="1">
        <f>IFERROR(__xludf.DUMMYFUNCTION("""COMPUTED_VALUE"""),549556.0)</f>
        <v>549556</v>
      </c>
      <c r="B151" s="1">
        <f>IFERROR(__xludf.DUMMYFUNCTION("""COMPUTED_VALUE"""),22977.0)</f>
        <v>22977</v>
      </c>
      <c r="C151" s="1" t="str">
        <f>IFERROR(__xludf.DUMMYFUNCTION("""COMPUTED_VALUE"""),"Dolly girl childrens egg cup")</f>
        <v>Dolly girl childrens egg cup</v>
      </c>
      <c r="D151" s="1">
        <f>IFERROR(__xludf.DUMMYFUNCTION("""COMPUTED_VALUE"""),4.0)</f>
        <v>4</v>
      </c>
      <c r="E151" s="3">
        <f>IFERROR(__xludf.DUMMYFUNCTION("""COMPUTED_VALUE"""),40643.0)</f>
        <v>40643</v>
      </c>
      <c r="F151" s="1">
        <f>IFERROR(__xludf.DUMMYFUNCTION("""COMPUTED_VALUE"""),1.25)</f>
        <v>1.25</v>
      </c>
      <c r="G151" s="1">
        <f>IFERROR(__xludf.DUMMYFUNCTION("""COMPUTED_VALUE"""),17372.0)</f>
        <v>17372</v>
      </c>
      <c r="H151" s="1">
        <v>5.0</v>
      </c>
      <c r="I151" s="1" t="str">
        <f t="shared" si="2"/>
        <v>Dolly</v>
      </c>
      <c r="J151" s="1">
        <f t="shared" si="3"/>
        <v>29</v>
      </c>
      <c r="K151" s="1">
        <f t="shared" si="4"/>
        <v>1</v>
      </c>
      <c r="L151" s="1">
        <f t="shared" si="5"/>
        <v>5</v>
      </c>
    </row>
    <row r="152">
      <c r="A152" s="1">
        <f>IFERROR(__xludf.DUMMYFUNCTION("""COMPUTED_VALUE"""),538514.0)</f>
        <v>538514</v>
      </c>
      <c r="B152" s="1">
        <f>IFERROR(__xludf.DUMMYFUNCTION("""COMPUTED_VALUE"""),21794.0)</f>
        <v>21794</v>
      </c>
      <c r="C152" s="1" t="str">
        <f>IFERROR(__xludf.DUMMYFUNCTION("""COMPUTED_VALUE"""),"Classic french style basket natural")</f>
        <v>Classic french style basket natural</v>
      </c>
      <c r="D152" s="1">
        <f>IFERROR(__xludf.DUMMYFUNCTION("""COMPUTED_VALUE"""),1.0)</f>
        <v>1</v>
      </c>
      <c r="E152" s="3">
        <f>IFERROR(__xludf.DUMMYFUNCTION("""COMPUTED_VALUE"""),40524.0)</f>
        <v>40524</v>
      </c>
      <c r="F152" s="1">
        <f>IFERROR(__xludf.DUMMYFUNCTION("""COMPUTED_VALUE"""),6.75)</f>
        <v>6.75</v>
      </c>
      <c r="G152" s="1">
        <f>IFERROR(__xludf.DUMMYFUNCTION("""COMPUTED_VALUE"""),15044.0)</f>
        <v>15044</v>
      </c>
      <c r="H152" s="1">
        <v>6.75</v>
      </c>
      <c r="I152" s="1" t="str">
        <f t="shared" si="2"/>
        <v>Classic</v>
      </c>
      <c r="J152" s="1">
        <f t="shared" si="3"/>
        <v>148</v>
      </c>
      <c r="K152" s="1">
        <f t="shared" si="4"/>
        <v>1</v>
      </c>
      <c r="L152" s="1">
        <f t="shared" si="5"/>
        <v>6.75</v>
      </c>
    </row>
    <row r="153">
      <c r="A153" s="1">
        <f>IFERROR(__xludf.DUMMYFUNCTION("""COMPUTED_VALUE"""),552282.0)</f>
        <v>552282</v>
      </c>
      <c r="B153" s="1">
        <f>IFERROR(__xludf.DUMMYFUNCTION("""COMPUTED_VALUE"""),84581.0)</f>
        <v>84581</v>
      </c>
      <c r="C153" s="1" t="str">
        <f>IFERROR(__xludf.DUMMYFUNCTION("""COMPUTED_VALUE"""),"Dog toy with pink crochet skirt")</f>
        <v>Dog toy with pink crochet skirt</v>
      </c>
      <c r="D153" s="1">
        <f>IFERROR(__xludf.DUMMYFUNCTION("""COMPUTED_VALUE"""),2.0)</f>
        <v>2</v>
      </c>
      <c r="E153" s="3">
        <f>IFERROR(__xludf.DUMMYFUNCTION("""COMPUTED_VALUE"""),40671.0)</f>
        <v>40671</v>
      </c>
      <c r="F153" s="1">
        <f>IFERROR(__xludf.DUMMYFUNCTION("""COMPUTED_VALUE"""),3.75)</f>
        <v>3.75</v>
      </c>
      <c r="G153" s="1">
        <f>IFERROR(__xludf.DUMMYFUNCTION("""COMPUTED_VALUE"""),14040.0)</f>
        <v>14040</v>
      </c>
      <c r="H153" s="1">
        <v>7.5</v>
      </c>
      <c r="I153" s="1" t="str">
        <f t="shared" si="2"/>
        <v>Dog</v>
      </c>
      <c r="J153" s="1">
        <f t="shared" si="3"/>
        <v>1</v>
      </c>
      <c r="K153" s="1">
        <f t="shared" si="4"/>
        <v>1</v>
      </c>
      <c r="L153" s="1">
        <f t="shared" si="5"/>
        <v>7.5</v>
      </c>
    </row>
    <row r="154">
      <c r="A154" s="1">
        <f>IFERROR(__xludf.DUMMYFUNCTION("""COMPUTED_VALUE"""),549239.0)</f>
        <v>549239</v>
      </c>
      <c r="B154" s="1">
        <f>IFERROR(__xludf.DUMMYFUNCTION("""COMPUTED_VALUE"""),22551.0)</f>
        <v>22551</v>
      </c>
      <c r="C154" s="1" t="str">
        <f>IFERROR(__xludf.DUMMYFUNCTION("""COMPUTED_VALUE"""),"Plasters in tin spaceboy")</f>
        <v>Plasters in tin spaceboy</v>
      </c>
      <c r="D154" s="1">
        <f>IFERROR(__xludf.DUMMYFUNCTION("""COMPUTED_VALUE"""),12.0)</f>
        <v>12</v>
      </c>
      <c r="E154" s="3">
        <f>IFERROR(__xludf.DUMMYFUNCTION("""COMPUTED_VALUE"""),40640.0)</f>
        <v>40640</v>
      </c>
      <c r="F154" s="1">
        <f>IFERROR(__xludf.DUMMYFUNCTION("""COMPUTED_VALUE"""),1.65)</f>
        <v>1.65</v>
      </c>
      <c r="G154" s="1">
        <f>IFERROR(__xludf.DUMMYFUNCTION("""COMPUTED_VALUE"""),13102.0)</f>
        <v>13102</v>
      </c>
      <c r="H154" s="1">
        <v>19.799999999999997</v>
      </c>
      <c r="I154" s="1" t="str">
        <f t="shared" si="2"/>
        <v>Plasters</v>
      </c>
      <c r="J154" s="1">
        <f t="shared" si="3"/>
        <v>32</v>
      </c>
      <c r="K154" s="1">
        <f t="shared" si="4"/>
        <v>1</v>
      </c>
      <c r="L154" s="1">
        <f t="shared" si="5"/>
        <v>19.8</v>
      </c>
    </row>
    <row r="155">
      <c r="A155" s="1">
        <f>IFERROR(__xludf.DUMMYFUNCTION("""COMPUTED_VALUE"""),550323.0)</f>
        <v>550323</v>
      </c>
      <c r="B155" s="1">
        <f>IFERROR(__xludf.DUMMYFUNCTION("""COMPUTED_VALUE"""),22193.0)</f>
        <v>22193</v>
      </c>
      <c r="C155" s="1" t="str">
        <f>IFERROR(__xludf.DUMMYFUNCTION("""COMPUTED_VALUE"""),"Red diner wall clock")</f>
        <v>Red diner wall clock</v>
      </c>
      <c r="D155" s="1">
        <f>IFERROR(__xludf.DUMMYFUNCTION("""COMPUTED_VALUE"""),2.0)</f>
        <v>2</v>
      </c>
      <c r="E155" s="3">
        <f>IFERROR(__xludf.DUMMYFUNCTION("""COMPUTED_VALUE"""),40650.0)</f>
        <v>40650</v>
      </c>
      <c r="F155" s="1">
        <f>IFERROR(__xludf.DUMMYFUNCTION("""COMPUTED_VALUE"""),8.5)</f>
        <v>8.5</v>
      </c>
      <c r="G155" s="1">
        <f>IFERROR(__xludf.DUMMYFUNCTION("""COMPUTED_VALUE"""),13692.0)</f>
        <v>13692</v>
      </c>
      <c r="H155" s="1">
        <v>17.0</v>
      </c>
      <c r="I155" s="1" t="str">
        <f t="shared" si="2"/>
        <v>Red</v>
      </c>
      <c r="J155" s="1">
        <f t="shared" si="3"/>
        <v>22</v>
      </c>
      <c r="K155" s="1">
        <f t="shared" si="4"/>
        <v>1</v>
      </c>
      <c r="L155" s="1">
        <f t="shared" si="5"/>
        <v>17</v>
      </c>
    </row>
    <row r="156">
      <c r="A156" s="1">
        <f>IFERROR(__xludf.DUMMYFUNCTION("""COMPUTED_VALUE"""),547222.0)</f>
        <v>547222</v>
      </c>
      <c r="B156" s="1">
        <f>IFERROR(__xludf.DUMMYFUNCTION("""COMPUTED_VALUE"""),22061.0)</f>
        <v>22061</v>
      </c>
      <c r="C156" s="1" t="str">
        <f>IFERROR(__xludf.DUMMYFUNCTION("""COMPUTED_VALUE"""),"Large cake stand  hanging strawbery")</f>
        <v>Large cake stand  hanging strawbery</v>
      </c>
      <c r="D156" s="1">
        <f>IFERROR(__xludf.DUMMYFUNCTION("""COMPUTED_VALUE"""),2.0)</f>
        <v>2</v>
      </c>
      <c r="E156" s="3">
        <f>IFERROR(__xludf.DUMMYFUNCTION("""COMPUTED_VALUE"""),40623.0)</f>
        <v>40623</v>
      </c>
      <c r="F156" s="1">
        <f>IFERROR(__xludf.DUMMYFUNCTION("""COMPUTED_VALUE"""),9.95)</f>
        <v>9.95</v>
      </c>
      <c r="G156" s="1">
        <f>IFERROR(__xludf.DUMMYFUNCTION("""COMPUTED_VALUE"""),18008.0)</f>
        <v>18008</v>
      </c>
      <c r="H156" s="1">
        <v>19.9</v>
      </c>
      <c r="I156" s="1" t="str">
        <f t="shared" si="2"/>
        <v>Large</v>
      </c>
      <c r="J156" s="1">
        <f t="shared" si="3"/>
        <v>49</v>
      </c>
      <c r="K156" s="1">
        <f t="shared" si="4"/>
        <v>1</v>
      </c>
      <c r="L156" s="1">
        <f t="shared" si="5"/>
        <v>19.9</v>
      </c>
    </row>
    <row r="157">
      <c r="A157" s="1">
        <f>IFERROR(__xludf.DUMMYFUNCTION("""COMPUTED_VALUE"""),538453.0)</f>
        <v>538453</v>
      </c>
      <c r="B157" s="1">
        <f>IFERROR(__xludf.DUMMYFUNCTION("""COMPUTED_VALUE"""),22812.0)</f>
        <v>22812</v>
      </c>
      <c r="C157" s="1" t="str">
        <f>IFERROR(__xludf.DUMMYFUNCTION("""COMPUTED_VALUE"""),"Pack 3 boxes christmas pannetone")</f>
        <v>Pack 3 boxes christmas pannetone</v>
      </c>
      <c r="D157" s="1">
        <f>IFERROR(__xludf.DUMMYFUNCTION("""COMPUTED_VALUE"""),3.0)</f>
        <v>3</v>
      </c>
      <c r="E157" s="3">
        <f>IFERROR(__xludf.DUMMYFUNCTION("""COMPUTED_VALUE"""),40524.0)</f>
        <v>40524</v>
      </c>
      <c r="F157" s="1">
        <f>IFERROR(__xludf.DUMMYFUNCTION("""COMPUTED_VALUE"""),1.95)</f>
        <v>1.95</v>
      </c>
      <c r="G157" s="1">
        <f>IFERROR(__xludf.DUMMYFUNCTION("""COMPUTED_VALUE"""),16779.0)</f>
        <v>16779</v>
      </c>
      <c r="H157" s="1">
        <v>5.85</v>
      </c>
      <c r="I157" s="1" t="str">
        <f t="shared" si="2"/>
        <v>Pack</v>
      </c>
      <c r="J157" s="1">
        <f t="shared" si="3"/>
        <v>148</v>
      </c>
      <c r="K157" s="1">
        <f t="shared" si="4"/>
        <v>1</v>
      </c>
      <c r="L157" s="1">
        <f t="shared" si="5"/>
        <v>5.85</v>
      </c>
    </row>
    <row r="158">
      <c r="A158" s="1">
        <f>IFERROR(__xludf.DUMMYFUNCTION("""COMPUTED_VALUE"""),544591.0)</f>
        <v>544591</v>
      </c>
      <c r="B158" s="1">
        <f>IFERROR(__xludf.DUMMYFUNCTION("""COMPUTED_VALUE"""),22607.0)</f>
        <v>22607</v>
      </c>
      <c r="C158" s="1" t="str">
        <f>IFERROR(__xludf.DUMMYFUNCTION("""COMPUTED_VALUE"""),"Wooden rounders garden set")</f>
        <v>Wooden rounders garden set</v>
      </c>
      <c r="D158" s="1">
        <f>IFERROR(__xludf.DUMMYFUNCTION("""COMPUTED_VALUE"""),3.0)</f>
        <v>3</v>
      </c>
      <c r="E158" s="3">
        <f>IFERROR(__xludf.DUMMYFUNCTION("""COMPUTED_VALUE"""),40595.0)</f>
        <v>40595</v>
      </c>
      <c r="F158" s="1">
        <f>IFERROR(__xludf.DUMMYFUNCTION("""COMPUTED_VALUE"""),9.95)</f>
        <v>9.95</v>
      </c>
      <c r="G158" s="1">
        <f>IFERROR(__xludf.DUMMYFUNCTION("""COMPUTED_VALUE"""),13044.0)</f>
        <v>13044</v>
      </c>
      <c r="H158" s="1">
        <v>29.849999999999998</v>
      </c>
      <c r="I158" s="1" t="str">
        <f t="shared" si="2"/>
        <v>Wooden</v>
      </c>
      <c r="J158" s="1">
        <f t="shared" si="3"/>
        <v>77</v>
      </c>
      <c r="K158" s="1">
        <f t="shared" si="4"/>
        <v>1</v>
      </c>
      <c r="L158" s="1">
        <f t="shared" si="5"/>
        <v>29.85</v>
      </c>
    </row>
    <row r="159">
      <c r="A159" s="1">
        <f>IFERROR(__xludf.DUMMYFUNCTION("""COMPUTED_VALUE"""),547500.0)</f>
        <v>547500</v>
      </c>
      <c r="B159" s="1">
        <f>IFERROR(__xludf.DUMMYFUNCTION("""COMPUTED_VALUE"""),22419.0)</f>
        <v>22419</v>
      </c>
      <c r="C159" s="1" t="str">
        <f>IFERROR(__xludf.DUMMYFUNCTION("""COMPUTED_VALUE"""),"Lipstick pen red")</f>
        <v>Lipstick pen red</v>
      </c>
      <c r="D159" s="1">
        <f>IFERROR(__xludf.DUMMYFUNCTION("""COMPUTED_VALUE"""),36.0)</f>
        <v>36</v>
      </c>
      <c r="E159" s="3">
        <f>IFERROR(__xludf.DUMMYFUNCTION("""COMPUTED_VALUE"""),40625.0)</f>
        <v>40625</v>
      </c>
      <c r="F159" s="1">
        <f>IFERROR(__xludf.DUMMYFUNCTION("""COMPUTED_VALUE"""),0.42)</f>
        <v>0.42</v>
      </c>
      <c r="G159" s="1">
        <f>IFERROR(__xludf.DUMMYFUNCTION("""COMPUTED_VALUE"""),13408.0)</f>
        <v>13408</v>
      </c>
      <c r="H159" s="1">
        <v>15.12</v>
      </c>
      <c r="I159" s="1" t="str">
        <f t="shared" si="2"/>
        <v>Lipstick</v>
      </c>
      <c r="J159" s="1">
        <f t="shared" si="3"/>
        <v>47</v>
      </c>
      <c r="K159" s="1">
        <f t="shared" si="4"/>
        <v>1</v>
      </c>
      <c r="L159" s="1">
        <f t="shared" si="5"/>
        <v>15.12</v>
      </c>
    </row>
    <row r="160">
      <c r="A160" s="1">
        <f>IFERROR(__xludf.DUMMYFUNCTION("""COMPUTED_VALUE"""),542617.0)</f>
        <v>542617</v>
      </c>
      <c r="B160" s="1">
        <f>IFERROR(__xludf.DUMMYFUNCTION("""COMPUTED_VALUE"""),22170.0)</f>
        <v>22170</v>
      </c>
      <c r="C160" s="1" t="str">
        <f>IFERROR(__xludf.DUMMYFUNCTION("""COMPUTED_VALUE"""),"Picture frame wood triple portrait")</f>
        <v>Picture frame wood triple portrait</v>
      </c>
      <c r="D160" s="1">
        <f>IFERROR(__xludf.DUMMYFUNCTION("""COMPUTED_VALUE"""),4.0)</f>
        <v>4</v>
      </c>
      <c r="E160" s="3">
        <f>IFERROR(__xludf.DUMMYFUNCTION("""COMPUTED_VALUE"""),40573.0)</f>
        <v>40573</v>
      </c>
      <c r="F160" s="1">
        <f>IFERROR(__xludf.DUMMYFUNCTION("""COMPUTED_VALUE"""),6.75)</f>
        <v>6.75</v>
      </c>
      <c r="G160" s="1">
        <f>IFERROR(__xludf.DUMMYFUNCTION("""COMPUTED_VALUE"""),17463.0)</f>
        <v>17463</v>
      </c>
      <c r="H160" s="1">
        <v>27.0</v>
      </c>
      <c r="I160" s="1" t="str">
        <f t="shared" si="2"/>
        <v>Picture</v>
      </c>
      <c r="J160" s="1">
        <f t="shared" si="3"/>
        <v>99</v>
      </c>
      <c r="K160" s="1">
        <f t="shared" si="4"/>
        <v>1</v>
      </c>
      <c r="L160" s="1">
        <f t="shared" si="5"/>
        <v>27</v>
      </c>
    </row>
    <row r="161">
      <c r="A161" s="1">
        <f>IFERROR(__xludf.DUMMYFUNCTION("""COMPUTED_VALUE"""),540856.0)</f>
        <v>540856</v>
      </c>
      <c r="B161" s="1">
        <f>IFERROR(__xludf.DUMMYFUNCTION("""COMPUTED_VALUE"""),84378.0)</f>
        <v>84378</v>
      </c>
      <c r="C161" s="1" t="str">
        <f>IFERROR(__xludf.DUMMYFUNCTION("""COMPUTED_VALUE"""),"Set of 3 heart cookie cutters")</f>
        <v>Set of 3 heart cookie cutters</v>
      </c>
      <c r="D161" s="1">
        <f>IFERROR(__xludf.DUMMYFUNCTION("""COMPUTED_VALUE"""),12.0)</f>
        <v>12</v>
      </c>
      <c r="E161" s="3">
        <f>IFERROR(__xludf.DUMMYFUNCTION("""COMPUTED_VALUE"""),40555.0)</f>
        <v>40555</v>
      </c>
      <c r="F161" s="1">
        <f>IFERROR(__xludf.DUMMYFUNCTION("""COMPUTED_VALUE"""),1.25)</f>
        <v>1.25</v>
      </c>
      <c r="G161" s="1">
        <f>IFERROR(__xludf.DUMMYFUNCTION("""COMPUTED_VALUE"""),16655.0)</f>
        <v>16655</v>
      </c>
      <c r="H161" s="1">
        <v>15.0</v>
      </c>
      <c r="I161" s="1" t="str">
        <f t="shared" si="2"/>
        <v>Set</v>
      </c>
      <c r="J161" s="1">
        <f t="shared" si="3"/>
        <v>117</v>
      </c>
      <c r="K161" s="1">
        <f t="shared" si="4"/>
        <v>2</v>
      </c>
      <c r="L161" s="1">
        <f t="shared" si="5"/>
        <v>34.8</v>
      </c>
    </row>
    <row r="162">
      <c r="A162" s="1">
        <f>IFERROR(__xludf.DUMMYFUNCTION("""COMPUTED_VALUE"""),552322.0)</f>
        <v>552322</v>
      </c>
      <c r="B162" s="1">
        <f>IFERROR(__xludf.DUMMYFUNCTION("""COMPUTED_VALUE"""),22386.0)</f>
        <v>22386</v>
      </c>
      <c r="C162" s="1" t="str">
        <f>IFERROR(__xludf.DUMMYFUNCTION("""COMPUTED_VALUE"""),"Jumbo bag pink polkadot")</f>
        <v>Jumbo bag pink polkadot</v>
      </c>
      <c r="D162" s="1">
        <f>IFERROR(__xludf.DUMMYFUNCTION("""COMPUTED_VALUE"""),10.0)</f>
        <v>10</v>
      </c>
      <c r="E162" s="3">
        <f>IFERROR(__xludf.DUMMYFUNCTION("""COMPUTED_VALUE"""),40672.0)</f>
        <v>40672</v>
      </c>
      <c r="F162" s="1">
        <f>IFERROR(__xludf.DUMMYFUNCTION("""COMPUTED_VALUE"""),2.08)</f>
        <v>2.08</v>
      </c>
      <c r="G162" s="1">
        <f>IFERROR(__xludf.DUMMYFUNCTION("""COMPUTED_VALUE"""),17049.0)</f>
        <v>17049</v>
      </c>
      <c r="H162" s="1">
        <v>20.8</v>
      </c>
      <c r="I162" s="1" t="str">
        <f t="shared" si="2"/>
        <v>Jumbo</v>
      </c>
      <c r="J162" s="1">
        <f t="shared" si="3"/>
        <v>0</v>
      </c>
      <c r="K162" s="1">
        <f t="shared" si="4"/>
        <v>1</v>
      </c>
      <c r="L162" s="1">
        <f t="shared" si="5"/>
        <v>20.8</v>
      </c>
    </row>
    <row r="163">
      <c r="A163" s="1">
        <f>IFERROR(__xludf.DUMMYFUNCTION("""COMPUTED_VALUE"""),551696.0)</f>
        <v>551696</v>
      </c>
      <c r="B163" s="1">
        <f>IFERROR(__xludf.DUMMYFUNCTION("""COMPUTED_VALUE"""),47566.0)</f>
        <v>47566</v>
      </c>
      <c r="C163" s="1" t="str">
        <f>IFERROR(__xludf.DUMMYFUNCTION("""COMPUTED_VALUE"""),"Party bunting")</f>
        <v>Party bunting</v>
      </c>
      <c r="D163" s="1">
        <f>IFERROR(__xludf.DUMMYFUNCTION("""COMPUTED_VALUE"""),8.0)</f>
        <v>8</v>
      </c>
      <c r="E163" s="3">
        <f>IFERROR(__xludf.DUMMYFUNCTION("""COMPUTED_VALUE"""),40666.0)</f>
        <v>40666</v>
      </c>
      <c r="F163" s="1">
        <f>IFERROR(__xludf.DUMMYFUNCTION("""COMPUTED_VALUE"""),4.95)</f>
        <v>4.95</v>
      </c>
      <c r="G163" s="1">
        <f>IFERROR(__xludf.DUMMYFUNCTION("""COMPUTED_VALUE"""),14110.0)</f>
        <v>14110</v>
      </c>
      <c r="H163" s="1">
        <v>39.6</v>
      </c>
      <c r="I163" s="1" t="str">
        <f t="shared" si="2"/>
        <v>Party</v>
      </c>
      <c r="J163" s="1">
        <f t="shared" si="3"/>
        <v>3</v>
      </c>
      <c r="K163" s="1">
        <f t="shared" si="4"/>
        <v>1</v>
      </c>
      <c r="L163" s="1">
        <f t="shared" si="5"/>
        <v>39.6</v>
      </c>
    </row>
    <row r="164">
      <c r="A164" s="1">
        <f>IFERROR(__xludf.DUMMYFUNCTION("""COMPUTED_VALUE"""),547202.0)</f>
        <v>547202</v>
      </c>
      <c r="B164" s="1">
        <f>IFERROR(__xludf.DUMMYFUNCTION("""COMPUTED_VALUE"""),22357.0)</f>
        <v>22357</v>
      </c>
      <c r="C164" s="1" t="str">
        <f>IFERROR(__xludf.DUMMYFUNCTION("""COMPUTED_VALUE"""),"Kings choice biscuit tin")</f>
        <v>Kings choice biscuit tin</v>
      </c>
      <c r="D164" s="1">
        <f>IFERROR(__xludf.DUMMYFUNCTION("""COMPUTED_VALUE"""),1.0)</f>
        <v>1</v>
      </c>
      <c r="E164" s="3">
        <f>IFERROR(__xludf.DUMMYFUNCTION("""COMPUTED_VALUE"""),40623.0)</f>
        <v>40623</v>
      </c>
      <c r="F164" s="1">
        <f>IFERROR(__xludf.DUMMYFUNCTION("""COMPUTED_VALUE"""),4.25)</f>
        <v>4.25</v>
      </c>
      <c r="G164" s="1">
        <f>IFERROR(__xludf.DUMMYFUNCTION("""COMPUTED_VALUE"""),17841.0)</f>
        <v>17841</v>
      </c>
      <c r="H164" s="1">
        <v>4.25</v>
      </c>
      <c r="I164" s="1" t="str">
        <f t="shared" si="2"/>
        <v>Kings</v>
      </c>
      <c r="J164" s="1">
        <f t="shared" si="3"/>
        <v>46</v>
      </c>
      <c r="K164" s="1">
        <f t="shared" si="4"/>
        <v>1</v>
      </c>
      <c r="L164" s="1">
        <f t="shared" si="5"/>
        <v>4.25</v>
      </c>
    </row>
    <row r="165">
      <c r="A165" s="1">
        <f>IFERROR(__xludf.DUMMYFUNCTION("""COMPUTED_VALUE"""),549713.0)</f>
        <v>549713</v>
      </c>
      <c r="B165" s="1">
        <f>IFERROR(__xludf.DUMMYFUNCTION("""COMPUTED_VALUE"""),20685.0)</f>
        <v>20685</v>
      </c>
      <c r="C165" s="1" t="str">
        <f>IFERROR(__xludf.DUMMYFUNCTION("""COMPUTED_VALUE"""),"Doormat red retrospot")</f>
        <v>Doormat red retrospot</v>
      </c>
      <c r="D165" s="1">
        <f>IFERROR(__xludf.DUMMYFUNCTION("""COMPUTED_VALUE"""),1.0)</f>
        <v>1</v>
      </c>
      <c r="E165" s="3">
        <f>IFERROR(__xludf.DUMMYFUNCTION("""COMPUTED_VALUE"""),40644.0)</f>
        <v>40644</v>
      </c>
      <c r="F165" s="1">
        <f>IFERROR(__xludf.DUMMYFUNCTION("""COMPUTED_VALUE"""),7.95)</f>
        <v>7.95</v>
      </c>
      <c r="G165" s="1">
        <f>IFERROR(__xludf.DUMMYFUNCTION("""COMPUTED_VALUE"""),17611.0)</f>
        <v>17611</v>
      </c>
      <c r="H165" s="1">
        <v>7.95</v>
      </c>
      <c r="I165" s="1" t="str">
        <f t="shared" si="2"/>
        <v>Doormat</v>
      </c>
      <c r="J165" s="1">
        <f t="shared" si="3"/>
        <v>25</v>
      </c>
      <c r="K165" s="1">
        <f t="shared" si="4"/>
        <v>1</v>
      </c>
      <c r="L165" s="1">
        <f t="shared" si="5"/>
        <v>7.95</v>
      </c>
    </row>
    <row r="166">
      <c r="A166" s="1">
        <f>IFERROR(__xludf.DUMMYFUNCTION("""COMPUTED_VALUE"""),541523.0)</f>
        <v>541523</v>
      </c>
      <c r="B166" s="1">
        <f>IFERROR(__xludf.DUMMYFUNCTION("""COMPUTED_VALUE"""),21718.0)</f>
        <v>21718</v>
      </c>
      <c r="C166" s="1" t="str">
        <f>IFERROR(__xludf.DUMMYFUNCTION("""COMPUTED_VALUE"""),"Red metal beach spade")</f>
        <v>Red metal beach spade</v>
      </c>
      <c r="D166" s="1">
        <f>IFERROR(__xludf.DUMMYFUNCTION("""COMPUTED_VALUE"""),2.0)</f>
        <v>2</v>
      </c>
      <c r="E166" s="3">
        <f>IFERROR(__xludf.DUMMYFUNCTION("""COMPUTED_VALUE"""),40562.0)</f>
        <v>40562</v>
      </c>
      <c r="F166" s="1">
        <f>IFERROR(__xludf.DUMMYFUNCTION("""COMPUTED_VALUE"""),1.25)</f>
        <v>1.25</v>
      </c>
      <c r="G166" s="1">
        <f>IFERROR(__xludf.DUMMYFUNCTION("""COMPUTED_VALUE"""),17708.0)</f>
        <v>17708</v>
      </c>
      <c r="H166" s="1">
        <v>2.5</v>
      </c>
      <c r="I166" s="1" t="str">
        <f t="shared" si="2"/>
        <v>Red</v>
      </c>
      <c r="J166" s="1">
        <f t="shared" si="3"/>
        <v>107</v>
      </c>
      <c r="K166" s="1">
        <f t="shared" si="4"/>
        <v>1</v>
      </c>
      <c r="L166" s="1">
        <f t="shared" si="5"/>
        <v>2.5</v>
      </c>
    </row>
    <row r="167">
      <c r="A167" s="1">
        <f>IFERROR(__xludf.DUMMYFUNCTION("""COMPUTED_VALUE"""),541596.0)</f>
        <v>541596</v>
      </c>
      <c r="B167" s="1">
        <f>IFERROR(__xludf.DUMMYFUNCTION("""COMPUTED_VALUE"""),22930.0)</f>
        <v>22930</v>
      </c>
      <c r="C167" s="1" t="str">
        <f>IFERROR(__xludf.DUMMYFUNCTION("""COMPUTED_VALUE"""),"Baking mould heart milk chocolate")</f>
        <v>Baking mould heart milk chocolate</v>
      </c>
      <c r="D167" s="1">
        <f>IFERROR(__xludf.DUMMYFUNCTION("""COMPUTED_VALUE"""),2.0)</f>
        <v>2</v>
      </c>
      <c r="E167" s="3">
        <f>IFERROR(__xludf.DUMMYFUNCTION("""COMPUTED_VALUE"""),40562.0)</f>
        <v>40562</v>
      </c>
      <c r="F167" s="1">
        <f>IFERROR(__xludf.DUMMYFUNCTION("""COMPUTED_VALUE"""),2.55)</f>
        <v>2.55</v>
      </c>
      <c r="G167" s="1">
        <f>IFERROR(__xludf.DUMMYFUNCTION("""COMPUTED_VALUE"""),17602.0)</f>
        <v>17602</v>
      </c>
      <c r="H167" s="1">
        <v>5.1</v>
      </c>
      <c r="I167" s="1" t="str">
        <f t="shared" si="2"/>
        <v>Baking</v>
      </c>
      <c r="J167" s="1">
        <f t="shared" si="3"/>
        <v>107</v>
      </c>
      <c r="K167" s="1">
        <f t="shared" si="4"/>
        <v>1</v>
      </c>
      <c r="L167" s="1">
        <f t="shared" si="5"/>
        <v>5.1</v>
      </c>
    </row>
    <row r="168">
      <c r="A168" s="1">
        <f>IFERROR(__xludf.DUMMYFUNCTION("""COMPUTED_VALUE"""),552051.0)</f>
        <v>552051</v>
      </c>
      <c r="B168" s="1">
        <f>IFERROR(__xludf.DUMMYFUNCTION("""COMPUTED_VALUE"""),21872.0)</f>
        <v>21872</v>
      </c>
      <c r="C168" s="1" t="str">
        <f>IFERROR(__xludf.DUMMYFUNCTION("""COMPUTED_VALUE"""),"Glamorous  mug")</f>
        <v>Glamorous  mug</v>
      </c>
      <c r="D168" s="1">
        <f>IFERROR(__xludf.DUMMYFUNCTION("""COMPUTED_VALUE"""),1.0)</f>
        <v>1</v>
      </c>
      <c r="E168" s="3">
        <f>IFERROR(__xludf.DUMMYFUNCTION("""COMPUTED_VALUE"""),40669.0)</f>
        <v>40669</v>
      </c>
      <c r="F168" s="1">
        <f>IFERROR(__xludf.DUMMYFUNCTION("""COMPUTED_VALUE"""),1.25)</f>
        <v>1.25</v>
      </c>
      <c r="G168" s="1">
        <f>IFERROR(__xludf.DUMMYFUNCTION("""COMPUTED_VALUE"""),14796.0)</f>
        <v>14796</v>
      </c>
      <c r="H168" s="1">
        <v>1.25</v>
      </c>
      <c r="I168" s="1" t="str">
        <f t="shared" si="2"/>
        <v>Glamorous</v>
      </c>
      <c r="J168" s="1">
        <f t="shared" si="3"/>
        <v>0</v>
      </c>
      <c r="K168" s="1">
        <f t="shared" si="4"/>
        <v>1</v>
      </c>
      <c r="L168" s="1">
        <f t="shared" si="5"/>
        <v>1.25</v>
      </c>
    </row>
    <row r="169">
      <c r="A169" s="1">
        <f>IFERROR(__xludf.DUMMYFUNCTION("""COMPUTED_VALUE"""),546383.0)</f>
        <v>546383</v>
      </c>
      <c r="B169" s="1">
        <f>IFERROR(__xludf.DUMMYFUNCTION("""COMPUTED_VALUE"""),22241.0)</f>
        <v>22241</v>
      </c>
      <c r="C169" s="1" t="str">
        <f>IFERROR(__xludf.DUMMYFUNCTION("""COMPUTED_VALUE"""),"Garland wooden happy easter")</f>
        <v>Garland wooden happy easter</v>
      </c>
      <c r="D169" s="1">
        <f>IFERROR(__xludf.DUMMYFUNCTION("""COMPUTED_VALUE"""),12.0)</f>
        <v>12</v>
      </c>
      <c r="E169" s="3">
        <f>IFERROR(__xludf.DUMMYFUNCTION("""COMPUTED_VALUE"""),40613.0)</f>
        <v>40613</v>
      </c>
      <c r="F169" s="1">
        <f>IFERROR(__xludf.DUMMYFUNCTION("""COMPUTED_VALUE"""),1.25)</f>
        <v>1.25</v>
      </c>
      <c r="G169" s="1">
        <f>IFERROR(__xludf.DUMMYFUNCTION("""COMPUTED_VALUE"""),13654.0)</f>
        <v>13654</v>
      </c>
      <c r="H169" s="1">
        <v>15.0</v>
      </c>
      <c r="I169" s="1" t="str">
        <f t="shared" si="2"/>
        <v>Garland</v>
      </c>
      <c r="J169" s="1">
        <f t="shared" si="3"/>
        <v>55</v>
      </c>
      <c r="K169" s="1">
        <f t="shared" si="4"/>
        <v>1</v>
      </c>
      <c r="L169" s="1">
        <f t="shared" si="5"/>
        <v>15</v>
      </c>
    </row>
    <row r="170">
      <c r="A170" s="1">
        <f>IFERROR(__xludf.DUMMYFUNCTION("""COMPUTED_VALUE"""),546107.0)</f>
        <v>546107</v>
      </c>
      <c r="B170" s="1" t="str">
        <f>IFERROR(__xludf.DUMMYFUNCTION("""COMPUTED_VALUE"""),"84997A")</f>
        <v>84997A</v>
      </c>
      <c r="C170" s="1" t="str">
        <f>IFERROR(__xludf.DUMMYFUNCTION("""COMPUTED_VALUE"""),"Childrens cutlery polkadot green")</f>
        <v>Childrens cutlery polkadot green</v>
      </c>
      <c r="D170" s="1">
        <f>IFERROR(__xludf.DUMMYFUNCTION("""COMPUTED_VALUE"""),3.0)</f>
        <v>3</v>
      </c>
      <c r="E170" s="3">
        <f>IFERROR(__xludf.DUMMYFUNCTION("""COMPUTED_VALUE"""),40611.0)</f>
        <v>40611</v>
      </c>
      <c r="F170" s="1">
        <f>IFERROR(__xludf.DUMMYFUNCTION("""COMPUTED_VALUE"""),4.15)</f>
        <v>4.15</v>
      </c>
      <c r="G170" s="1">
        <f>IFERROR(__xludf.DUMMYFUNCTION("""COMPUTED_VALUE"""),17238.0)</f>
        <v>17238</v>
      </c>
      <c r="H170" s="1">
        <v>12.450000000000001</v>
      </c>
      <c r="I170" s="1" t="str">
        <f t="shared" si="2"/>
        <v>Childrens</v>
      </c>
      <c r="J170" s="1">
        <f t="shared" si="3"/>
        <v>57</v>
      </c>
      <c r="K170" s="1">
        <f t="shared" si="4"/>
        <v>1</v>
      </c>
      <c r="L170" s="1">
        <f t="shared" si="5"/>
        <v>12.45</v>
      </c>
    </row>
    <row r="171">
      <c r="A171" s="1">
        <f>IFERROR(__xludf.DUMMYFUNCTION("""COMPUTED_VALUE"""),546749.0)</f>
        <v>546749</v>
      </c>
      <c r="B171" s="1">
        <f>IFERROR(__xludf.DUMMYFUNCTION("""COMPUTED_VALUE"""),22207.0)</f>
        <v>22207</v>
      </c>
      <c r="C171" s="1" t="str">
        <f>IFERROR(__xludf.DUMMYFUNCTION("""COMPUTED_VALUE"""),"Frying pan union flag")</f>
        <v>Frying pan union flag</v>
      </c>
      <c r="D171" s="1">
        <f>IFERROR(__xludf.DUMMYFUNCTION("""COMPUTED_VALUE"""),4.0)</f>
        <v>4</v>
      </c>
      <c r="E171" s="3">
        <f>IFERROR(__xludf.DUMMYFUNCTION("""COMPUTED_VALUE"""),40618.0)</f>
        <v>40618</v>
      </c>
      <c r="F171" s="1">
        <f>IFERROR(__xludf.DUMMYFUNCTION("""COMPUTED_VALUE"""),4.25)</f>
        <v>4.25</v>
      </c>
      <c r="G171" s="1">
        <f>IFERROR(__xludf.DUMMYFUNCTION("""COMPUTED_VALUE"""),14543.0)</f>
        <v>14543</v>
      </c>
      <c r="H171" s="1">
        <v>17.0</v>
      </c>
      <c r="I171" s="1" t="str">
        <f t="shared" si="2"/>
        <v>Frying</v>
      </c>
      <c r="J171" s="1">
        <f t="shared" si="3"/>
        <v>50</v>
      </c>
      <c r="K171" s="1">
        <f t="shared" si="4"/>
        <v>1</v>
      </c>
      <c r="L171" s="1">
        <f t="shared" si="5"/>
        <v>17</v>
      </c>
    </row>
    <row r="172">
      <c r="A172" s="1">
        <f>IFERROR(__xludf.DUMMYFUNCTION("""COMPUTED_VALUE"""),550829.0)</f>
        <v>550829</v>
      </c>
      <c r="B172" s="1">
        <f>IFERROR(__xludf.DUMMYFUNCTION("""COMPUTED_VALUE"""),21056.0)</f>
        <v>21056</v>
      </c>
      <c r="C172" s="1" t="str">
        <f>IFERROR(__xludf.DUMMYFUNCTION("""COMPUTED_VALUE"""),"Doctor's bag soft toy")</f>
        <v>Doctor's bag soft toy</v>
      </c>
      <c r="D172" s="1">
        <f>IFERROR(__xludf.DUMMYFUNCTION("""COMPUTED_VALUE"""),1.0)</f>
        <v>1</v>
      </c>
      <c r="E172" s="3">
        <f>IFERROR(__xludf.DUMMYFUNCTION("""COMPUTED_VALUE"""),40654.0)</f>
        <v>40654</v>
      </c>
      <c r="F172" s="1">
        <f>IFERROR(__xludf.DUMMYFUNCTION("""COMPUTED_VALUE"""),8.95)</f>
        <v>8.95</v>
      </c>
      <c r="G172" s="1">
        <f>IFERROR(__xludf.DUMMYFUNCTION("""COMPUTED_VALUE"""),17841.0)</f>
        <v>17841</v>
      </c>
      <c r="H172" s="1">
        <v>8.95</v>
      </c>
      <c r="I172" s="1" t="str">
        <f t="shared" si="2"/>
        <v>Doctor's</v>
      </c>
      <c r="J172" s="1">
        <f t="shared" si="3"/>
        <v>14</v>
      </c>
      <c r="K172" s="1">
        <f t="shared" si="4"/>
        <v>1</v>
      </c>
      <c r="L172" s="1">
        <f t="shared" si="5"/>
        <v>8.95</v>
      </c>
    </row>
    <row r="173">
      <c r="A173" s="1">
        <f>IFERROR(__xludf.DUMMYFUNCTION("""COMPUTED_VALUE"""),550994.0)</f>
        <v>550994</v>
      </c>
      <c r="B173" s="1">
        <f>IFERROR(__xludf.DUMMYFUNCTION("""COMPUTED_VALUE"""),20677.0)</f>
        <v>20677</v>
      </c>
      <c r="C173" s="1" t="str">
        <f>IFERROR(__xludf.DUMMYFUNCTION("""COMPUTED_VALUE"""),"Pink polkadot bowl")</f>
        <v>Pink polkadot bowl</v>
      </c>
      <c r="D173" s="1">
        <f>IFERROR(__xludf.DUMMYFUNCTION("""COMPUTED_VALUE"""),12.0)</f>
        <v>12</v>
      </c>
      <c r="E173" s="3">
        <f>IFERROR(__xludf.DUMMYFUNCTION("""COMPUTED_VALUE"""),40654.0)</f>
        <v>40654</v>
      </c>
      <c r="F173" s="1">
        <f>IFERROR(__xludf.DUMMYFUNCTION("""COMPUTED_VALUE"""),1.25)</f>
        <v>1.25</v>
      </c>
      <c r="G173" s="1">
        <f>IFERROR(__xludf.DUMMYFUNCTION("""COMPUTED_VALUE"""),14562.0)</f>
        <v>14562</v>
      </c>
      <c r="H173" s="1">
        <v>15.0</v>
      </c>
      <c r="I173" s="1" t="str">
        <f t="shared" si="2"/>
        <v>Pink</v>
      </c>
      <c r="J173" s="1">
        <f t="shared" si="3"/>
        <v>14</v>
      </c>
      <c r="K173" s="1">
        <f t="shared" si="4"/>
        <v>1</v>
      </c>
      <c r="L173" s="1">
        <f t="shared" si="5"/>
        <v>15</v>
      </c>
    </row>
    <row r="174">
      <c r="A174" s="1">
        <f>IFERROR(__xludf.DUMMYFUNCTION("""COMPUTED_VALUE"""),551855.0)</f>
        <v>551855</v>
      </c>
      <c r="B174" s="1">
        <f>IFERROR(__xludf.DUMMYFUNCTION("""COMPUTED_VALUE"""),23230.0)</f>
        <v>23230</v>
      </c>
      <c r="C174" s="1" t="str">
        <f>IFERROR(__xludf.DUMMYFUNCTION("""COMPUTED_VALUE"""),"Wrap alphabet design")</f>
        <v>Wrap alphabet design</v>
      </c>
      <c r="D174" s="1">
        <f>IFERROR(__xludf.DUMMYFUNCTION("""COMPUTED_VALUE"""),25.0)</f>
        <v>25</v>
      </c>
      <c r="E174" s="3">
        <f>IFERROR(__xludf.DUMMYFUNCTION("""COMPUTED_VALUE"""),40667.0)</f>
        <v>40667</v>
      </c>
      <c r="F174" s="1">
        <f>IFERROR(__xludf.DUMMYFUNCTION("""COMPUTED_VALUE"""),0.42)</f>
        <v>0.42</v>
      </c>
      <c r="G174" s="1">
        <f>IFERROR(__xludf.DUMMYFUNCTION("""COMPUTED_VALUE"""),12836.0)</f>
        <v>12836</v>
      </c>
      <c r="H174" s="1">
        <v>10.5</v>
      </c>
      <c r="I174" s="1" t="str">
        <f t="shared" si="2"/>
        <v>Wrap</v>
      </c>
      <c r="J174" s="1">
        <f t="shared" si="3"/>
        <v>1</v>
      </c>
      <c r="K174" s="1">
        <f t="shared" si="4"/>
        <v>1</v>
      </c>
      <c r="L174" s="1">
        <f t="shared" si="5"/>
        <v>10.5</v>
      </c>
    </row>
    <row r="175">
      <c r="A175" s="1">
        <f>IFERROR(__xludf.DUMMYFUNCTION("""COMPUTED_VALUE"""),550630.0)</f>
        <v>550630</v>
      </c>
      <c r="B175" s="1">
        <f>IFERROR(__xludf.DUMMYFUNCTION("""COMPUTED_VALUE"""),84576.0)</f>
        <v>84576</v>
      </c>
      <c r="C175" s="1" t="str">
        <f>IFERROR(__xludf.DUMMYFUNCTION("""COMPUTED_VALUE"""),"Blue cat biscuit barrel pink heart")</f>
        <v>Blue cat biscuit barrel pink heart</v>
      </c>
      <c r="D175" s="1">
        <f>IFERROR(__xludf.DUMMYFUNCTION("""COMPUTED_VALUE"""),12.0)</f>
        <v>12</v>
      </c>
      <c r="E175" s="3">
        <f>IFERROR(__xludf.DUMMYFUNCTION("""COMPUTED_VALUE"""),40652.0)</f>
        <v>40652</v>
      </c>
      <c r="F175" s="1">
        <f>IFERROR(__xludf.DUMMYFUNCTION("""COMPUTED_VALUE"""),1.95)</f>
        <v>1.95</v>
      </c>
      <c r="G175" s="1">
        <f>IFERROR(__xludf.DUMMYFUNCTION("""COMPUTED_VALUE"""),14298.0)</f>
        <v>14298</v>
      </c>
      <c r="H175" s="1">
        <v>23.4</v>
      </c>
      <c r="I175" s="1" t="str">
        <f t="shared" si="2"/>
        <v>Blue</v>
      </c>
      <c r="J175" s="1">
        <f t="shared" si="3"/>
        <v>16</v>
      </c>
      <c r="K175" s="1">
        <f t="shared" si="4"/>
        <v>1</v>
      </c>
      <c r="L175" s="1">
        <f t="shared" si="5"/>
        <v>23.4</v>
      </c>
    </row>
    <row r="176">
      <c r="A176" s="1">
        <f>IFERROR(__xludf.DUMMYFUNCTION("""COMPUTED_VALUE"""),542217.0)</f>
        <v>542217</v>
      </c>
      <c r="B176" s="1">
        <f>IFERROR(__xludf.DUMMYFUNCTION("""COMPUTED_VALUE"""),22156.0)</f>
        <v>22156</v>
      </c>
      <c r="C176" s="1" t="str">
        <f>IFERROR(__xludf.DUMMYFUNCTION("""COMPUTED_VALUE"""),"Heart decoration with pearls")</f>
        <v>Heart decoration with pearls</v>
      </c>
      <c r="D176" s="1">
        <f>IFERROR(__xludf.DUMMYFUNCTION("""COMPUTED_VALUE"""),36.0)</f>
        <v>36</v>
      </c>
      <c r="E176" s="3">
        <f>IFERROR(__xludf.DUMMYFUNCTION("""COMPUTED_VALUE"""),40569.0)</f>
        <v>40569</v>
      </c>
      <c r="F176" s="1">
        <f>IFERROR(__xludf.DUMMYFUNCTION("""COMPUTED_VALUE"""),0.85)</f>
        <v>0.85</v>
      </c>
      <c r="G176" s="1">
        <f>IFERROR(__xludf.DUMMYFUNCTION("""COMPUTED_VALUE"""),14606.0)</f>
        <v>14606</v>
      </c>
      <c r="H176" s="1">
        <v>30.599999999999998</v>
      </c>
      <c r="I176" s="1" t="str">
        <f t="shared" si="2"/>
        <v>Heart</v>
      </c>
      <c r="J176" s="1">
        <f t="shared" si="3"/>
        <v>99</v>
      </c>
      <c r="K176" s="1">
        <f t="shared" si="4"/>
        <v>1</v>
      </c>
      <c r="L176" s="1">
        <f t="shared" si="5"/>
        <v>30.6</v>
      </c>
    </row>
    <row r="177">
      <c r="A177" s="1">
        <f>IFERROR(__xludf.DUMMYFUNCTION("""COMPUTED_VALUE"""),545998.0)</f>
        <v>545998</v>
      </c>
      <c r="B177" s="1" t="str">
        <f>IFERROR(__xludf.DUMMYFUNCTION("""COMPUTED_VALUE"""),"84898F")</f>
        <v>84898F</v>
      </c>
      <c r="C177" s="1" t="str">
        <f>IFERROR(__xludf.DUMMYFUNCTION("""COMPUTED_VALUE"""),"Yellow flowers felt handbag kit")</f>
        <v>Yellow flowers felt handbag kit</v>
      </c>
      <c r="D177" s="1">
        <f>IFERROR(__xludf.DUMMYFUNCTION("""COMPUTED_VALUE"""),6.0)</f>
        <v>6</v>
      </c>
      <c r="E177" s="3">
        <f>IFERROR(__xludf.DUMMYFUNCTION("""COMPUTED_VALUE"""),40610.0)</f>
        <v>40610</v>
      </c>
      <c r="F177" s="1">
        <f>IFERROR(__xludf.DUMMYFUNCTION("""COMPUTED_VALUE"""),2.1)</f>
        <v>2.1</v>
      </c>
      <c r="G177" s="1">
        <f>IFERROR(__xludf.DUMMYFUNCTION("""COMPUTED_VALUE"""),13373.0)</f>
        <v>13373</v>
      </c>
      <c r="H177" s="1">
        <v>12.600000000000001</v>
      </c>
      <c r="I177" s="1" t="str">
        <f t="shared" si="2"/>
        <v>Yellow</v>
      </c>
      <c r="J177" s="1">
        <f t="shared" si="3"/>
        <v>58</v>
      </c>
      <c r="K177" s="1">
        <f t="shared" si="4"/>
        <v>1</v>
      </c>
      <c r="L177" s="1">
        <f t="shared" si="5"/>
        <v>12.6</v>
      </c>
    </row>
    <row r="178">
      <c r="A178" s="1">
        <f>IFERROR(__xludf.DUMMYFUNCTION("""COMPUTED_VALUE"""),546899.0)</f>
        <v>546899</v>
      </c>
      <c r="B178" s="1">
        <f>IFERROR(__xludf.DUMMYFUNCTION("""COMPUTED_VALUE"""),20724.0)</f>
        <v>20724</v>
      </c>
      <c r="C178" s="1" t="str">
        <f>IFERROR(__xludf.DUMMYFUNCTION("""COMPUTED_VALUE"""),"Red retrospot charlotte bag")</f>
        <v>Red retrospot charlotte bag</v>
      </c>
      <c r="D178" s="1">
        <f>IFERROR(__xludf.DUMMYFUNCTION("""COMPUTED_VALUE"""),50.0)</f>
        <v>50</v>
      </c>
      <c r="E178" s="3">
        <f>IFERROR(__xludf.DUMMYFUNCTION("""COMPUTED_VALUE"""),40619.0)</f>
        <v>40619</v>
      </c>
      <c r="F178" s="1">
        <f>IFERROR(__xludf.DUMMYFUNCTION("""COMPUTED_VALUE"""),0.72)</f>
        <v>0.72</v>
      </c>
      <c r="G178" s="1">
        <f>IFERROR(__xludf.DUMMYFUNCTION("""COMPUTED_VALUE"""),14298.0)</f>
        <v>14298</v>
      </c>
      <c r="H178" s="1">
        <v>36.0</v>
      </c>
      <c r="I178" s="1" t="str">
        <f t="shared" si="2"/>
        <v>Red</v>
      </c>
      <c r="J178" s="1">
        <f t="shared" si="3"/>
        <v>49</v>
      </c>
      <c r="K178" s="1">
        <f t="shared" si="4"/>
        <v>1</v>
      </c>
      <c r="L178" s="1">
        <f t="shared" si="5"/>
        <v>36</v>
      </c>
    </row>
    <row r="179">
      <c r="A179" s="1">
        <f>IFERROR(__xludf.DUMMYFUNCTION("""COMPUTED_VALUE"""),538371.0)</f>
        <v>538371</v>
      </c>
      <c r="B179" s="1">
        <f>IFERROR(__xludf.DUMMYFUNCTION("""COMPUTED_VALUE"""),22601.0)</f>
        <v>22601</v>
      </c>
      <c r="C179" s="1" t="str">
        <f>IFERROR(__xludf.DUMMYFUNCTION("""COMPUTED_VALUE"""),"Christmas retrospot angel wood")</f>
        <v>Christmas retrospot angel wood</v>
      </c>
      <c r="D179" s="1">
        <f>IFERROR(__xludf.DUMMYFUNCTION("""COMPUTED_VALUE"""),5.0)</f>
        <v>5</v>
      </c>
      <c r="E179" s="3">
        <f>IFERROR(__xludf.DUMMYFUNCTION("""COMPUTED_VALUE"""),40524.0)</f>
        <v>40524</v>
      </c>
      <c r="F179" s="1">
        <f>IFERROR(__xludf.DUMMYFUNCTION("""COMPUTED_VALUE"""),0.85)</f>
        <v>0.85</v>
      </c>
      <c r="G179" s="1">
        <f>IFERROR(__xludf.DUMMYFUNCTION("""COMPUTED_VALUE"""),15570.0)</f>
        <v>15570</v>
      </c>
      <c r="H179" s="1">
        <v>4.25</v>
      </c>
      <c r="I179" s="1" t="str">
        <f t="shared" si="2"/>
        <v>Christmas</v>
      </c>
      <c r="J179" s="1">
        <f t="shared" si="3"/>
        <v>144</v>
      </c>
      <c r="K179" s="1">
        <f t="shared" si="4"/>
        <v>1</v>
      </c>
      <c r="L179" s="1">
        <f t="shared" si="5"/>
        <v>4.25</v>
      </c>
    </row>
    <row r="180">
      <c r="A180" s="1">
        <f>IFERROR(__xludf.DUMMYFUNCTION("""COMPUTED_VALUE"""),539240.0)</f>
        <v>539240</v>
      </c>
      <c r="B180" s="1" t="str">
        <f>IFERROR(__xludf.DUMMYFUNCTION("""COMPUTED_VALUE"""),"85036C")</f>
        <v>85036C</v>
      </c>
      <c r="C180" s="1" t="str">
        <f>IFERROR(__xludf.DUMMYFUNCTION("""COMPUTED_VALUE"""),"Rose 1 wick morris boxed candle")</f>
        <v>Rose 1 wick morris boxed candle</v>
      </c>
      <c r="D180" s="1">
        <f>IFERROR(__xludf.DUMMYFUNCTION("""COMPUTED_VALUE"""),24.0)</f>
        <v>24</v>
      </c>
      <c r="E180" s="3">
        <f>IFERROR(__xludf.DUMMYFUNCTION("""COMPUTED_VALUE"""),40528.0)</f>
        <v>40528</v>
      </c>
      <c r="F180" s="1">
        <f>IFERROR(__xludf.DUMMYFUNCTION("""COMPUTED_VALUE"""),1.85)</f>
        <v>1.85</v>
      </c>
      <c r="G180" s="1">
        <f>IFERROR(__xludf.DUMMYFUNCTION("""COMPUTED_VALUE"""),15194.0)</f>
        <v>15194</v>
      </c>
      <c r="H180" s="1">
        <v>44.400000000000006</v>
      </c>
      <c r="I180" s="1" t="str">
        <f t="shared" si="2"/>
        <v>Rose</v>
      </c>
      <c r="J180" s="1">
        <f t="shared" si="3"/>
        <v>140</v>
      </c>
      <c r="K180" s="1">
        <f t="shared" si="4"/>
        <v>1</v>
      </c>
      <c r="L180" s="1">
        <f t="shared" si="5"/>
        <v>44.4</v>
      </c>
    </row>
    <row r="181">
      <c r="A181" s="1">
        <f>IFERROR(__xludf.DUMMYFUNCTION("""COMPUTED_VALUE"""),544918.0)</f>
        <v>544918</v>
      </c>
      <c r="B181" s="1">
        <f>IFERROR(__xludf.DUMMYFUNCTION("""COMPUTED_VALUE"""),21086.0)</f>
        <v>21086</v>
      </c>
      <c r="C181" s="1" t="str">
        <f>IFERROR(__xludf.DUMMYFUNCTION("""COMPUTED_VALUE"""),"Set/6 red spotty paper cups")</f>
        <v>Set/6 red spotty paper cups</v>
      </c>
      <c r="D181" s="1">
        <f>IFERROR(__xludf.DUMMYFUNCTION("""COMPUTED_VALUE"""),24.0)</f>
        <v>24</v>
      </c>
      <c r="E181" s="3">
        <f>IFERROR(__xludf.DUMMYFUNCTION("""COMPUTED_VALUE"""),40598.0)</f>
        <v>40598</v>
      </c>
      <c r="F181" s="1">
        <f>IFERROR(__xludf.DUMMYFUNCTION("""COMPUTED_VALUE"""),0.65)</f>
        <v>0.65</v>
      </c>
      <c r="G181" s="1">
        <f>IFERROR(__xludf.DUMMYFUNCTION("""COMPUTED_VALUE"""),13081.0)</f>
        <v>13081</v>
      </c>
      <c r="H181" s="1">
        <v>15.600000000000001</v>
      </c>
      <c r="I181" s="1" t="str">
        <f t="shared" si="2"/>
        <v>Set/6</v>
      </c>
      <c r="J181" s="1">
        <f t="shared" si="3"/>
        <v>70</v>
      </c>
      <c r="K181" s="1">
        <f t="shared" si="4"/>
        <v>2</v>
      </c>
      <c r="L181" s="1">
        <f t="shared" si="5"/>
        <v>36</v>
      </c>
    </row>
    <row r="182">
      <c r="A182" s="1">
        <f>IFERROR(__xludf.DUMMYFUNCTION("""COMPUTED_VALUE"""),546155.0)</f>
        <v>546155</v>
      </c>
      <c r="B182" s="1">
        <f>IFERROR(__xludf.DUMMYFUNCTION("""COMPUTED_VALUE"""),85088.0)</f>
        <v>85088</v>
      </c>
      <c r="C182" s="1" t="str">
        <f>IFERROR(__xludf.DUMMYFUNCTION("""COMPUTED_VALUE"""),"Candy spot hand bag")</f>
        <v>Candy spot hand bag</v>
      </c>
      <c r="D182" s="1">
        <f>IFERROR(__xludf.DUMMYFUNCTION("""COMPUTED_VALUE"""),6.0)</f>
        <v>6</v>
      </c>
      <c r="E182" s="3">
        <f>IFERROR(__xludf.DUMMYFUNCTION("""COMPUTED_VALUE"""),40612.0)</f>
        <v>40612</v>
      </c>
      <c r="F182" s="1">
        <f>IFERROR(__xludf.DUMMYFUNCTION("""COMPUTED_VALUE"""),2.1)</f>
        <v>2.1</v>
      </c>
      <c r="G182" s="1">
        <f>IFERROR(__xludf.DUMMYFUNCTION("""COMPUTED_VALUE"""),15632.0)</f>
        <v>15632</v>
      </c>
      <c r="H182" s="1">
        <v>12.600000000000001</v>
      </c>
      <c r="I182" s="1" t="str">
        <f t="shared" si="2"/>
        <v>Candy</v>
      </c>
      <c r="J182" s="1">
        <f t="shared" si="3"/>
        <v>56</v>
      </c>
      <c r="K182" s="1">
        <f t="shared" si="4"/>
        <v>1</v>
      </c>
      <c r="L182" s="1">
        <f t="shared" si="5"/>
        <v>12.6</v>
      </c>
    </row>
    <row r="183">
      <c r="A183" s="1">
        <f>IFERROR(__xludf.DUMMYFUNCTION("""COMPUTED_VALUE"""),543393.0)</f>
        <v>543393</v>
      </c>
      <c r="B183" s="1">
        <f>IFERROR(__xludf.DUMMYFUNCTION("""COMPUTED_VALUE"""),22385.0)</f>
        <v>22385</v>
      </c>
      <c r="C183" s="1" t="str">
        <f>IFERROR(__xludf.DUMMYFUNCTION("""COMPUTED_VALUE"""),"Jumbo bag spaceboy design")</f>
        <v>Jumbo bag spaceboy design</v>
      </c>
      <c r="D183" s="1">
        <f>IFERROR(__xludf.DUMMYFUNCTION("""COMPUTED_VALUE"""),10.0)</f>
        <v>10</v>
      </c>
      <c r="E183" s="3">
        <f>IFERROR(__xludf.DUMMYFUNCTION("""COMPUTED_VALUE"""),40582.0)</f>
        <v>40582</v>
      </c>
      <c r="F183" s="1">
        <f>IFERROR(__xludf.DUMMYFUNCTION("""COMPUTED_VALUE"""),1.95)</f>
        <v>1.95</v>
      </c>
      <c r="G183" s="1">
        <f>IFERROR(__xludf.DUMMYFUNCTION("""COMPUTED_VALUE"""),13534.0)</f>
        <v>13534</v>
      </c>
      <c r="H183" s="1">
        <v>19.5</v>
      </c>
      <c r="I183" s="1" t="str">
        <f t="shared" si="2"/>
        <v>Jumbo</v>
      </c>
      <c r="J183" s="1">
        <f t="shared" si="3"/>
        <v>86</v>
      </c>
      <c r="K183" s="1">
        <f t="shared" si="4"/>
        <v>1</v>
      </c>
      <c r="L183" s="1">
        <f t="shared" si="5"/>
        <v>19.5</v>
      </c>
    </row>
    <row r="184">
      <c r="A184" s="1">
        <f>IFERROR(__xludf.DUMMYFUNCTION("""COMPUTED_VALUE"""),541875.0)</f>
        <v>541875</v>
      </c>
      <c r="B184" s="1">
        <f>IFERROR(__xludf.DUMMYFUNCTION("""COMPUTED_VALUE"""),22708.0)</f>
        <v>22708</v>
      </c>
      <c r="C184" s="1" t="str">
        <f>IFERROR(__xludf.DUMMYFUNCTION("""COMPUTED_VALUE"""),"Wrap dolly girl")</f>
        <v>Wrap dolly girl</v>
      </c>
      <c r="D184" s="1">
        <f>IFERROR(__xludf.DUMMYFUNCTION("""COMPUTED_VALUE"""),25.0)</f>
        <v>25</v>
      </c>
      <c r="E184" s="3">
        <f>IFERROR(__xludf.DUMMYFUNCTION("""COMPUTED_VALUE"""),40567.0)</f>
        <v>40567</v>
      </c>
      <c r="F184" s="1">
        <f>IFERROR(__xludf.DUMMYFUNCTION("""COMPUTED_VALUE"""),0.42)</f>
        <v>0.42</v>
      </c>
      <c r="G184" s="1">
        <f>IFERROR(__xludf.DUMMYFUNCTION("""COMPUTED_VALUE"""),16558.0)</f>
        <v>16558</v>
      </c>
      <c r="H184" s="1">
        <v>10.5</v>
      </c>
      <c r="I184" s="1" t="str">
        <f t="shared" si="2"/>
        <v>Wrap</v>
      </c>
      <c r="J184" s="1">
        <f t="shared" si="3"/>
        <v>101</v>
      </c>
      <c r="K184" s="1">
        <f t="shared" si="4"/>
        <v>1</v>
      </c>
      <c r="L184" s="1">
        <f t="shared" si="5"/>
        <v>10.5</v>
      </c>
    </row>
    <row r="185">
      <c r="A185" s="1">
        <f>IFERROR(__xludf.DUMMYFUNCTION("""COMPUTED_VALUE"""),543036.0)</f>
        <v>543036</v>
      </c>
      <c r="B185" s="1">
        <f>IFERROR(__xludf.DUMMYFUNCTION("""COMPUTED_VALUE"""),22132.0)</f>
        <v>22132</v>
      </c>
      <c r="C185" s="1" t="str">
        <f>IFERROR(__xludf.DUMMYFUNCTION("""COMPUTED_VALUE"""),"Red love heart shape cup")</f>
        <v>Red love heart shape cup</v>
      </c>
      <c r="D185" s="1">
        <f>IFERROR(__xludf.DUMMYFUNCTION("""COMPUTED_VALUE"""),6.0)</f>
        <v>6</v>
      </c>
      <c r="E185" s="3">
        <f>IFERROR(__xludf.DUMMYFUNCTION("""COMPUTED_VALUE"""),40576.0)</f>
        <v>40576</v>
      </c>
      <c r="F185" s="1">
        <f>IFERROR(__xludf.DUMMYFUNCTION("""COMPUTED_VALUE"""),0.85)</f>
        <v>0.85</v>
      </c>
      <c r="G185" s="1">
        <f>IFERROR(__xludf.DUMMYFUNCTION("""COMPUTED_VALUE"""),17223.0)</f>
        <v>17223</v>
      </c>
      <c r="H185" s="1">
        <v>5.1</v>
      </c>
      <c r="I185" s="1" t="str">
        <f t="shared" si="2"/>
        <v>Red</v>
      </c>
      <c r="J185" s="1">
        <f t="shared" si="3"/>
        <v>92</v>
      </c>
      <c r="K185" s="1">
        <f t="shared" si="4"/>
        <v>1</v>
      </c>
      <c r="L185" s="1">
        <f t="shared" si="5"/>
        <v>5.1</v>
      </c>
    </row>
    <row r="186">
      <c r="A186" s="1">
        <f>IFERROR(__xludf.DUMMYFUNCTION("""COMPUTED_VALUE"""),550956.0)</f>
        <v>550956</v>
      </c>
      <c r="B186" s="1">
        <f>IFERROR(__xludf.DUMMYFUNCTION("""COMPUTED_VALUE"""),22383.0)</f>
        <v>22383</v>
      </c>
      <c r="C186" s="1" t="str">
        <f>IFERROR(__xludf.DUMMYFUNCTION("""COMPUTED_VALUE"""),"Lunch bag suki design")</f>
        <v>Lunch bag suki design</v>
      </c>
      <c r="D186" s="1">
        <f>IFERROR(__xludf.DUMMYFUNCTION("""COMPUTED_VALUE"""),2.0)</f>
        <v>2</v>
      </c>
      <c r="E186" s="3">
        <f>IFERROR(__xludf.DUMMYFUNCTION("""COMPUTED_VALUE"""),40654.0)</f>
        <v>40654</v>
      </c>
      <c r="F186" s="1">
        <f>IFERROR(__xludf.DUMMYFUNCTION("""COMPUTED_VALUE"""),1.65)</f>
        <v>1.65</v>
      </c>
      <c r="G186" s="1">
        <f>IFERROR(__xludf.DUMMYFUNCTION("""COMPUTED_VALUE"""),17179.0)</f>
        <v>17179</v>
      </c>
      <c r="H186" s="1">
        <v>3.3</v>
      </c>
      <c r="I186" s="1" t="str">
        <f t="shared" si="2"/>
        <v>Lunch</v>
      </c>
      <c r="J186" s="1">
        <f t="shared" si="3"/>
        <v>14</v>
      </c>
      <c r="K186" s="1">
        <f t="shared" si="4"/>
        <v>1</v>
      </c>
      <c r="L186" s="1">
        <f t="shared" si="5"/>
        <v>3.3</v>
      </c>
    </row>
    <row r="187">
      <c r="A187" s="1">
        <f>IFERROR(__xludf.DUMMYFUNCTION("""COMPUTED_VALUE"""),548698.0)</f>
        <v>548698</v>
      </c>
      <c r="B187" s="1">
        <f>IFERROR(__xludf.DUMMYFUNCTION("""COMPUTED_VALUE"""),21259.0)</f>
        <v>21259</v>
      </c>
      <c r="C187" s="1" t="str">
        <f>IFERROR(__xludf.DUMMYFUNCTION("""COMPUTED_VALUE"""),"Victorian sewing box small")</f>
        <v>Victorian sewing box small</v>
      </c>
      <c r="D187" s="1">
        <f>IFERROR(__xludf.DUMMYFUNCTION("""COMPUTED_VALUE"""),3.0)</f>
        <v>3</v>
      </c>
      <c r="E187" s="3">
        <f>IFERROR(__xludf.DUMMYFUNCTION("""COMPUTED_VALUE"""),40636.0)</f>
        <v>40636</v>
      </c>
      <c r="F187" s="1">
        <f>IFERROR(__xludf.DUMMYFUNCTION("""COMPUTED_VALUE"""),5.95)</f>
        <v>5.95</v>
      </c>
      <c r="G187" s="1">
        <f>IFERROR(__xludf.DUMMYFUNCTION("""COMPUTED_VALUE"""),18109.0)</f>
        <v>18109</v>
      </c>
      <c r="H187" s="1">
        <v>17.85</v>
      </c>
      <c r="I187" s="1" t="str">
        <f t="shared" si="2"/>
        <v>Victorian</v>
      </c>
      <c r="J187" s="1">
        <f t="shared" si="3"/>
        <v>32</v>
      </c>
      <c r="K187" s="1">
        <f t="shared" si="4"/>
        <v>1</v>
      </c>
      <c r="L187" s="1">
        <f t="shared" si="5"/>
        <v>17.85</v>
      </c>
    </row>
    <row r="188">
      <c r="A188" s="1">
        <f>IFERROR(__xludf.DUMMYFUNCTION("""COMPUTED_VALUE"""),552010.0)</f>
        <v>552010</v>
      </c>
      <c r="B188" s="1">
        <f>IFERROR(__xludf.DUMMYFUNCTION("""COMPUTED_VALUE"""),21136.0)</f>
        <v>21136</v>
      </c>
      <c r="C188" s="1" t="str">
        <f>IFERROR(__xludf.DUMMYFUNCTION("""COMPUTED_VALUE"""),"Painted metal pears assorted")</f>
        <v>Painted metal pears assorted</v>
      </c>
      <c r="D188" s="1">
        <f>IFERROR(__xludf.DUMMYFUNCTION("""COMPUTED_VALUE"""),4.0)</f>
        <v>4</v>
      </c>
      <c r="E188" s="3">
        <f>IFERROR(__xludf.DUMMYFUNCTION("""COMPUTED_VALUE"""),40668.0)</f>
        <v>40668</v>
      </c>
      <c r="F188" s="1">
        <f>IFERROR(__xludf.DUMMYFUNCTION("""COMPUTED_VALUE"""),1.69)</f>
        <v>1.69</v>
      </c>
      <c r="G188" s="1">
        <f>IFERROR(__xludf.DUMMYFUNCTION("""COMPUTED_VALUE"""),14713.0)</f>
        <v>14713</v>
      </c>
      <c r="H188" s="1">
        <v>6.76</v>
      </c>
      <c r="I188" s="1" t="str">
        <f t="shared" si="2"/>
        <v>Painted</v>
      </c>
      <c r="J188" s="1">
        <f t="shared" si="3"/>
        <v>0</v>
      </c>
      <c r="K188" s="1">
        <f t="shared" si="4"/>
        <v>1</v>
      </c>
      <c r="L188" s="1">
        <f t="shared" si="5"/>
        <v>6.76</v>
      </c>
    </row>
    <row r="189">
      <c r="A189" s="1">
        <f>IFERROR(__xludf.DUMMYFUNCTION("""COMPUTED_VALUE"""),543542.0)</f>
        <v>543542</v>
      </c>
      <c r="B189" s="1">
        <f>IFERROR(__xludf.DUMMYFUNCTION("""COMPUTED_VALUE"""),22498.0)</f>
        <v>22498</v>
      </c>
      <c r="C189" s="1" t="str">
        <f>IFERROR(__xludf.DUMMYFUNCTION("""COMPUTED_VALUE"""),"Wooden regatta bunting")</f>
        <v>Wooden regatta bunting</v>
      </c>
      <c r="D189" s="1">
        <f>IFERROR(__xludf.DUMMYFUNCTION("""COMPUTED_VALUE"""),3.0)</f>
        <v>3</v>
      </c>
      <c r="E189" s="3">
        <f>IFERROR(__xludf.DUMMYFUNCTION("""COMPUTED_VALUE"""),40583.0)</f>
        <v>40583</v>
      </c>
      <c r="F189" s="1">
        <f>IFERROR(__xludf.DUMMYFUNCTION("""COMPUTED_VALUE"""),5.95)</f>
        <v>5.95</v>
      </c>
      <c r="G189" s="1">
        <f>IFERROR(__xludf.DUMMYFUNCTION("""COMPUTED_VALUE"""),16607.0)</f>
        <v>16607</v>
      </c>
      <c r="H189" s="1">
        <v>17.85</v>
      </c>
      <c r="I189" s="1" t="str">
        <f t="shared" si="2"/>
        <v>Wooden</v>
      </c>
      <c r="J189" s="1">
        <f t="shared" si="3"/>
        <v>78</v>
      </c>
      <c r="K189" s="1">
        <f t="shared" si="4"/>
        <v>1</v>
      </c>
      <c r="L189" s="1">
        <f t="shared" si="5"/>
        <v>17.85</v>
      </c>
    </row>
    <row r="190">
      <c r="A190" s="1">
        <f>IFERROR(__xludf.DUMMYFUNCTION("""COMPUTED_VALUE"""),539760.0)</f>
        <v>539760</v>
      </c>
      <c r="B190" s="1">
        <f>IFERROR(__xludf.DUMMYFUNCTION("""COMPUTED_VALUE"""),21739.0)</f>
        <v>21739</v>
      </c>
      <c r="C190" s="1" t="str">
        <f>IFERROR(__xludf.DUMMYFUNCTION("""COMPUTED_VALUE"""),"Cosy slipper shoes small green")</f>
        <v>Cosy slipper shoes small green</v>
      </c>
      <c r="D190" s="1">
        <f>IFERROR(__xludf.DUMMYFUNCTION("""COMPUTED_VALUE"""),3.0)</f>
        <v>3</v>
      </c>
      <c r="E190" s="3">
        <f>IFERROR(__xludf.DUMMYFUNCTION("""COMPUTED_VALUE"""),40533.0)</f>
        <v>40533</v>
      </c>
      <c r="F190" s="1">
        <f>IFERROR(__xludf.DUMMYFUNCTION("""COMPUTED_VALUE"""),2.95)</f>
        <v>2.95</v>
      </c>
      <c r="G190" s="1">
        <f>IFERROR(__xludf.DUMMYFUNCTION("""COMPUTED_VALUE"""),17400.0)</f>
        <v>17400</v>
      </c>
      <c r="H190" s="1">
        <v>8.850000000000001</v>
      </c>
      <c r="I190" s="1" t="str">
        <f t="shared" si="2"/>
        <v>Cosy</v>
      </c>
      <c r="J190" s="1">
        <f t="shared" si="3"/>
        <v>128</v>
      </c>
      <c r="K190" s="1">
        <f t="shared" si="4"/>
        <v>1</v>
      </c>
      <c r="L190" s="1">
        <f t="shared" si="5"/>
        <v>8.85</v>
      </c>
    </row>
    <row r="191">
      <c r="A191" s="1">
        <f>IFERROR(__xludf.DUMMYFUNCTION("""COMPUTED_VALUE"""),540464.0)</f>
        <v>540464</v>
      </c>
      <c r="B191" s="1">
        <f>IFERROR(__xludf.DUMMYFUNCTION("""COMPUTED_VALUE"""),22699.0)</f>
        <v>22699</v>
      </c>
      <c r="C191" s="1" t="str">
        <f>IFERROR(__xludf.DUMMYFUNCTION("""COMPUTED_VALUE"""),"Roses regency teacup and saucer")</f>
        <v>Roses regency teacup and saucer</v>
      </c>
      <c r="D191" s="1">
        <f>IFERROR(__xludf.DUMMYFUNCTION("""COMPUTED_VALUE"""),12.0)</f>
        <v>12</v>
      </c>
      <c r="E191" s="3">
        <f>IFERROR(__xludf.DUMMYFUNCTION("""COMPUTED_VALUE"""),40550.0)</f>
        <v>40550</v>
      </c>
      <c r="F191" s="1">
        <f>IFERROR(__xludf.DUMMYFUNCTION("""COMPUTED_VALUE"""),2.55)</f>
        <v>2.55</v>
      </c>
      <c r="G191" s="1">
        <f>IFERROR(__xludf.DUMMYFUNCTION("""COMPUTED_VALUE"""),14298.0)</f>
        <v>14298</v>
      </c>
      <c r="H191" s="1">
        <v>30.599999999999998</v>
      </c>
      <c r="I191" s="1" t="str">
        <f t="shared" si="2"/>
        <v>Roses</v>
      </c>
      <c r="J191" s="1">
        <f t="shared" si="3"/>
        <v>111</v>
      </c>
      <c r="K191" s="1">
        <f t="shared" si="4"/>
        <v>1</v>
      </c>
      <c r="L191" s="1">
        <f t="shared" si="5"/>
        <v>30.6</v>
      </c>
    </row>
    <row r="192">
      <c r="A192" s="1">
        <f>IFERROR(__xludf.DUMMYFUNCTION("""COMPUTED_VALUE"""),547371.0)</f>
        <v>547371</v>
      </c>
      <c r="B192" s="1" t="str">
        <f>IFERROR(__xludf.DUMMYFUNCTION("""COMPUTED_VALUE"""),"82494L")</f>
        <v>82494L</v>
      </c>
      <c r="C192" s="1" t="str">
        <f>IFERROR(__xludf.DUMMYFUNCTION("""COMPUTED_VALUE"""),"Wooden frame antique white")</f>
        <v>Wooden frame antique white</v>
      </c>
      <c r="D192" s="1">
        <f>IFERROR(__xludf.DUMMYFUNCTION("""COMPUTED_VALUE"""),12.0)</f>
        <v>12</v>
      </c>
      <c r="E192" s="3">
        <f>IFERROR(__xludf.DUMMYFUNCTION("""COMPUTED_VALUE"""),40624.0)</f>
        <v>40624</v>
      </c>
      <c r="F192" s="1">
        <f>IFERROR(__xludf.DUMMYFUNCTION("""COMPUTED_VALUE"""),2.95)</f>
        <v>2.95</v>
      </c>
      <c r="G192" s="1">
        <f>IFERROR(__xludf.DUMMYFUNCTION("""COMPUTED_VALUE"""),14377.0)</f>
        <v>14377</v>
      </c>
      <c r="H192" s="1">
        <v>35.400000000000006</v>
      </c>
      <c r="I192" s="1" t="str">
        <f t="shared" si="2"/>
        <v>Wooden</v>
      </c>
      <c r="J192" s="1">
        <f t="shared" si="3"/>
        <v>37</v>
      </c>
      <c r="K192" s="1">
        <f t="shared" si="4"/>
        <v>1</v>
      </c>
      <c r="L192" s="1">
        <f t="shared" si="5"/>
        <v>35.4</v>
      </c>
    </row>
    <row r="193">
      <c r="A193" s="1">
        <f>IFERROR(__xludf.DUMMYFUNCTION("""COMPUTED_VALUE"""),542608.0)</f>
        <v>542608</v>
      </c>
      <c r="B193" s="1">
        <f>IFERROR(__xludf.DUMMYFUNCTION("""COMPUTED_VALUE"""),20617.0)</f>
        <v>20617</v>
      </c>
      <c r="C193" s="1" t="str">
        <f>IFERROR(__xludf.DUMMYFUNCTION("""COMPUTED_VALUE"""),"First class passport cover")</f>
        <v>First class passport cover</v>
      </c>
      <c r="D193" s="1">
        <f>IFERROR(__xludf.DUMMYFUNCTION("""COMPUTED_VALUE"""),1.0)</f>
        <v>1</v>
      </c>
      <c r="E193" s="3">
        <f>IFERROR(__xludf.DUMMYFUNCTION("""COMPUTED_VALUE"""),40573.0)</f>
        <v>40573</v>
      </c>
      <c r="F193" s="1">
        <f>IFERROR(__xludf.DUMMYFUNCTION("""COMPUTED_VALUE"""),2.1)</f>
        <v>2.1</v>
      </c>
      <c r="G193" s="1">
        <f>IFERROR(__xludf.DUMMYFUNCTION("""COMPUTED_VALUE"""),16770.0)</f>
        <v>16770</v>
      </c>
      <c r="H193" s="1">
        <v>2.1</v>
      </c>
      <c r="I193" s="1" t="str">
        <f t="shared" si="2"/>
        <v>First</v>
      </c>
      <c r="J193" s="1">
        <f t="shared" si="3"/>
        <v>88</v>
      </c>
      <c r="K193" s="1">
        <f t="shared" si="4"/>
        <v>1</v>
      </c>
      <c r="L193" s="1">
        <f t="shared" si="5"/>
        <v>2.1</v>
      </c>
    </row>
    <row r="194">
      <c r="A194" s="1">
        <f>IFERROR(__xludf.DUMMYFUNCTION("""COMPUTED_VALUE"""),549943.0)</f>
        <v>549943</v>
      </c>
      <c r="B194" s="1">
        <f>IFERROR(__xludf.DUMMYFUNCTION("""COMPUTED_VALUE"""),20670.0)</f>
        <v>20670</v>
      </c>
      <c r="C194" s="1" t="str">
        <f>IFERROR(__xludf.DUMMYFUNCTION("""COMPUTED_VALUE"""),"Vip holiday purse")</f>
        <v>Vip holiday purse</v>
      </c>
      <c r="D194" s="1">
        <f>IFERROR(__xludf.DUMMYFUNCTION("""COMPUTED_VALUE"""),1.0)</f>
        <v>1</v>
      </c>
      <c r="E194" s="3">
        <f>IFERROR(__xludf.DUMMYFUNCTION("""COMPUTED_VALUE"""),40646.0)</f>
        <v>40646</v>
      </c>
      <c r="F194" s="1">
        <f>IFERROR(__xludf.DUMMYFUNCTION("""COMPUTED_VALUE"""),2.95)</f>
        <v>2.95</v>
      </c>
      <c r="G194" s="1">
        <f>IFERROR(__xludf.DUMMYFUNCTION("""COMPUTED_VALUE"""),13544.0)</f>
        <v>13544</v>
      </c>
      <c r="H194" s="1">
        <v>2.95</v>
      </c>
      <c r="I194" s="1" t="str">
        <f t="shared" si="2"/>
        <v>Vip</v>
      </c>
      <c r="J194" s="1">
        <f t="shared" si="3"/>
        <v>15</v>
      </c>
      <c r="K194" s="1">
        <f t="shared" si="4"/>
        <v>1</v>
      </c>
      <c r="L194" s="1">
        <f t="shared" si="5"/>
        <v>2.95</v>
      </c>
    </row>
    <row r="195">
      <c r="A195" s="1">
        <f>IFERROR(__xludf.DUMMYFUNCTION("""COMPUTED_VALUE"""),547382.0)</f>
        <v>547382</v>
      </c>
      <c r="B195" s="1">
        <f>IFERROR(__xludf.DUMMYFUNCTION("""COMPUTED_VALUE"""),21181.0)</f>
        <v>21181</v>
      </c>
      <c r="C195" s="1" t="str">
        <f>IFERROR(__xludf.DUMMYFUNCTION("""COMPUTED_VALUE"""),"Please one person metal sign")</f>
        <v>Please one person metal sign</v>
      </c>
      <c r="D195" s="1">
        <f>IFERROR(__xludf.DUMMYFUNCTION("""COMPUTED_VALUE"""),2.0)</f>
        <v>2</v>
      </c>
      <c r="E195" s="3">
        <f>IFERROR(__xludf.DUMMYFUNCTION("""COMPUTED_VALUE"""),40624.0)</f>
        <v>40624</v>
      </c>
      <c r="F195" s="1">
        <f>IFERROR(__xludf.DUMMYFUNCTION("""COMPUTED_VALUE"""),2.1)</f>
        <v>2.1</v>
      </c>
      <c r="G195" s="1">
        <f>IFERROR(__xludf.DUMMYFUNCTION("""COMPUTED_VALUE"""),15457.0)</f>
        <v>15457</v>
      </c>
      <c r="H195" s="1">
        <v>4.2</v>
      </c>
      <c r="I195" s="1" t="str">
        <f t="shared" si="2"/>
        <v>Please</v>
      </c>
      <c r="J195" s="1">
        <f t="shared" si="3"/>
        <v>37</v>
      </c>
      <c r="K195" s="1">
        <f t="shared" si="4"/>
        <v>1</v>
      </c>
      <c r="L195" s="1">
        <f t="shared" si="5"/>
        <v>4.2</v>
      </c>
    </row>
    <row r="196">
      <c r="A196" s="1">
        <f>IFERROR(__xludf.DUMMYFUNCTION("""COMPUTED_VALUE"""),544452.0)</f>
        <v>544452</v>
      </c>
      <c r="B196" s="1">
        <f>IFERROR(__xludf.DUMMYFUNCTION("""COMPUTED_VALUE"""),22740.0)</f>
        <v>22740</v>
      </c>
      <c r="C196" s="1" t="str">
        <f>IFERROR(__xludf.DUMMYFUNCTION("""COMPUTED_VALUE"""),"Polkadot pen")</f>
        <v>Polkadot pen</v>
      </c>
      <c r="D196" s="1">
        <f>IFERROR(__xludf.DUMMYFUNCTION("""COMPUTED_VALUE"""),48.0)</f>
        <v>48</v>
      </c>
      <c r="E196" s="3">
        <f>IFERROR(__xludf.DUMMYFUNCTION("""COMPUTED_VALUE"""),40594.0)</f>
        <v>40594</v>
      </c>
      <c r="F196" s="1">
        <f>IFERROR(__xludf.DUMMYFUNCTION("""COMPUTED_VALUE"""),0.85)</f>
        <v>0.85</v>
      </c>
      <c r="G196" s="1">
        <f>IFERROR(__xludf.DUMMYFUNCTION("""COMPUTED_VALUE"""),14162.0)</f>
        <v>14162</v>
      </c>
      <c r="H196" s="1">
        <v>40.8</v>
      </c>
      <c r="I196" s="1" t="str">
        <f t="shared" si="2"/>
        <v>Polkadot</v>
      </c>
      <c r="J196" s="1">
        <f t="shared" si="3"/>
        <v>67</v>
      </c>
      <c r="K196" s="1">
        <f t="shared" si="4"/>
        <v>1</v>
      </c>
      <c r="L196" s="1">
        <f t="shared" si="5"/>
        <v>40.8</v>
      </c>
    </row>
    <row r="197">
      <c r="A197" s="1">
        <f>IFERROR(__xludf.DUMMYFUNCTION("""COMPUTED_VALUE"""),544673.0)</f>
        <v>544673</v>
      </c>
      <c r="B197" s="1">
        <f>IFERROR(__xludf.DUMMYFUNCTION("""COMPUTED_VALUE"""),84836.0)</f>
        <v>84836</v>
      </c>
      <c r="C197" s="1" t="str">
        <f>IFERROR(__xludf.DUMMYFUNCTION("""COMPUTED_VALUE"""),"Zinc metal heart decoration")</f>
        <v>Zinc metal heart decoration</v>
      </c>
      <c r="D197" s="1">
        <f>IFERROR(__xludf.DUMMYFUNCTION("""COMPUTED_VALUE"""),12.0)</f>
        <v>12</v>
      </c>
      <c r="E197" s="3">
        <f>IFERROR(__xludf.DUMMYFUNCTION("""COMPUTED_VALUE"""),40596.0)</f>
        <v>40596</v>
      </c>
      <c r="F197" s="1">
        <f>IFERROR(__xludf.DUMMYFUNCTION("""COMPUTED_VALUE"""),1.25)</f>
        <v>1.25</v>
      </c>
      <c r="G197" s="1">
        <f>IFERROR(__xludf.DUMMYFUNCTION("""COMPUTED_VALUE"""),13421.0)</f>
        <v>13421</v>
      </c>
      <c r="H197" s="1">
        <v>15.0</v>
      </c>
      <c r="I197" s="1" t="str">
        <f t="shared" si="2"/>
        <v>Zinc</v>
      </c>
      <c r="J197" s="1">
        <f t="shared" si="3"/>
        <v>65</v>
      </c>
      <c r="K197" s="1">
        <f t="shared" si="4"/>
        <v>1</v>
      </c>
      <c r="L197" s="1">
        <f t="shared" si="5"/>
        <v>15</v>
      </c>
    </row>
    <row r="198">
      <c r="A198" s="1">
        <f>IFERROR(__xludf.DUMMYFUNCTION("""COMPUTED_VALUE"""),540994.0)</f>
        <v>540994</v>
      </c>
      <c r="B198" s="1">
        <f>IFERROR(__xludf.DUMMYFUNCTION("""COMPUTED_VALUE"""),21124.0)</f>
        <v>21124</v>
      </c>
      <c r="C198" s="1" t="str">
        <f>IFERROR(__xludf.DUMMYFUNCTION("""COMPUTED_VALUE"""),"Set/10 blue polkadot party candles")</f>
        <v>Set/10 blue polkadot party candles</v>
      </c>
      <c r="D198" s="1">
        <f>IFERROR(__xludf.DUMMYFUNCTION("""COMPUTED_VALUE"""),24.0)</f>
        <v>24</v>
      </c>
      <c r="E198" s="3">
        <f>IFERROR(__xludf.DUMMYFUNCTION("""COMPUTED_VALUE"""),40556.0)</f>
        <v>40556</v>
      </c>
      <c r="F198" s="1">
        <f>IFERROR(__xludf.DUMMYFUNCTION("""COMPUTED_VALUE"""),1.25)</f>
        <v>1.25</v>
      </c>
      <c r="G198" s="1">
        <f>IFERROR(__xludf.DUMMYFUNCTION("""COMPUTED_VALUE"""),13089.0)</f>
        <v>13089</v>
      </c>
      <c r="H198" s="1">
        <v>30.0</v>
      </c>
      <c r="I198" s="1" t="str">
        <f t="shared" si="2"/>
        <v>Set/10</v>
      </c>
      <c r="J198" s="1">
        <f t="shared" si="3"/>
        <v>105</v>
      </c>
      <c r="K198" s="1">
        <f t="shared" si="4"/>
        <v>1</v>
      </c>
      <c r="L198" s="1">
        <f t="shared" si="5"/>
        <v>30</v>
      </c>
    </row>
    <row r="199">
      <c r="A199" s="1">
        <f>IFERROR(__xludf.DUMMYFUNCTION("""COMPUTED_VALUE"""),547650.0)</f>
        <v>547650</v>
      </c>
      <c r="B199" s="1">
        <f>IFERROR(__xludf.DUMMYFUNCTION("""COMPUTED_VALUE"""),22993.0)</f>
        <v>22993</v>
      </c>
      <c r="C199" s="1" t="str">
        <f>IFERROR(__xludf.DUMMYFUNCTION("""COMPUTED_VALUE"""),"Set of 4 pantry jelly moulds")</f>
        <v>Set of 4 pantry jelly moulds</v>
      </c>
      <c r="D199" s="1">
        <f>IFERROR(__xludf.DUMMYFUNCTION("""COMPUTED_VALUE"""),2.0)</f>
        <v>2</v>
      </c>
      <c r="E199" s="3">
        <f>IFERROR(__xludf.DUMMYFUNCTION("""COMPUTED_VALUE"""),40626.0)</f>
        <v>40626</v>
      </c>
      <c r="F199" s="1">
        <f>IFERROR(__xludf.DUMMYFUNCTION("""COMPUTED_VALUE"""),1.25)</f>
        <v>1.25</v>
      </c>
      <c r="G199" s="1">
        <f>IFERROR(__xludf.DUMMYFUNCTION("""COMPUTED_VALUE"""),17059.0)</f>
        <v>17059</v>
      </c>
      <c r="H199" s="1">
        <v>2.5</v>
      </c>
      <c r="I199" s="1" t="str">
        <f t="shared" si="2"/>
        <v>Set</v>
      </c>
      <c r="J199" s="1">
        <f t="shared" si="3"/>
        <v>35</v>
      </c>
      <c r="K199" s="1">
        <f t="shared" si="4"/>
        <v>1</v>
      </c>
      <c r="L199" s="1">
        <f t="shared" si="5"/>
        <v>2.5</v>
      </c>
    </row>
    <row r="200">
      <c r="A200" s="1">
        <f>IFERROR(__xludf.DUMMYFUNCTION("""COMPUTED_VALUE"""),551440.0)</f>
        <v>551440</v>
      </c>
      <c r="B200" s="1">
        <f>IFERROR(__xludf.DUMMYFUNCTION("""COMPUTED_VALUE"""),22090.0)</f>
        <v>22090</v>
      </c>
      <c r="C200" s="1" t="str">
        <f>IFERROR(__xludf.DUMMYFUNCTION("""COMPUTED_VALUE"""),"Paper bunting retrospot")</f>
        <v>Paper bunting retrospot</v>
      </c>
      <c r="D200" s="1">
        <f>IFERROR(__xludf.DUMMYFUNCTION("""COMPUTED_VALUE"""),1.0)</f>
        <v>1</v>
      </c>
      <c r="E200" s="3">
        <f>IFERROR(__xludf.DUMMYFUNCTION("""COMPUTED_VALUE"""),40661.0)</f>
        <v>40661</v>
      </c>
      <c r="F200" s="1">
        <f>IFERROR(__xludf.DUMMYFUNCTION("""COMPUTED_VALUE"""),2.95)</f>
        <v>2.95</v>
      </c>
      <c r="G200" s="1">
        <f>IFERROR(__xludf.DUMMYFUNCTION("""COMPUTED_VALUE"""),15311.0)</f>
        <v>15311</v>
      </c>
      <c r="H200" s="1">
        <v>2.95</v>
      </c>
      <c r="I200" s="1" t="str">
        <f t="shared" si="2"/>
        <v>Paper</v>
      </c>
      <c r="J200" s="1">
        <f t="shared" si="3"/>
        <v>0</v>
      </c>
      <c r="K200" s="1">
        <f t="shared" si="4"/>
        <v>1</v>
      </c>
      <c r="L200" s="1">
        <f t="shared" si="5"/>
        <v>2.95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</sheetData>
  <drawing r:id="rId2"/>
</worksheet>
</file>