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AnalytikV1.5\data\"/>
    </mc:Choice>
  </mc:AlternateContent>
  <xr:revisionPtr revIDLastSave="0" documentId="13_ncr:1_{FB23D1ED-2A20-4624-B9A4-CA91081B4758}" xr6:coauthVersionLast="44" xr6:coauthVersionMax="44" xr10:uidLastSave="{00000000-0000-0000-0000-000000000000}"/>
  <bookViews>
    <workbookView xWindow="-120" yWindow="-120" windowWidth="20730" windowHeight="11160" xr2:uid="{6AC9FE4E-0DFE-454D-A5A8-D1EAE74BF678}"/>
  </bookViews>
  <sheets>
    <sheet name="Dat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C47" i="1"/>
  <c r="C48" i="1"/>
  <c r="E47" i="1"/>
  <c r="F49" i="1"/>
  <c r="F39" i="1"/>
  <c r="F43" i="1" s="1"/>
  <c r="F41" i="1"/>
  <c r="E41" i="1"/>
  <c r="E43" i="1" s="1"/>
  <c r="C40" i="1"/>
  <c r="C41" i="1"/>
  <c r="C42" i="1"/>
  <c r="C39" i="1"/>
  <c r="E39" i="1"/>
  <c r="D32" i="1"/>
  <c r="D34" i="1" s="1"/>
  <c r="D30" i="1"/>
  <c r="H17" i="1"/>
  <c r="I17" i="1" s="1"/>
  <c r="C25" i="1"/>
  <c r="C23" i="1"/>
  <c r="B25" i="1"/>
  <c r="B23" i="1"/>
  <c r="H11" i="1"/>
  <c r="H4" i="1"/>
  <c r="B9" i="1"/>
  <c r="E51" i="1" l="1"/>
  <c r="F47" i="1"/>
  <c r="F51" i="1" s="1"/>
  <c r="C21" i="1"/>
  <c r="B21" i="1"/>
  <c r="C18" i="1"/>
  <c r="C17" i="1"/>
  <c r="B11" i="1"/>
  <c r="B13" i="1" s="1"/>
  <c r="H13" i="1"/>
  <c r="H5" i="1"/>
  <c r="I5" i="1" s="1"/>
  <c r="C6" i="1"/>
  <c r="C5" i="1"/>
  <c r="C4" i="1"/>
  <c r="H9" i="1" l="1"/>
  <c r="C11" i="1"/>
  <c r="C13" i="1" s="1"/>
  <c r="C9" i="1"/>
  <c r="I4" i="1"/>
  <c r="I9" i="1" l="1"/>
  <c r="I11" i="1"/>
  <c r="I13" i="1" s="1"/>
</calcChain>
</file>

<file path=xl/sharedStrings.xml><?xml version="1.0" encoding="utf-8"?>
<sst xmlns="http://schemas.openxmlformats.org/spreadsheetml/2006/main" count="68" uniqueCount="28">
  <si>
    <t>Titerbestimmung</t>
  </si>
  <si>
    <t>Wasser-Standard</t>
  </si>
  <si>
    <t>Probengröße</t>
  </si>
  <si>
    <t>Drift</t>
  </si>
  <si>
    <t>VEQ</t>
  </si>
  <si>
    <t>Zeit</t>
  </si>
  <si>
    <t>Korrekturkonzentration manuell</t>
  </si>
  <si>
    <t>Konzentration PC</t>
  </si>
  <si>
    <t>Mittelwert</t>
  </si>
  <si>
    <t>Korrekturfaktor PC</t>
  </si>
  <si>
    <t>Korrekturfaktor manuell</t>
  </si>
  <si>
    <t>Standardabweichung</t>
  </si>
  <si>
    <t>rel. Standardabweichung</t>
  </si>
  <si>
    <t>Drift v</t>
  </si>
  <si>
    <t>Masse H20</t>
  </si>
  <si>
    <t>Massenprozent H2O manuell</t>
  </si>
  <si>
    <t>Masse H2O manuell</t>
  </si>
  <si>
    <t>Massenprozent H20</t>
  </si>
  <si>
    <t>Kann nicht sein</t>
  </si>
  <si>
    <t>Isopropanol</t>
  </si>
  <si>
    <t>Standardabweiung</t>
  </si>
  <si>
    <t>rel. Standabweichung</t>
  </si>
  <si>
    <t>liegt über 50 %</t>
  </si>
  <si>
    <t>Konzentration H2O</t>
  </si>
  <si>
    <t>Ethanol</t>
  </si>
  <si>
    <t>sind die selben Werte wie für die Kalibrierung ??? Warum Konzentrationen?</t>
  </si>
  <si>
    <t>2-Propanol</t>
  </si>
  <si>
    <t>Polyamid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</si>
</sst>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1" formatCode="0.000\ &quot;g&quot;"/>
    <numFmt numFmtId="180" formatCode="0.0\ &quot;micro g/min&quot;"/>
    <numFmt numFmtId="187" formatCode="0.000000\ &quot;mL&quot;"/>
    <numFmt numFmtId="189" formatCode="0.00\ &quot;min&quot;"/>
    <numFmt numFmtId="196" formatCode="0.000000"/>
    <numFmt numFmtId="204" formatCode="0.000"/>
    <numFmt numFmtId="207" formatCode="0.000%"/>
    <numFmt numFmtId="208" formatCode="0.0\ &quot;micro L&quot;"/>
    <numFmt numFmtId="209" formatCode="0.0000\ &quot;g&quot;"/>
    <numFmt numFmtId="210" formatCode="0.0000%"/>
    <numFmt numFmtId="213" formatCode="0.0000\ &quot;mg&quot;"/>
    <numFmt numFmtId="217" formatCode="0.00000000\ &quot;mg&quot;"/>
    <numFmt numFmtId="221" formatCode="0.00000\ &quot;mg/mL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171" fontId="0" fillId="0" borderId="0" xfId="0" applyNumberFormat="1"/>
    <xf numFmtId="180" fontId="0" fillId="0" borderId="0" xfId="0" applyNumberFormat="1"/>
    <xf numFmtId="187" fontId="0" fillId="0" borderId="0" xfId="0" applyNumberFormat="1"/>
    <xf numFmtId="189" fontId="0" fillId="0" borderId="0" xfId="0" applyNumberFormat="1"/>
    <xf numFmtId="196" fontId="0" fillId="0" borderId="0" xfId="0" applyNumberFormat="1"/>
    <xf numFmtId="204" fontId="0" fillId="0" borderId="0" xfId="0" applyNumberFormat="1"/>
    <xf numFmtId="207" fontId="0" fillId="0" borderId="0" xfId="1" applyNumberFormat="1" applyFont="1"/>
    <xf numFmtId="208" fontId="0" fillId="0" borderId="0" xfId="0" applyNumberFormat="1"/>
    <xf numFmtId="0" fontId="3" fillId="0" borderId="0" xfId="0" applyFont="1"/>
    <xf numFmtId="209" fontId="0" fillId="0" borderId="0" xfId="0" applyNumberFormat="1"/>
    <xf numFmtId="210" fontId="0" fillId="0" borderId="0" xfId="1" applyNumberFormat="1" applyFont="1"/>
    <xf numFmtId="213" fontId="0" fillId="0" borderId="0" xfId="0" applyNumberFormat="1"/>
    <xf numFmtId="217" fontId="0" fillId="0" borderId="0" xfId="0" applyNumberFormat="1"/>
    <xf numFmtId="213" fontId="0" fillId="0" borderId="0" xfId="1" applyNumberFormat="1" applyFont="1"/>
    <xf numFmtId="221" fontId="0" fillId="0" borderId="0" xfId="0" applyNumberFormat="1"/>
    <xf numFmtId="221" fontId="0" fillId="0" borderId="0" xfId="0" applyNumberFormat="1" applyFont="1"/>
    <xf numFmtId="210" fontId="0" fillId="3" borderId="0" xfId="1" applyNumberFormat="1" applyFont="1" applyFill="1"/>
    <xf numFmtId="213" fontId="0" fillId="3" borderId="0" xfId="0" applyNumberFormat="1" applyFill="1"/>
    <xf numFmtId="210" fontId="0" fillId="4" borderId="0" xfId="1" applyNumberFormat="1" applyFont="1" applyFill="1"/>
    <xf numFmtId="0" fontId="0" fillId="0" borderId="0" xfId="0" applyFill="1"/>
    <xf numFmtId="0" fontId="4" fillId="0" borderId="0" xfId="0" applyFont="1"/>
    <xf numFmtId="210" fontId="0" fillId="0" borderId="0" xfId="0" applyNumberFormat="1"/>
    <xf numFmtId="210" fontId="0" fillId="3" borderId="0" xfId="0" applyNumberFormat="1" applyFill="1"/>
    <xf numFmtId="0" fontId="2" fillId="0" borderId="0" xfId="0" applyFont="1"/>
    <xf numFmtId="210" fontId="2" fillId="0" borderId="0" xfId="1" applyNumberFormat="1" applyFont="1"/>
    <xf numFmtId="210" fontId="0" fillId="0" borderId="0" xfId="0" applyNumberFormat="1" applyFill="1"/>
    <xf numFmtId="210" fontId="0" fillId="0" borderId="0" xfId="1" applyNumberFormat="1" applyFont="1" applyFill="1"/>
    <xf numFmtId="213" fontId="0" fillId="0" borderId="0" xfId="0" applyNumberFormat="1" applyFill="1"/>
    <xf numFmtId="221" fontId="0" fillId="2" borderId="0" xfId="0" applyNumberFormat="1" applyFont="1" applyFill="1"/>
    <xf numFmtId="2" fontId="2" fillId="0" borderId="0" xfId="0" applyNumberFormat="1" applyFont="1"/>
  </cellXfs>
  <cellStyles count="2">
    <cellStyle name="Prozent" xfId="1" builtinId="5"/>
    <cellStyle name="Standard" xfId="0" builtinId="0"/>
  </cellStyles>
  <dxfs count="14">
    <dxf>
      <numFmt numFmtId="213" formatCode="0.0000\ &quot;mg&quot;"/>
    </dxf>
    <dxf>
      <numFmt numFmtId="209" formatCode="0.0000\ &quot;g&quot;"/>
    </dxf>
    <dxf>
      <numFmt numFmtId="213" formatCode="0.0000\ &quot;mg&quot;"/>
    </dxf>
    <dxf>
      <numFmt numFmtId="209" formatCode="0.0000\ &quot;g&quot;"/>
    </dxf>
    <dxf>
      <numFmt numFmtId="2" formatCode="0.00"/>
    </dxf>
    <dxf>
      <numFmt numFmtId="209" formatCode="0.0000\ &quot;g&quot;"/>
    </dxf>
    <dxf>
      <numFmt numFmtId="217" formatCode="0.00000000\ &quot;mg&quot;"/>
    </dxf>
    <dxf>
      <numFmt numFmtId="174" formatCode="0.00000\ &quot;mg/L&quot;"/>
    </dxf>
    <dxf>
      <numFmt numFmtId="209" formatCode="0.0000\ &quot;g&quot;"/>
    </dxf>
    <dxf>
      <numFmt numFmtId="196" formatCode="0.000000"/>
    </dxf>
    <dxf>
      <numFmt numFmtId="196" formatCode="0.000000"/>
    </dxf>
    <dxf>
      <numFmt numFmtId="196" formatCode="0.000000"/>
    </dxf>
    <dxf>
      <numFmt numFmtId="174" formatCode="0.00000\ &quot;mg/L&quot;"/>
    </dxf>
    <dxf>
      <numFmt numFmtId="171" formatCode="0.000\ &quot;g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3F962A-2EB5-4C45-849B-C5585635C856}" name="Tabelle1" displayName="Tabelle1" ref="A3:I6" totalsRowShown="0">
  <autoFilter ref="A3:I6" xr:uid="{395B1E54-E6BE-471B-9344-3CD65E3E64C8}"/>
  <tableColumns count="9">
    <tableColumn id="1" xr3:uid="{01656B06-82AB-47D7-942B-E7B35ADAF2D8}" name="Probengröße" dataDxfId="13"/>
    <tableColumn id="2" xr3:uid="{5CC36BFD-92CF-44CD-A1FC-BA5C5BF0AF1C}" name="Konzentration PC" dataDxfId="12"/>
    <tableColumn id="7" xr3:uid="{B9BCCDCB-4A46-4FCA-A264-44FF1AFF8485}" name="Korrekturfaktor PC" dataDxfId="11">
      <calculatedColumnFormula>(5-Tabelle1[[#This Row],[Konzentration PC]])/5</calculatedColumnFormula>
    </tableColumn>
    <tableColumn id="3" xr3:uid="{FFACD691-EFC1-4470-A372-A9327DBBB1B3}" name="Drift"/>
    <tableColumn id="9" xr3:uid="{A83834B2-D0C2-4343-BE8B-29B302338E57}" name="Drift v" dataDxfId="10"/>
    <tableColumn id="4" xr3:uid="{DA2C0C63-6857-45BF-8CA9-C251D76409F5}" name="VEQ"/>
    <tableColumn id="5" xr3:uid="{217C32A3-9446-4DB3-A176-B752985C0AE1}" name="Zeit"/>
    <tableColumn id="6" xr3:uid="{FFEB9CBD-3977-41A2-ACAF-B66EB7367FC1}" name="Korrekturkonzentration manuell"/>
    <tableColumn id="8" xr3:uid="{4735F93E-AF62-4703-87B1-67BEF78A639E}" name="Korrekturfaktor manu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9FF9F9-F808-4609-97FB-9B771E491C2C}" name="Tabelle13" displayName="Tabelle13" ref="A16:I18" totalsRowShown="0">
  <autoFilter ref="A16:I18" xr:uid="{E6D6FECD-0F1D-4027-A53A-30222A146553}"/>
  <tableColumns count="9">
    <tableColumn id="1" xr3:uid="{0DED3CC8-FE53-4C58-AAA2-ECA1C8B630B9}" name="Probengröße" dataDxfId="8"/>
    <tableColumn id="2" xr3:uid="{4AE38753-FBD9-4E81-B6EE-555CA7559555}" name="Massenprozent H20" dataDxfId="7"/>
    <tableColumn id="7" xr3:uid="{E4C29937-2847-4227-A17F-3CB1DAC10FCB}" name="Masse H20" dataDxfId="6">
      <calculatedColumnFormula>Tabelle13[[#This Row],[Probengröße]]*Tabelle13[[#This Row],[Massenprozent H20]]</calculatedColumnFormula>
    </tableColumn>
    <tableColumn id="3" xr3:uid="{A1998F35-33FA-42B6-82B5-C4710143E624}" name="Drift"/>
    <tableColumn id="9" xr3:uid="{2808593A-C5C7-453B-926E-CDBC37290CEE}" name="Drift v" dataDxfId="9"/>
    <tableColumn id="4" xr3:uid="{4017F256-CE9D-4EF1-85AA-8A0893798DA2}" name="VEQ"/>
    <tableColumn id="5" xr3:uid="{AE6C924F-A3B0-4C33-A1AB-30EE3F905E33}" name="Zeit"/>
    <tableColumn id="6" xr3:uid="{E851F1E7-F25A-4E32-ACF7-58FF3D6F4D32}" name="Massenprozent H2O manuell">
      <calculatedColumnFormula>(Tabelle13[[#This Row],[VEQ]]*$B$9+Tabelle13[[#This Row],[Drift]]*Tabelle13[[#This Row],[Zeit]]/1000)/(1000*Tabelle13[[#This Row],[Probengröße]])</calculatedColumnFormula>
    </tableColumn>
    <tableColumn id="8" xr3:uid="{04245F5D-14E0-4238-A052-84368ACCA41C}" name="Masse H2O manuell">
      <calculatedColumnFormula>Tabelle13[[#This Row],[Probengröße]]*Tabelle13[[#This Row],[Massenprozent H2O manuell]]*1000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D9382F-2C17-4A2C-9873-9FF2BEF9B068}" name="Tabelle134" displayName="Tabelle134" ref="A29:B32" totalsRowShown="0">
  <autoFilter ref="A29:B32" xr:uid="{8A1572E7-5CED-4DDC-BFAD-BB9F67745298}"/>
  <tableColumns count="2">
    <tableColumn id="1" xr3:uid="{0A533B10-6F28-40B3-80DA-34E4AA7E2DA0}" name="Probengröße" dataDxfId="5"/>
    <tableColumn id="2" xr3:uid="{B4E6E42D-B436-4E40-8E6F-F7E4BC57EC61}" name="Konzentration H2O" data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BF6329-9FCC-42B0-952E-4434DC823A8A}" name="Tabelle4" displayName="Tabelle4" ref="A38:C42" totalsRowShown="0">
  <autoFilter ref="A38:C42" xr:uid="{B23582EC-6D1D-49F1-A2E5-30B8E62BD969}"/>
  <tableColumns count="3">
    <tableColumn id="1" xr3:uid="{B484F708-DD3F-44EF-8297-B5993D30C7E8}" name="Probengröße" dataDxfId="3"/>
    <tableColumn id="2" xr3:uid="{D8B588E4-99BA-4AEE-BEE6-8C3761286987}" name="Massenprozent H20"/>
    <tableColumn id="3" xr3:uid="{13DE9A3A-0BD9-4CEA-B50E-06CDFCBCFCF4}" name="Masse H20" dataDxfId="2">
      <calculatedColumnFormula>Tabelle4[[#This Row],[Massenprozent H20]]*Tabelle4[[#This Row],[Probengröße]]*1000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305C7E-29F9-4D33-A09B-4030B9BC9426}" name="Tabelle46" displayName="Tabelle46" ref="A46:C48" totalsRowShown="0">
  <autoFilter ref="A46:C48" xr:uid="{711CC1C4-3314-45DF-8285-D0190B9DCDE8}"/>
  <tableColumns count="3">
    <tableColumn id="1" xr3:uid="{F0C80A42-04EC-4B79-8EF1-8B3C45CF59CD}" name="Probengröße" dataDxfId="1"/>
    <tableColumn id="2" xr3:uid="{6D1D1E86-8BE5-40EF-A95F-29AD5859433C}" name="Massenprozent H20"/>
    <tableColumn id="3" xr3:uid="{534903D3-C6D8-4C4C-BC07-6A9AF1CA3E56}" name="Masse H20" dataDxfId="0">
      <calculatedColumnFormula>Tabelle46[[#This Row],[Massenprozent H20]]*Tabelle46[[#This Row],[Probengröße]]*1000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9C28-C82F-47E4-9AF4-7BE5A6CF60DF}">
  <dimension ref="A1:I51"/>
  <sheetViews>
    <sheetView tabSelected="1" topLeftCell="A14" zoomScale="90" zoomScaleNormal="90" workbookViewId="0">
      <selection activeCell="A14" sqref="A14"/>
    </sheetView>
  </sheetViews>
  <sheetFormatPr baseColWidth="10" defaultRowHeight="15" x14ac:dyDescent="0.25"/>
  <cols>
    <col min="1" max="1" width="20.5703125" bestFit="1" customWidth="1"/>
    <col min="2" max="3" width="23.28515625" bestFit="1" customWidth="1"/>
    <col min="4" max="6" width="20.28515625" bestFit="1" customWidth="1"/>
    <col min="7" max="8" width="32.28515625" bestFit="1" customWidth="1"/>
    <col min="9" max="9" width="25" bestFit="1" customWidth="1"/>
  </cols>
  <sheetData>
    <row r="1" spans="1:9" ht="18.75" x14ac:dyDescent="0.3">
      <c r="A1" s="10" t="s">
        <v>1</v>
      </c>
      <c r="B1" s="10" t="s">
        <v>0</v>
      </c>
    </row>
    <row r="3" spans="1:9" x14ac:dyDescent="0.25">
      <c r="A3" t="s">
        <v>2</v>
      </c>
      <c r="B3" t="s">
        <v>7</v>
      </c>
      <c r="C3" t="s">
        <v>9</v>
      </c>
      <c r="D3" t="s">
        <v>3</v>
      </c>
      <c r="E3" s="1" t="s">
        <v>13</v>
      </c>
      <c r="F3" t="s">
        <v>4</v>
      </c>
      <c r="G3" t="s">
        <v>5</v>
      </c>
      <c r="H3" t="s">
        <v>6</v>
      </c>
      <c r="I3" t="s">
        <v>10</v>
      </c>
    </row>
    <row r="4" spans="1:9" x14ac:dyDescent="0.25">
      <c r="A4" s="2">
        <v>5.0000000000000001E-3</v>
      </c>
      <c r="B4" s="16">
        <v>4.8103999999999996</v>
      </c>
      <c r="C4" s="6">
        <f>1-(5-Tabelle1[[#This Row],[Konzentration PC]])/5</f>
        <v>0.96207999999999994</v>
      </c>
      <c r="D4" s="3">
        <v>4.3</v>
      </c>
      <c r="E4" s="9">
        <v>0.7</v>
      </c>
      <c r="F4" s="4">
        <v>1.0405</v>
      </c>
      <c r="G4" s="5">
        <v>1.55</v>
      </c>
      <c r="H4" s="16">
        <f>(Tabelle1[[#This Row],[Probengröße]]+Tabelle1[[#This Row],[Drift]]*10^-6*Tabelle1[[#This Row],[Zeit]])/(Tabelle1[[#This Row],[VEQ]]+Tabelle1[[#This Row],[Drift v]]*Tabelle1[[#This Row],[Zeit]]/1000)*1000</f>
        <v>4.8067752511796922</v>
      </c>
      <c r="I4">
        <f>1-(5-Tabelle1[[#This Row],[Korrekturkonzentration manuell]])/5</f>
        <v>0.96135505023593848</v>
      </c>
    </row>
    <row r="5" spans="1:9" x14ac:dyDescent="0.25">
      <c r="A5" s="2">
        <v>5.0000000000000001E-3</v>
      </c>
      <c r="B5" s="16">
        <v>5.1895429999999996</v>
      </c>
      <c r="C5" s="6">
        <f>1-(5-Tabelle1[[#This Row],[Konzentration PC]])/5</f>
        <v>1.0379086</v>
      </c>
      <c r="D5" s="3">
        <v>1.1000000000000001</v>
      </c>
      <c r="E5" s="9">
        <v>0.2</v>
      </c>
      <c r="F5" s="4">
        <v>0.96375</v>
      </c>
      <c r="G5" s="5">
        <v>1.37</v>
      </c>
      <c r="H5" s="16">
        <f>(Tabelle1[[#This Row],[Probengröße]]+Tabelle1[[#This Row],[Drift]]*10^-6*Tabelle1[[#This Row],[Zeit]])/(Tabelle1[[#This Row],[VEQ]]+Tabelle1[[#This Row],[Drift v]]*Tabelle1[[#This Row],[Zeit]]/1000)*1000</f>
        <v>5.1881561039974118</v>
      </c>
      <c r="I5" s="1">
        <f>1-(5-Tabelle1[[#This Row],[Korrekturkonzentration manuell]])/5</f>
        <v>1.0376312207994824</v>
      </c>
    </row>
    <row r="6" spans="1:9" x14ac:dyDescent="0.25">
      <c r="A6" s="2">
        <v>5.0000000000000001E-3</v>
      </c>
      <c r="B6" s="16">
        <v>5.6820120000000003</v>
      </c>
      <c r="C6" s="6">
        <f>1-(5-Tabelle1[[#This Row],[Konzentration PC]])/5</f>
        <v>1.1364024000000001</v>
      </c>
      <c r="D6" s="3"/>
      <c r="E6" s="6"/>
    </row>
    <row r="8" spans="1:9" x14ac:dyDescent="0.25">
      <c r="B8" t="s">
        <v>8</v>
      </c>
      <c r="C8" s="1" t="s">
        <v>8</v>
      </c>
      <c r="H8" s="1" t="s">
        <v>8</v>
      </c>
      <c r="I8" s="1" t="s">
        <v>8</v>
      </c>
    </row>
    <row r="9" spans="1:9" x14ac:dyDescent="0.25">
      <c r="B9" s="17">
        <f>AVERAGE(Tabelle1[Konzentration PC])</f>
        <v>5.2273183333333328</v>
      </c>
      <c r="C9" s="7">
        <f>AVERAGE(Tabelle1[Korrekturfaktor PC])</f>
        <v>1.0454636666666668</v>
      </c>
      <c r="H9" s="17">
        <f>AVERAGE(H4:H5)</f>
        <v>4.9974656775885524</v>
      </c>
      <c r="I9" s="7">
        <f>AVERAGE(I4:I5)</f>
        <v>0.99949313551771046</v>
      </c>
    </row>
    <row r="10" spans="1:9" x14ac:dyDescent="0.25">
      <c r="B10" t="s">
        <v>11</v>
      </c>
      <c r="C10" s="1" t="s">
        <v>11</v>
      </c>
      <c r="D10" s="1"/>
      <c r="E10" s="1"/>
      <c r="F10" s="1"/>
      <c r="H10" s="1" t="s">
        <v>11</v>
      </c>
      <c r="I10" s="1" t="s">
        <v>11</v>
      </c>
    </row>
    <row r="11" spans="1:9" x14ac:dyDescent="0.25">
      <c r="B11" s="17">
        <f>_xlfn.STDEV.S(Tabelle1[Konzentration PC])</f>
        <v>0.43703215155447506</v>
      </c>
      <c r="C11" s="1">
        <f>_xlfn.STDEV.S(Tabelle1[Korrekturfaktor PC])</f>
        <v>8.7406430310895039E-2</v>
      </c>
      <c r="D11" s="1"/>
      <c r="E11" s="1"/>
      <c r="F11" s="1"/>
      <c r="H11" s="17">
        <f>_xlfn.STDEV.S(H4:H5)</f>
        <v>0.26967698724211814</v>
      </c>
      <c r="I11" s="1">
        <f>_xlfn.STDEV.S(I4:I5)</f>
        <v>5.3935397448423662E-2</v>
      </c>
    </row>
    <row r="12" spans="1:9" x14ac:dyDescent="0.25">
      <c r="B12" t="s">
        <v>12</v>
      </c>
      <c r="C12" s="1" t="s">
        <v>12</v>
      </c>
      <c r="D12" s="1"/>
      <c r="E12" s="1"/>
      <c r="F12" s="1"/>
      <c r="H12" s="1" t="s">
        <v>12</v>
      </c>
      <c r="I12" s="1" t="s">
        <v>12</v>
      </c>
    </row>
    <row r="13" spans="1:9" x14ac:dyDescent="0.25">
      <c r="B13" s="8">
        <f>B11/AVERAGE(Tabelle1[Konzentration PC])</f>
        <v>8.3605421305151389E-2</v>
      </c>
      <c r="C13" s="8">
        <f>C11/AVERAGE(Tabelle1[Korrekturfaktor PC])</f>
        <v>8.3605421305151389E-2</v>
      </c>
      <c r="D13" s="8"/>
      <c r="E13" s="8"/>
      <c r="F13" s="8"/>
      <c r="H13" s="8">
        <f>H11/AVERAGE(H4:H5)</f>
        <v>5.3962749249384837E-2</v>
      </c>
      <c r="I13" s="8">
        <f>I11/AVERAGE(Tabelle1[Korrekturfaktor manuell])</f>
        <v>5.3962749249384871E-2</v>
      </c>
    </row>
    <row r="14" spans="1:9" ht="21" x14ac:dyDescent="0.35">
      <c r="A14" s="22" t="s">
        <v>19</v>
      </c>
    </row>
    <row r="16" spans="1:9" x14ac:dyDescent="0.25">
      <c r="A16" s="1" t="s">
        <v>2</v>
      </c>
      <c r="B16" s="1" t="s">
        <v>17</v>
      </c>
      <c r="C16" s="1" t="s">
        <v>14</v>
      </c>
      <c r="D16" s="1" t="s">
        <v>3</v>
      </c>
      <c r="E16" s="1" t="s">
        <v>13</v>
      </c>
      <c r="F16" s="1" t="s">
        <v>4</v>
      </c>
      <c r="G16" s="1" t="s">
        <v>5</v>
      </c>
      <c r="H16" s="1" t="s">
        <v>15</v>
      </c>
      <c r="I16" s="1" t="s">
        <v>16</v>
      </c>
    </row>
    <row r="17" spans="1:9" x14ac:dyDescent="0.25">
      <c r="A17" s="11">
        <v>0.4037</v>
      </c>
      <c r="B17" s="20">
        <v>3.6000000000000001E-5</v>
      </c>
      <c r="C17" s="13">
        <f>Tabelle13[[#This Row],[Probengröße]]*Tabelle13[[#This Row],[Massenprozent H20]]*1000</f>
        <v>1.45332E-2</v>
      </c>
      <c r="D17" s="3">
        <v>28.6</v>
      </c>
      <c r="E17" s="9">
        <v>5.5</v>
      </c>
      <c r="F17" s="4">
        <v>9.2499999999999995E-3</v>
      </c>
      <c r="G17" s="5">
        <v>1.18</v>
      </c>
      <c r="H17" s="18">
        <f>((Tabelle13[[#This Row],[VEQ]]+Tabelle13[[#This Row],[Zeit]]*Tabelle13[[#This Row],[Drift v]]/1000)*$B$9+Tabelle13[[#This Row],[Drift]]*Tabelle13[[#This Row],[Zeit]]/1000)/(1000*Tabelle13[[#This Row],[Probengröße]])</f>
        <v>2.8740646660061094E-4</v>
      </c>
      <c r="I17" s="19">
        <f>Tabelle13[[#This Row],[Probengröße]]*Tabelle13[[#This Row],[Massenprozent H2O manuell]]*1000</f>
        <v>0.11602599056666663</v>
      </c>
    </row>
    <row r="18" spans="1:9" x14ac:dyDescent="0.25">
      <c r="A18" s="11">
        <v>0.37159999999999999</v>
      </c>
      <c r="B18" s="12">
        <v>3.5530000000000002E-3</v>
      </c>
      <c r="C18" s="13">
        <f>Tabelle13[[#This Row],[Probengröße]]*Tabelle13[[#This Row],[Massenprozent H20]]*1000</f>
        <v>1.3202947999999999</v>
      </c>
      <c r="D18" s="3"/>
      <c r="E18" s="9"/>
      <c r="F18" s="4"/>
      <c r="G18" s="5"/>
      <c r="H18" s="26" t="s">
        <v>18</v>
      </c>
      <c r="I18" s="13"/>
    </row>
    <row r="19" spans="1:9" x14ac:dyDescent="0.25">
      <c r="G19" s="21"/>
    </row>
    <row r="20" spans="1:9" x14ac:dyDescent="0.25">
      <c r="B20" t="s">
        <v>8</v>
      </c>
      <c r="C20" s="1" t="s">
        <v>8</v>
      </c>
    </row>
    <row r="21" spans="1:9" x14ac:dyDescent="0.25">
      <c r="B21" s="12">
        <f>AVERAGE(Tabelle13[Massenprozent H20])</f>
        <v>1.7945000000000001E-3</v>
      </c>
      <c r="C21" s="15">
        <f>AVERAGE(Tabelle13[Masse H20])</f>
        <v>0.66741399999999995</v>
      </c>
    </row>
    <row r="22" spans="1:9" x14ac:dyDescent="0.25">
      <c r="B22" t="s">
        <v>20</v>
      </c>
      <c r="C22" s="1" t="s">
        <v>20</v>
      </c>
    </row>
    <row r="23" spans="1:9" x14ac:dyDescent="0.25">
      <c r="B23" s="12">
        <f>_xlfn.STDEV.S(Tabelle13[Massenprozent H20])</f>
        <v>2.4868945494330875E-3</v>
      </c>
      <c r="C23" s="15">
        <f>_xlfn.STDEV.S(Tabelle13[Masse H20])</f>
        <v>0.92331288197299621</v>
      </c>
    </row>
    <row r="24" spans="1:9" x14ac:dyDescent="0.25">
      <c r="B24" t="s">
        <v>21</v>
      </c>
      <c r="C24" s="1" t="s">
        <v>21</v>
      </c>
    </row>
    <row r="25" spans="1:9" x14ac:dyDescent="0.25">
      <c r="B25" s="24">
        <f>B23/B21</f>
        <v>1.3858426020802939</v>
      </c>
      <c r="C25" s="23">
        <f>C23/C21</f>
        <v>1.3834185108088777</v>
      </c>
    </row>
    <row r="26" spans="1:9" x14ac:dyDescent="0.25">
      <c r="B26" s="25" t="s">
        <v>22</v>
      </c>
    </row>
    <row r="27" spans="1:9" ht="21" x14ac:dyDescent="0.35">
      <c r="A27" s="22" t="s">
        <v>24</v>
      </c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F28" s="1"/>
      <c r="G28" s="1"/>
      <c r="H28" s="1"/>
      <c r="I28" s="1"/>
    </row>
    <row r="29" spans="1:9" x14ac:dyDescent="0.25">
      <c r="A29" s="1" t="s">
        <v>2</v>
      </c>
      <c r="B29" s="1" t="s">
        <v>23</v>
      </c>
      <c r="C29" s="1"/>
      <c r="D29" s="1" t="s">
        <v>8</v>
      </c>
      <c r="E29" s="1"/>
      <c r="G29" s="1"/>
      <c r="H29" s="1"/>
      <c r="I29" s="1"/>
    </row>
    <row r="30" spans="1:9" x14ac:dyDescent="0.25">
      <c r="A30" s="2">
        <v>5.0000000000000001E-3</v>
      </c>
      <c r="B30" s="17">
        <v>4.8103999999999996</v>
      </c>
      <c r="C30" s="13"/>
      <c r="D30" s="30">
        <f>AVERAGE(Tabelle134[Konzentration H2O])</f>
        <v>5.2273183333333328</v>
      </c>
      <c r="E30" s="15"/>
      <c r="G30" s="5"/>
      <c r="H30" s="28"/>
      <c r="I30" s="29"/>
    </row>
    <row r="31" spans="1:9" x14ac:dyDescent="0.25">
      <c r="A31" s="2">
        <v>5.0000000000000001E-3</v>
      </c>
      <c r="B31" s="17">
        <v>5.1895429999999996</v>
      </c>
      <c r="C31" s="13"/>
      <c r="D31" s="1" t="s">
        <v>20</v>
      </c>
      <c r="E31" s="1"/>
      <c r="G31" s="5"/>
      <c r="H31" s="26"/>
      <c r="I31" s="13"/>
    </row>
    <row r="32" spans="1:9" x14ac:dyDescent="0.25">
      <c r="A32" s="2">
        <v>5.0000000000000001E-3</v>
      </c>
      <c r="B32" s="17">
        <v>5.6820120000000003</v>
      </c>
      <c r="C32" s="14"/>
      <c r="D32" s="30">
        <f>_xlfn.STDEV.S(Tabelle134[Konzentration H2O])</f>
        <v>0.43703215155447506</v>
      </c>
      <c r="E32" s="15"/>
      <c r="G32" s="21"/>
      <c r="H32" s="1"/>
      <c r="I32" s="1"/>
    </row>
    <row r="33" spans="1:9" x14ac:dyDescent="0.25">
      <c r="A33" s="11"/>
      <c r="D33" s="1" t="s">
        <v>21</v>
      </c>
      <c r="E33" s="1"/>
      <c r="G33" s="1"/>
      <c r="H33" s="1"/>
      <c r="I33" s="1"/>
    </row>
    <row r="34" spans="1:9" x14ac:dyDescent="0.25">
      <c r="A34" s="31" t="s">
        <v>25</v>
      </c>
      <c r="B34" s="25"/>
      <c r="D34" s="27">
        <f>D32/D30</f>
        <v>8.3605421305151389E-2</v>
      </c>
      <c r="E34" s="23"/>
      <c r="G34" s="1"/>
      <c r="H34" s="1"/>
      <c r="I34" s="1"/>
    </row>
    <row r="35" spans="1:9" x14ac:dyDescent="0.25">
      <c r="A35" s="1"/>
      <c r="D35" s="1"/>
      <c r="E35" s="1"/>
      <c r="F35" s="1"/>
      <c r="G35" s="1"/>
      <c r="H35" s="1"/>
      <c r="I35" s="1"/>
    </row>
    <row r="36" spans="1:9" ht="21" x14ac:dyDescent="0.35">
      <c r="A36" s="22" t="s">
        <v>26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 t="s">
        <v>2</v>
      </c>
      <c r="B38" s="1" t="s">
        <v>17</v>
      </c>
      <c r="C38" s="1" t="s">
        <v>14</v>
      </c>
      <c r="D38" s="1"/>
      <c r="E38" s="1" t="s">
        <v>8</v>
      </c>
      <c r="F38" s="1" t="s">
        <v>8</v>
      </c>
      <c r="G38" s="1"/>
      <c r="H38" s="1"/>
      <c r="I38" s="1"/>
    </row>
    <row r="39" spans="1:9" x14ac:dyDescent="0.25">
      <c r="A39" s="11">
        <v>0.74009999999999998</v>
      </c>
      <c r="B39" s="28">
        <v>4.35E-4</v>
      </c>
      <c r="C39" s="13">
        <f>Tabelle4[[#This Row],[Massenprozent H20]]*Tabelle4[[#This Row],[Probengröße]]*1000</f>
        <v>0.32194349999999999</v>
      </c>
      <c r="D39" s="1"/>
      <c r="E39" s="12">
        <f>AVERAGE(Tabelle4[Massenprozent H20])</f>
        <v>4.0725000000000001E-4</v>
      </c>
      <c r="F39" s="15">
        <f>AVERAGE(Tabelle4[Masse H20])</f>
        <v>0.35358509999999999</v>
      </c>
      <c r="G39" s="1"/>
      <c r="H39" s="1"/>
      <c r="I39" s="1"/>
    </row>
    <row r="40" spans="1:9" x14ac:dyDescent="0.25">
      <c r="A40" s="11">
        <v>0.8851</v>
      </c>
      <c r="B40" s="12">
        <v>3.8400000000000001E-4</v>
      </c>
      <c r="C40" s="13">
        <f>Tabelle4[[#This Row],[Massenprozent H20]]*Tabelle4[[#This Row],[Probengröße]]*1000</f>
        <v>0.33987840000000002</v>
      </c>
      <c r="E40" s="1" t="s">
        <v>20</v>
      </c>
      <c r="F40" s="1" t="s">
        <v>20</v>
      </c>
    </row>
    <row r="41" spans="1:9" x14ac:dyDescent="0.25">
      <c r="A41" s="11">
        <v>0.91569999999999996</v>
      </c>
      <c r="B41" s="12">
        <v>4.3100000000000001E-4</v>
      </c>
      <c r="C41" s="13">
        <f>Tabelle4[[#This Row],[Massenprozent H20]]*Tabelle4[[#This Row],[Probengröße]]*1000</f>
        <v>0.39466669999999998</v>
      </c>
      <c r="E41" s="12">
        <f>_xlfn.STDEV.S(Tabelle4[Massenprozent H20])</f>
        <v>2.9848227194703988E-5</v>
      </c>
      <c r="F41" s="15">
        <f>_xlfn.STDEV.S(Tabelle4[Masse H20])</f>
        <v>3.1064272419721439E-2</v>
      </c>
    </row>
    <row r="42" spans="1:9" x14ac:dyDescent="0.25">
      <c r="A42" s="11">
        <v>0.94420000000000004</v>
      </c>
      <c r="B42" s="12">
        <v>3.79E-4</v>
      </c>
      <c r="C42" s="13">
        <f>Tabelle4[[#This Row],[Massenprozent H20]]*Tabelle4[[#This Row],[Probengröße]]*1000</f>
        <v>0.3578518</v>
      </c>
      <c r="E42" s="1" t="s">
        <v>21</v>
      </c>
      <c r="F42" s="1" t="s">
        <v>21</v>
      </c>
    </row>
    <row r="43" spans="1:9" x14ac:dyDescent="0.25">
      <c r="A43" s="11"/>
      <c r="C43" s="13"/>
      <c r="E43" s="27">
        <f>E41/E39</f>
        <v>7.3292147807744595E-2</v>
      </c>
      <c r="F43" s="23">
        <f>F41/F39</f>
        <v>8.7855151191951919E-2</v>
      </c>
    </row>
    <row r="44" spans="1:9" ht="21" x14ac:dyDescent="0.35">
      <c r="A44" s="22" t="s">
        <v>27</v>
      </c>
      <c r="B44" s="1"/>
      <c r="C44" s="1"/>
      <c r="D44" s="1"/>
      <c r="E44" s="1"/>
      <c r="F44" s="1"/>
    </row>
    <row r="45" spans="1:9" x14ac:dyDescent="0.25">
      <c r="A45" s="1"/>
      <c r="B45" s="1"/>
      <c r="C45" s="1"/>
      <c r="D45" s="1"/>
      <c r="E45" s="1"/>
      <c r="F45" s="1"/>
    </row>
    <row r="46" spans="1:9" x14ac:dyDescent="0.25">
      <c r="A46" s="1" t="s">
        <v>2</v>
      </c>
      <c r="B46" s="1" t="s">
        <v>17</v>
      </c>
      <c r="C46" s="1" t="s">
        <v>14</v>
      </c>
      <c r="D46" s="1"/>
      <c r="E46" s="1" t="s">
        <v>8</v>
      </c>
      <c r="F46" s="1" t="s">
        <v>8</v>
      </c>
    </row>
    <row r="47" spans="1:9" x14ac:dyDescent="0.25">
      <c r="A47" s="11">
        <v>0.1996</v>
      </c>
      <c r="B47" s="28">
        <v>2.3217000000000002E-2</v>
      </c>
      <c r="C47" s="13">
        <f>Tabelle46[[#This Row],[Massenprozent H20]]*Tabelle46[[#This Row],[Probengröße]]*1000</f>
        <v>4.6341132000000007</v>
      </c>
      <c r="D47" s="1"/>
      <c r="E47" s="12">
        <f>AVERAGE(Tabelle46[Massenprozent H20])</f>
        <v>2.1203E-2</v>
      </c>
      <c r="F47" s="15">
        <f>AVERAGE(Tabelle46[Masse H20])</f>
        <v>4.2628212000000003</v>
      </c>
    </row>
    <row r="48" spans="1:9" x14ac:dyDescent="0.25">
      <c r="A48" s="11">
        <v>0.20280000000000001</v>
      </c>
      <c r="B48" s="12">
        <v>1.9189000000000001E-2</v>
      </c>
      <c r="C48" s="13">
        <f>Tabelle46[[#This Row],[Massenprozent H20]]*Tabelle46[[#This Row],[Probengröße]]*1000</f>
        <v>3.8915292000000004</v>
      </c>
      <c r="D48" s="1"/>
      <c r="E48" s="1" t="s">
        <v>20</v>
      </c>
      <c r="F48" s="1" t="s">
        <v>20</v>
      </c>
    </row>
    <row r="49" spans="1:6" x14ac:dyDescent="0.25">
      <c r="A49" s="11"/>
      <c r="B49" s="12"/>
      <c r="C49" s="13"/>
      <c r="D49" s="1"/>
      <c r="E49" s="12">
        <f>_xlfn.STDEV.S(Tabelle46[Massenprozent H20])</f>
        <v>2.8482261146194139E-3</v>
      </c>
      <c r="F49" s="15">
        <f>_xlfn.STDEV.S(Tabelle46[Masse H20])</f>
        <v>0.52508618200063151</v>
      </c>
    </row>
    <row r="50" spans="1:6" x14ac:dyDescent="0.25">
      <c r="A50" s="11"/>
      <c r="B50" s="12"/>
      <c r="C50" s="13"/>
      <c r="D50" s="1"/>
      <c r="E50" s="1" t="s">
        <v>21</v>
      </c>
      <c r="F50" s="1" t="s">
        <v>21</v>
      </c>
    </row>
    <row r="51" spans="1:6" x14ac:dyDescent="0.25">
      <c r="A51" s="11"/>
      <c r="B51" s="1"/>
      <c r="C51" s="13"/>
      <c r="D51" s="1"/>
      <c r="E51" s="27">
        <f>E49/E47</f>
        <v>0.13433127928214941</v>
      </c>
      <c r="F51" s="23">
        <f>F49/F47</f>
        <v>0.12317809201113841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2020-06-02T08:54:16Z</dcterms:created>
  <dcterms:modified xsi:type="dcterms:W3CDTF">2020-06-02T12:09:24Z</dcterms:modified>
</cp:coreProperties>
</file>