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Studium\Analytik_Protokolle\V1.2\data\"/>
    </mc:Choice>
  </mc:AlternateContent>
  <xr:revisionPtr revIDLastSave="0" documentId="13_ncr:1_{FCC4A724-D022-4C83-BA71-5B0D826C8484}" xr6:coauthVersionLast="44" xr6:coauthVersionMax="45" xr10:uidLastSave="{00000000-0000-0000-0000-000000000000}"/>
  <bookViews>
    <workbookView xWindow="-120" yWindow="-120" windowWidth="20730" windowHeight="11160" activeTab="2" xr2:uid="{00000000-000D-0000-FFFF-FFFF00000000}"/>
  </bookViews>
  <sheets>
    <sheet name="Konduktometrie" sheetId="1" r:id="rId1"/>
    <sheet name="Dia Konduktor" sheetId="4" r:id="rId2"/>
    <sheet name="Potentiometrie" sheetId="2" r:id="rId3"/>
    <sheet name="Dia Potentio" sheetId="3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20" i="2" l="1"/>
  <c r="M12" i="1"/>
  <c r="M14" i="1" l="1"/>
  <c r="R20" i="2" l="1"/>
  <c r="O9" i="2"/>
  <c r="K10" i="1"/>
  <c r="O7" i="1"/>
  <c r="N8" i="2"/>
  <c r="N9" i="2"/>
  <c r="N7" i="2"/>
  <c r="M7" i="1"/>
  <c r="K9" i="1" l="1"/>
  <c r="K8" i="1"/>
  <c r="K7" i="1"/>
  <c r="K23" i="1"/>
  <c r="K22" i="1"/>
  <c r="K21" i="1"/>
  <c r="K20" i="1"/>
  <c r="K19" i="1"/>
  <c r="K18" i="1"/>
  <c r="K2" i="1"/>
  <c r="K15" i="1"/>
  <c r="K14" i="1"/>
  <c r="K16" i="1" l="1"/>
  <c r="K4" i="1"/>
  <c r="K5" i="1"/>
  <c r="K3" i="1"/>
  <c r="Q3" i="1" l="1"/>
  <c r="I5" i="2" l="1"/>
  <c r="I6" i="2"/>
  <c r="I7" i="2"/>
  <c r="I8" i="2"/>
  <c r="I9" i="2"/>
  <c r="I10" i="2"/>
  <c r="Q8" i="2" s="1"/>
  <c r="I11" i="2"/>
  <c r="Q4" i="2" s="1"/>
  <c r="I12" i="2"/>
  <c r="Q12" i="2" s="1"/>
  <c r="I13" i="2"/>
  <c r="I14" i="2"/>
  <c r="I15" i="2"/>
  <c r="I16" i="2"/>
  <c r="I17" i="2"/>
  <c r="I18" i="2"/>
  <c r="I19" i="2"/>
  <c r="I20" i="2"/>
  <c r="I21" i="2"/>
  <c r="I22" i="2"/>
  <c r="I23" i="2"/>
  <c r="I4" i="2"/>
  <c r="F5" i="2"/>
  <c r="F6" i="2"/>
  <c r="F7" i="2"/>
  <c r="F8" i="2"/>
  <c r="F9" i="2"/>
  <c r="F10" i="2"/>
  <c r="Q7" i="2" s="1"/>
  <c r="F11" i="2"/>
  <c r="Q3" i="2" s="1"/>
  <c r="F12" i="2"/>
  <c r="Q11" i="2" s="1"/>
  <c r="F13" i="2"/>
  <c r="F14" i="2"/>
  <c r="F15" i="2"/>
  <c r="F16" i="2"/>
  <c r="F17" i="2"/>
  <c r="F18" i="2"/>
  <c r="F19" i="2"/>
  <c r="F20" i="2"/>
  <c r="F21" i="2"/>
  <c r="F22" i="2"/>
  <c r="F23" i="2"/>
  <c r="F4" i="2"/>
  <c r="C5" i="2"/>
  <c r="C6" i="2"/>
  <c r="C7" i="2"/>
  <c r="C8" i="2"/>
  <c r="C9" i="2"/>
  <c r="C10" i="2"/>
  <c r="Q6" i="2" s="1"/>
  <c r="C11" i="2"/>
  <c r="Q2" i="2" s="1"/>
  <c r="C12" i="2"/>
  <c r="Q10" i="2" s="1"/>
  <c r="C13" i="2"/>
  <c r="C14" i="2"/>
  <c r="C15" i="2"/>
  <c r="C16" i="2"/>
  <c r="C17" i="2"/>
  <c r="C18" i="2"/>
  <c r="C19" i="2"/>
  <c r="C20" i="2"/>
  <c r="C21" i="2"/>
  <c r="C22" i="2"/>
  <c r="C23" i="2"/>
  <c r="C4" i="2"/>
  <c r="D4" i="2" l="1"/>
  <c r="D5" i="2" s="1"/>
  <c r="A4" i="2"/>
  <c r="A5" i="2" s="1"/>
  <c r="A6" i="2" s="1"/>
  <c r="A7" i="2" s="1"/>
  <c r="A8" i="2" s="1"/>
  <c r="A9" i="2" s="1"/>
  <c r="A10" i="2" s="1"/>
  <c r="G3" i="2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C4" i="1"/>
  <c r="C5" i="1"/>
  <c r="E5" i="1" s="1"/>
  <c r="E3" i="1"/>
  <c r="G4" i="2" l="1"/>
  <c r="A11" i="2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N2" i="2"/>
  <c r="G5" i="2"/>
  <c r="D6" i="2"/>
  <c r="D7" i="2" s="1"/>
  <c r="G7" i="2" s="1"/>
  <c r="N5" i="2"/>
  <c r="C6" i="1"/>
  <c r="E4" i="1"/>
  <c r="D8" i="2"/>
  <c r="G6" i="2" l="1"/>
  <c r="N11" i="2"/>
  <c r="N15" i="2" s="1"/>
  <c r="E6" i="1"/>
  <c r="C7" i="1"/>
  <c r="D9" i="2"/>
  <c r="G8" i="2"/>
  <c r="E7" i="1" l="1"/>
  <c r="C8" i="1"/>
  <c r="G9" i="2"/>
  <c r="D10" i="2"/>
  <c r="N3" i="2" l="1"/>
  <c r="N12" i="2" s="1"/>
  <c r="N16" i="2" s="1"/>
  <c r="N4" i="2"/>
  <c r="N13" i="2" s="1"/>
  <c r="N17" i="2" s="1"/>
  <c r="E8" i="1"/>
  <c r="C9" i="1"/>
  <c r="D11" i="2"/>
  <c r="G10" i="2"/>
  <c r="N20" i="2" l="1"/>
  <c r="M20" i="2"/>
  <c r="P20" i="2"/>
  <c r="E9" i="1"/>
  <c r="C10" i="1"/>
  <c r="G11" i="2"/>
  <c r="D12" i="2"/>
  <c r="E10" i="1" l="1"/>
  <c r="C11" i="1"/>
  <c r="D13" i="2"/>
  <c r="G12" i="2"/>
  <c r="E11" i="1" l="1"/>
  <c r="C12" i="1"/>
  <c r="G13" i="2"/>
  <c r="D14" i="2"/>
  <c r="E12" i="1" l="1"/>
  <c r="C13" i="1"/>
  <c r="D15" i="2"/>
  <c r="G14" i="2"/>
  <c r="E13" i="1" l="1"/>
  <c r="C14" i="1"/>
  <c r="G15" i="2"/>
  <c r="D16" i="2"/>
  <c r="E14" i="1" l="1"/>
  <c r="C15" i="1"/>
  <c r="D17" i="2"/>
  <c r="G16" i="2"/>
  <c r="E15" i="1" l="1"/>
  <c r="C16" i="1"/>
  <c r="G17" i="2"/>
  <c r="D18" i="2"/>
  <c r="E16" i="1" l="1"/>
  <c r="C17" i="1"/>
  <c r="D19" i="2"/>
  <c r="G18" i="2"/>
  <c r="E17" i="1" l="1"/>
  <c r="C18" i="1"/>
  <c r="M2" i="1"/>
  <c r="M3" i="1"/>
  <c r="G19" i="2"/>
  <c r="D20" i="2"/>
  <c r="E18" i="1" l="1"/>
  <c r="C19" i="1"/>
  <c r="O2" i="1"/>
  <c r="O3" i="1"/>
  <c r="D21" i="2"/>
  <c r="G20" i="2"/>
  <c r="E19" i="1" l="1"/>
  <c r="C20" i="1"/>
  <c r="G21" i="2"/>
  <c r="D22" i="2"/>
  <c r="E20" i="1" l="1"/>
  <c r="C21" i="1"/>
  <c r="D23" i="2"/>
  <c r="G23" i="2" s="1"/>
  <c r="G22" i="2"/>
  <c r="E21" i="1" l="1"/>
  <c r="C22" i="1"/>
  <c r="E22" i="1" l="1"/>
  <c r="C23" i="1"/>
  <c r="E23" i="1" l="1"/>
  <c r="C24" i="1"/>
  <c r="E24" i="1" l="1"/>
  <c r="C25" i="1"/>
  <c r="E25" i="1" l="1"/>
  <c r="C26" i="1"/>
  <c r="E26" i="1" l="1"/>
  <c r="C27" i="1"/>
  <c r="E27" i="1" l="1"/>
  <c r="C28" i="1"/>
  <c r="E28" i="1" l="1"/>
  <c r="C29" i="1"/>
  <c r="E29" i="1" l="1"/>
  <c r="C30" i="1"/>
  <c r="E30" i="1" l="1"/>
  <c r="C31" i="1"/>
  <c r="E31" i="1" l="1"/>
  <c r="C32" i="1"/>
  <c r="E32" i="1" l="1"/>
  <c r="C33" i="1"/>
  <c r="E33" i="1" l="1"/>
  <c r="C34" i="1"/>
  <c r="C35" i="1" l="1"/>
  <c r="E34" i="1"/>
  <c r="E35" i="1" l="1"/>
  <c r="C36" i="1"/>
  <c r="C37" i="1" l="1"/>
  <c r="E36" i="1"/>
  <c r="E37" i="1" l="1"/>
  <c r="C38" i="1"/>
  <c r="C39" i="1" l="1"/>
  <c r="E38" i="1"/>
  <c r="E39" i="1" l="1"/>
  <c r="C40" i="1"/>
  <c r="C41" i="1" l="1"/>
  <c r="E40" i="1"/>
  <c r="E41" i="1" l="1"/>
  <c r="C42" i="1"/>
  <c r="C43" i="1" l="1"/>
  <c r="E42" i="1"/>
  <c r="E43" i="1" l="1"/>
  <c r="M4" i="1"/>
  <c r="M5" i="1"/>
  <c r="O4" i="1" l="1"/>
  <c r="O5" i="1"/>
  <c r="M8" i="1"/>
  <c r="O8" i="1" s="1"/>
  <c r="M9" i="1" l="1"/>
  <c r="O9" i="1" s="1"/>
  <c r="L12" i="1" s="1"/>
  <c r="J12" i="1" l="1"/>
  <c r="K12" i="1"/>
</calcChain>
</file>

<file path=xl/sharedStrings.xml><?xml version="1.0" encoding="utf-8"?>
<sst xmlns="http://schemas.openxmlformats.org/spreadsheetml/2006/main" count="67" uniqueCount="55">
  <si>
    <t>Messreihen 2</t>
  </si>
  <si>
    <t>Messreihen 3</t>
  </si>
  <si>
    <t>Messreihen 1</t>
  </si>
  <si>
    <t>mV</t>
  </si>
  <si>
    <t>uS/cm</t>
  </si>
  <si>
    <t>m1_1</t>
  </si>
  <si>
    <t>y1_1</t>
  </si>
  <si>
    <t>m1_2</t>
  </si>
  <si>
    <t>y1_2</t>
  </si>
  <si>
    <t>m2_1</t>
  </si>
  <si>
    <t>y2_1</t>
  </si>
  <si>
    <t>m2_2</t>
  </si>
  <si>
    <t>y2_2</t>
  </si>
  <si>
    <t>m3_1</t>
  </si>
  <si>
    <t>y3_1</t>
  </si>
  <si>
    <t>m3_2</t>
  </si>
  <si>
    <t>y3_2</t>
  </si>
  <si>
    <t>x1</t>
  </si>
  <si>
    <t>x2</t>
  </si>
  <si>
    <t>x3</t>
  </si>
  <si>
    <t>Mittelwert</t>
  </si>
  <si>
    <t>Standardabweichung</t>
  </si>
  <si>
    <t>N</t>
  </si>
  <si>
    <t>-</t>
  </si>
  <si>
    <t>V'1</t>
  </si>
  <si>
    <t>V'2</t>
  </si>
  <si>
    <t>V'3</t>
  </si>
  <si>
    <t>dV</t>
  </si>
  <si>
    <t>dEmax_1</t>
  </si>
  <si>
    <t>dEmax_2</t>
  </si>
  <si>
    <t>dEmax_3</t>
  </si>
  <si>
    <t>dEvor_1</t>
  </si>
  <si>
    <t>dEvor_2</t>
  </si>
  <si>
    <t>dEvor_3</t>
  </si>
  <si>
    <t>dEnach_1</t>
  </si>
  <si>
    <t>dEnach_2</t>
  </si>
  <si>
    <t>dEnach_3</t>
  </si>
  <si>
    <t>Veq_1</t>
  </si>
  <si>
    <t>Veq_2</t>
  </si>
  <si>
    <t>Veq_3</t>
  </si>
  <si>
    <t>m1</t>
  </si>
  <si>
    <t>m2</t>
  </si>
  <si>
    <t>m3</t>
  </si>
  <si>
    <t>Titer</t>
  </si>
  <si>
    <t>c2</t>
  </si>
  <si>
    <t>c3</t>
  </si>
  <si>
    <t>c1 [mg/l]</t>
  </si>
  <si>
    <t>conf</t>
  </si>
  <si>
    <t>Messreihe 1</t>
  </si>
  <si>
    <t>Messreihe 2</t>
  </si>
  <si>
    <t>Messreihe 3</t>
  </si>
  <si>
    <t>dE_1</t>
  </si>
  <si>
    <t>dE_2</t>
  </si>
  <si>
    <t>dE_3</t>
  </si>
  <si>
    <t>temp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</si>
</sst>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E+00"/>
    <numFmt numFmtId="166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0" fontId="0" fillId="0" borderId="0" xfId="0" applyFill="1"/>
    <xf numFmtId="0" fontId="0" fillId="0" borderId="0" xfId="0" applyFont="1"/>
    <xf numFmtId="164" fontId="0" fillId="0" borderId="0" xfId="0" applyNumberFormat="1"/>
    <xf numFmtId="0" fontId="0" fillId="3" borderId="0" xfId="0" applyFill="1"/>
    <xf numFmtId="0" fontId="1" fillId="0" borderId="0" xfId="0" applyFont="1"/>
    <xf numFmtId="165" fontId="0" fillId="0" borderId="0" xfId="0" applyNumberFormat="1"/>
    <xf numFmtId="166" fontId="0" fillId="0" borderId="0" xfId="0" applyNumberFormat="1"/>
    <xf numFmtId="166" fontId="0" fillId="2" borderId="0" xfId="0" applyNumberFormat="1" applyFill="1"/>
    <xf numFmtId="166" fontId="0" fillId="3" borderId="0" xfId="0" applyNumberFormat="1" applyFill="1"/>
    <xf numFmtId="166" fontId="0" fillId="0" borderId="0" xfId="0" applyNumberFormat="1" applyFill="1"/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Messreihe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Konduktometrie!$A$3:$A$43</c:f>
              <c:numCache>
                <c:formatCode>0.0</c:formatCode>
                <c:ptCount val="4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</c:numCache>
            </c:numRef>
          </c:xVal>
          <c:yVal>
            <c:numRef>
              <c:f>Konduktometrie!$B$3:$B$43</c:f>
              <c:numCache>
                <c:formatCode>General</c:formatCode>
                <c:ptCount val="41"/>
                <c:pt idx="0">
                  <c:v>545</c:v>
                </c:pt>
                <c:pt idx="1">
                  <c:v>543</c:v>
                </c:pt>
                <c:pt idx="2">
                  <c:v>540</c:v>
                </c:pt>
                <c:pt idx="3">
                  <c:v>537</c:v>
                </c:pt>
                <c:pt idx="4">
                  <c:v>534</c:v>
                </c:pt>
                <c:pt idx="5">
                  <c:v>532</c:v>
                </c:pt>
                <c:pt idx="6">
                  <c:v>529</c:v>
                </c:pt>
                <c:pt idx="7">
                  <c:v>526</c:v>
                </c:pt>
                <c:pt idx="8">
                  <c:v>524</c:v>
                </c:pt>
                <c:pt idx="9">
                  <c:v>521</c:v>
                </c:pt>
                <c:pt idx="10">
                  <c:v>518</c:v>
                </c:pt>
                <c:pt idx="11">
                  <c:v>516</c:v>
                </c:pt>
                <c:pt idx="12">
                  <c:v>514</c:v>
                </c:pt>
                <c:pt idx="13">
                  <c:v>511</c:v>
                </c:pt>
                <c:pt idx="14">
                  <c:v>510</c:v>
                </c:pt>
                <c:pt idx="15">
                  <c:v>512</c:v>
                </c:pt>
                <c:pt idx="16">
                  <c:v>518</c:v>
                </c:pt>
                <c:pt idx="17">
                  <c:v>526</c:v>
                </c:pt>
                <c:pt idx="18">
                  <c:v>533</c:v>
                </c:pt>
                <c:pt idx="19">
                  <c:v>540</c:v>
                </c:pt>
                <c:pt idx="20">
                  <c:v>548</c:v>
                </c:pt>
                <c:pt idx="21">
                  <c:v>555</c:v>
                </c:pt>
                <c:pt idx="22">
                  <c:v>563</c:v>
                </c:pt>
                <c:pt idx="23">
                  <c:v>570</c:v>
                </c:pt>
                <c:pt idx="24">
                  <c:v>577</c:v>
                </c:pt>
                <c:pt idx="25">
                  <c:v>585</c:v>
                </c:pt>
                <c:pt idx="26">
                  <c:v>592</c:v>
                </c:pt>
                <c:pt idx="27">
                  <c:v>599</c:v>
                </c:pt>
                <c:pt idx="28">
                  <c:v>606</c:v>
                </c:pt>
                <c:pt idx="29">
                  <c:v>613</c:v>
                </c:pt>
                <c:pt idx="30">
                  <c:v>620</c:v>
                </c:pt>
                <c:pt idx="31">
                  <c:v>626</c:v>
                </c:pt>
                <c:pt idx="32">
                  <c:v>633</c:v>
                </c:pt>
                <c:pt idx="33">
                  <c:v>640</c:v>
                </c:pt>
                <c:pt idx="34">
                  <c:v>647</c:v>
                </c:pt>
                <c:pt idx="35">
                  <c:v>653</c:v>
                </c:pt>
                <c:pt idx="36">
                  <c:v>660</c:v>
                </c:pt>
                <c:pt idx="37">
                  <c:v>666</c:v>
                </c:pt>
                <c:pt idx="38">
                  <c:v>673</c:v>
                </c:pt>
                <c:pt idx="39">
                  <c:v>679</c:v>
                </c:pt>
                <c:pt idx="40">
                  <c:v>685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56-4591-A773-67C160E054AE}"/>
            </c:ext>
          </c:extLst>
        </c:ser>
        <c:ser>
          <c:idx val="1"/>
          <c:order val="1"/>
          <c:tx>
            <c:v>Messreihe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Konduktometrie!$C$3:$C$43</c:f>
              <c:numCache>
                <c:formatCode>0.0</c:formatCode>
                <c:ptCount val="4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</c:numCache>
            </c:numRef>
          </c:xVal>
          <c:yVal>
            <c:numRef>
              <c:f>Konduktometrie!$D$3:$D$43</c:f>
              <c:numCache>
                <c:formatCode>General</c:formatCode>
                <c:ptCount val="41"/>
                <c:pt idx="0">
                  <c:v>545</c:v>
                </c:pt>
                <c:pt idx="1">
                  <c:v>544</c:v>
                </c:pt>
                <c:pt idx="2">
                  <c:v>541</c:v>
                </c:pt>
                <c:pt idx="3">
                  <c:v>538</c:v>
                </c:pt>
                <c:pt idx="4">
                  <c:v>535</c:v>
                </c:pt>
                <c:pt idx="5">
                  <c:v>533</c:v>
                </c:pt>
                <c:pt idx="6">
                  <c:v>530</c:v>
                </c:pt>
                <c:pt idx="7">
                  <c:v>527</c:v>
                </c:pt>
                <c:pt idx="8">
                  <c:v>525</c:v>
                </c:pt>
                <c:pt idx="9">
                  <c:v>522</c:v>
                </c:pt>
                <c:pt idx="10">
                  <c:v>520</c:v>
                </c:pt>
                <c:pt idx="11">
                  <c:v>517</c:v>
                </c:pt>
                <c:pt idx="12">
                  <c:v>515</c:v>
                </c:pt>
                <c:pt idx="13">
                  <c:v>513</c:v>
                </c:pt>
                <c:pt idx="14">
                  <c:v>511</c:v>
                </c:pt>
                <c:pt idx="15">
                  <c:v>514</c:v>
                </c:pt>
                <c:pt idx="16">
                  <c:v>520</c:v>
                </c:pt>
                <c:pt idx="17">
                  <c:v>528</c:v>
                </c:pt>
                <c:pt idx="18">
                  <c:v>535</c:v>
                </c:pt>
                <c:pt idx="19">
                  <c:v>543</c:v>
                </c:pt>
                <c:pt idx="20">
                  <c:v>551</c:v>
                </c:pt>
                <c:pt idx="21">
                  <c:v>558</c:v>
                </c:pt>
                <c:pt idx="22">
                  <c:v>565</c:v>
                </c:pt>
                <c:pt idx="23">
                  <c:v>573</c:v>
                </c:pt>
                <c:pt idx="24">
                  <c:v>580</c:v>
                </c:pt>
                <c:pt idx="25">
                  <c:v>587</c:v>
                </c:pt>
                <c:pt idx="26">
                  <c:v>595</c:v>
                </c:pt>
                <c:pt idx="27">
                  <c:v>602</c:v>
                </c:pt>
                <c:pt idx="28">
                  <c:v>609</c:v>
                </c:pt>
                <c:pt idx="29">
                  <c:v>616</c:v>
                </c:pt>
                <c:pt idx="30">
                  <c:v>623</c:v>
                </c:pt>
                <c:pt idx="31">
                  <c:v>630</c:v>
                </c:pt>
                <c:pt idx="32">
                  <c:v>636</c:v>
                </c:pt>
                <c:pt idx="33">
                  <c:v>643</c:v>
                </c:pt>
                <c:pt idx="34">
                  <c:v>650</c:v>
                </c:pt>
                <c:pt idx="35">
                  <c:v>657</c:v>
                </c:pt>
                <c:pt idx="36">
                  <c:v>663</c:v>
                </c:pt>
                <c:pt idx="37">
                  <c:v>670</c:v>
                </c:pt>
                <c:pt idx="38">
                  <c:v>676</c:v>
                </c:pt>
                <c:pt idx="39">
                  <c:v>683</c:v>
                </c:pt>
                <c:pt idx="40">
                  <c:v>689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456-4591-A773-67C160E054AE}"/>
            </c:ext>
          </c:extLst>
        </c:ser>
        <c:ser>
          <c:idx val="2"/>
          <c:order val="2"/>
          <c:tx>
            <c:v>Messreihe 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Konduktometrie!$E$3:$E$43</c:f>
              <c:numCache>
                <c:formatCode>0.0</c:formatCode>
                <c:ptCount val="4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</c:numCache>
            </c:numRef>
          </c:xVal>
          <c:yVal>
            <c:numRef>
              <c:f>Konduktometrie!$F$3:$F$43</c:f>
              <c:numCache>
                <c:formatCode>General</c:formatCode>
                <c:ptCount val="41"/>
                <c:pt idx="0">
                  <c:v>543</c:v>
                </c:pt>
                <c:pt idx="1">
                  <c:v>541</c:v>
                </c:pt>
                <c:pt idx="2">
                  <c:v>538</c:v>
                </c:pt>
                <c:pt idx="3">
                  <c:v>535</c:v>
                </c:pt>
                <c:pt idx="4">
                  <c:v>533</c:v>
                </c:pt>
                <c:pt idx="5">
                  <c:v>530</c:v>
                </c:pt>
                <c:pt idx="6">
                  <c:v>528</c:v>
                </c:pt>
                <c:pt idx="7">
                  <c:v>525</c:v>
                </c:pt>
                <c:pt idx="8">
                  <c:v>522</c:v>
                </c:pt>
                <c:pt idx="9">
                  <c:v>520</c:v>
                </c:pt>
                <c:pt idx="10">
                  <c:v>518</c:v>
                </c:pt>
                <c:pt idx="11">
                  <c:v>515</c:v>
                </c:pt>
                <c:pt idx="12">
                  <c:v>513</c:v>
                </c:pt>
                <c:pt idx="13">
                  <c:v>511</c:v>
                </c:pt>
                <c:pt idx="14">
                  <c:v>509</c:v>
                </c:pt>
                <c:pt idx="15">
                  <c:v>512</c:v>
                </c:pt>
                <c:pt idx="16">
                  <c:v>519</c:v>
                </c:pt>
                <c:pt idx="17">
                  <c:v>526</c:v>
                </c:pt>
                <c:pt idx="18">
                  <c:v>534</c:v>
                </c:pt>
                <c:pt idx="19">
                  <c:v>541</c:v>
                </c:pt>
                <c:pt idx="20">
                  <c:v>549</c:v>
                </c:pt>
                <c:pt idx="21">
                  <c:v>556</c:v>
                </c:pt>
                <c:pt idx="22">
                  <c:v>564</c:v>
                </c:pt>
                <c:pt idx="23">
                  <c:v>571</c:v>
                </c:pt>
                <c:pt idx="24">
                  <c:v>579</c:v>
                </c:pt>
                <c:pt idx="25">
                  <c:v>586</c:v>
                </c:pt>
                <c:pt idx="26">
                  <c:v>593</c:v>
                </c:pt>
                <c:pt idx="27">
                  <c:v>600</c:v>
                </c:pt>
                <c:pt idx="28">
                  <c:v>607</c:v>
                </c:pt>
                <c:pt idx="29">
                  <c:v>614</c:v>
                </c:pt>
                <c:pt idx="30">
                  <c:v>621</c:v>
                </c:pt>
                <c:pt idx="31">
                  <c:v>628</c:v>
                </c:pt>
                <c:pt idx="32">
                  <c:v>635</c:v>
                </c:pt>
                <c:pt idx="33">
                  <c:v>642</c:v>
                </c:pt>
                <c:pt idx="34">
                  <c:v>649</c:v>
                </c:pt>
                <c:pt idx="35">
                  <c:v>655</c:v>
                </c:pt>
                <c:pt idx="36">
                  <c:v>662</c:v>
                </c:pt>
                <c:pt idx="37">
                  <c:v>669</c:v>
                </c:pt>
                <c:pt idx="38">
                  <c:v>675</c:v>
                </c:pt>
                <c:pt idx="39">
                  <c:v>682</c:v>
                </c:pt>
                <c:pt idx="40">
                  <c:v>688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456-4591-A773-67C160E054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418352"/>
        <c:axId val="472680976"/>
      </c:scatterChart>
      <c:valAx>
        <c:axId val="159418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680976"/>
        <c:crosses val="autoZero"/>
        <c:crossBetween val="midCat"/>
        <c:majorUnit val="1"/>
      </c:valAx>
      <c:valAx>
        <c:axId val="47268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418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Messreihe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Potentiometrie!$A$3:$A$23</c:f>
              <c:numCache>
                <c:formatCode>0.0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Potentiometrie!$B$3:$B$23</c:f>
              <c:numCache>
                <c:formatCode>General</c:formatCode>
                <c:ptCount val="21"/>
                <c:pt idx="0">
                  <c:v>174</c:v>
                </c:pt>
                <c:pt idx="1">
                  <c:v>182</c:v>
                </c:pt>
                <c:pt idx="2">
                  <c:v>187</c:v>
                </c:pt>
                <c:pt idx="3">
                  <c:v>192</c:v>
                </c:pt>
                <c:pt idx="4">
                  <c:v>199</c:v>
                </c:pt>
                <c:pt idx="5">
                  <c:v>207</c:v>
                </c:pt>
                <c:pt idx="6">
                  <c:v>220</c:v>
                </c:pt>
                <c:pt idx="7">
                  <c:v>245</c:v>
                </c:pt>
                <c:pt idx="8">
                  <c:v>301</c:v>
                </c:pt>
                <c:pt idx="9">
                  <c:v>326</c:v>
                </c:pt>
                <c:pt idx="10">
                  <c:v>339</c:v>
                </c:pt>
                <c:pt idx="11">
                  <c:v>347</c:v>
                </c:pt>
                <c:pt idx="12">
                  <c:v>354</c:v>
                </c:pt>
                <c:pt idx="13">
                  <c:v>358</c:v>
                </c:pt>
                <c:pt idx="14">
                  <c:v>362</c:v>
                </c:pt>
                <c:pt idx="15">
                  <c:v>366</c:v>
                </c:pt>
                <c:pt idx="16">
                  <c:v>369</c:v>
                </c:pt>
                <c:pt idx="17">
                  <c:v>371</c:v>
                </c:pt>
                <c:pt idx="18">
                  <c:v>374</c:v>
                </c:pt>
                <c:pt idx="19">
                  <c:v>375</c:v>
                </c:pt>
                <c:pt idx="20">
                  <c:v>377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BE-4456-A5F6-0B22C18E7A99}"/>
            </c:ext>
          </c:extLst>
        </c:ser>
        <c:ser>
          <c:idx val="1"/>
          <c:order val="1"/>
          <c:tx>
            <c:v>Messreihe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Potentiometrie!$D$3:$D$23</c:f>
              <c:numCache>
                <c:formatCode>0.0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Potentiometrie!$E$3:$E$23</c:f>
              <c:numCache>
                <c:formatCode>General</c:formatCode>
                <c:ptCount val="21"/>
                <c:pt idx="0">
                  <c:v>186</c:v>
                </c:pt>
                <c:pt idx="1">
                  <c:v>189</c:v>
                </c:pt>
                <c:pt idx="2">
                  <c:v>194</c:v>
                </c:pt>
                <c:pt idx="3">
                  <c:v>199</c:v>
                </c:pt>
                <c:pt idx="4">
                  <c:v>205</c:v>
                </c:pt>
                <c:pt idx="5">
                  <c:v>215</c:v>
                </c:pt>
                <c:pt idx="6">
                  <c:v>228</c:v>
                </c:pt>
                <c:pt idx="7">
                  <c:v>256</c:v>
                </c:pt>
                <c:pt idx="8">
                  <c:v>307</c:v>
                </c:pt>
                <c:pt idx="9">
                  <c:v>328</c:v>
                </c:pt>
                <c:pt idx="10">
                  <c:v>340</c:v>
                </c:pt>
                <c:pt idx="11">
                  <c:v>348</c:v>
                </c:pt>
                <c:pt idx="12">
                  <c:v>354</c:v>
                </c:pt>
                <c:pt idx="13">
                  <c:v>358</c:v>
                </c:pt>
                <c:pt idx="14">
                  <c:v>362</c:v>
                </c:pt>
                <c:pt idx="15">
                  <c:v>365</c:v>
                </c:pt>
                <c:pt idx="16">
                  <c:v>368</c:v>
                </c:pt>
                <c:pt idx="17">
                  <c:v>371</c:v>
                </c:pt>
                <c:pt idx="18">
                  <c:v>373</c:v>
                </c:pt>
                <c:pt idx="19">
                  <c:v>375</c:v>
                </c:pt>
                <c:pt idx="20">
                  <c:v>377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CC-4F2C-932B-864026414B7C}"/>
            </c:ext>
          </c:extLst>
        </c:ser>
        <c:ser>
          <c:idx val="2"/>
          <c:order val="2"/>
          <c:tx>
            <c:v>Messreihe 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Potentiometrie!$G$3:$G$23</c:f>
              <c:numCache>
                <c:formatCode>0.0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Potentiometrie!$H$3:$H$23</c:f>
              <c:numCache>
                <c:formatCode>General</c:formatCode>
                <c:ptCount val="21"/>
                <c:pt idx="0">
                  <c:v>186</c:v>
                </c:pt>
                <c:pt idx="1">
                  <c:v>189</c:v>
                </c:pt>
                <c:pt idx="2">
                  <c:v>193</c:v>
                </c:pt>
                <c:pt idx="3">
                  <c:v>198</c:v>
                </c:pt>
                <c:pt idx="4">
                  <c:v>204</c:v>
                </c:pt>
                <c:pt idx="5">
                  <c:v>213</c:v>
                </c:pt>
                <c:pt idx="6">
                  <c:v>226</c:v>
                </c:pt>
                <c:pt idx="7">
                  <c:v>251</c:v>
                </c:pt>
                <c:pt idx="8">
                  <c:v>304</c:v>
                </c:pt>
                <c:pt idx="9">
                  <c:v>328</c:v>
                </c:pt>
                <c:pt idx="10">
                  <c:v>340</c:v>
                </c:pt>
                <c:pt idx="11">
                  <c:v>347</c:v>
                </c:pt>
                <c:pt idx="12">
                  <c:v>353</c:v>
                </c:pt>
                <c:pt idx="13">
                  <c:v>358</c:v>
                </c:pt>
                <c:pt idx="14">
                  <c:v>361</c:v>
                </c:pt>
                <c:pt idx="15">
                  <c:v>365</c:v>
                </c:pt>
                <c:pt idx="16">
                  <c:v>367</c:v>
                </c:pt>
                <c:pt idx="17">
                  <c:v>370</c:v>
                </c:pt>
                <c:pt idx="18">
                  <c:v>372</c:v>
                </c:pt>
                <c:pt idx="19">
                  <c:v>374</c:v>
                </c:pt>
                <c:pt idx="20">
                  <c:v>376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3CC-4F2C-932B-864026414B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939024"/>
        <c:axId val="526866080"/>
      </c:scatterChart>
      <c:valAx>
        <c:axId val="412939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866080"/>
        <c:crosses val="autoZero"/>
        <c:crossBetween val="midCat"/>
      </c:valAx>
      <c:valAx>
        <c:axId val="52686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939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39D110A-412D-42F9-B5D5-61B5F920B169}">
  <sheetPr/>
  <sheetViews>
    <sheetView zoomScale="46" workbookViewId="0" zoomToFit="1"/>
  </sheetViews>
  <pageMargins left="0.7" right="0.7" top="0.78740157499999996" bottom="0.78740157499999996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B4C499E-2A2C-485A-AEC1-4C7B8ED63F91}">
  <sheetPr/>
  <sheetViews>
    <sheetView zoomScale="90" workbookViewId="0"/>
  </sheetViews>
  <pageMargins left="0.7" right="0.7" top="0.78740157499999996" bottom="0.78740157499999996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2750" cy="6016625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1B03524-53AC-443E-8DD2-A173643420C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2167" cy="6000750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7B6989D-C014-4032-96F5-E56DF8C7B82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216252-ABA1-A14F-BC57-E20FE8A85DB6}">
  <dimension ref="A1:Q43"/>
  <sheetViews>
    <sheetView topLeftCell="C1" zoomScaleNormal="150" zoomScaleSheetLayoutView="100" workbookViewId="0">
      <selection activeCell="M13" sqref="M13"/>
    </sheetView>
  </sheetViews>
  <sheetFormatPr baseColWidth="10" defaultColWidth="9.140625" defaultRowHeight="15" x14ac:dyDescent="0.25"/>
  <cols>
    <col min="10" max="10" width="10.5703125" bestFit="1" customWidth="1"/>
    <col min="11" max="11" width="19.7109375" bestFit="1" customWidth="1"/>
    <col min="13" max="13" width="10.28515625" bestFit="1" customWidth="1"/>
    <col min="14" max="14" width="10.5703125" bestFit="1" customWidth="1"/>
  </cols>
  <sheetData>
    <row r="1" spans="1:17" x14ac:dyDescent="0.25">
      <c r="A1" t="s">
        <v>4</v>
      </c>
    </row>
    <row r="2" spans="1:17" x14ac:dyDescent="0.25">
      <c r="A2" t="s">
        <v>48</v>
      </c>
      <c r="C2" t="s">
        <v>49</v>
      </c>
      <c r="E2" t="s">
        <v>50</v>
      </c>
      <c r="J2" s="6" t="s">
        <v>5</v>
      </c>
      <c r="K2" s="4">
        <f>SLOPE(B3:B17,A3:A17)</f>
        <v>-5.1857142857142859</v>
      </c>
      <c r="L2" s="6" t="s">
        <v>9</v>
      </c>
      <c r="M2" s="4">
        <f>SLOPE(D3:D17,C3:C17)</f>
        <v>-5.0714285714285712</v>
      </c>
      <c r="N2" s="6" t="s">
        <v>13</v>
      </c>
      <c r="O2" s="4">
        <f>SLOPE(F3:F17,E3:E17)</f>
        <v>-4.9571428571428573</v>
      </c>
      <c r="Q2" t="s">
        <v>43</v>
      </c>
    </row>
    <row r="3" spans="1:17" x14ac:dyDescent="0.25">
      <c r="A3" s="8">
        <v>0</v>
      </c>
      <c r="B3">
        <v>545</v>
      </c>
      <c r="C3" s="8">
        <v>0</v>
      </c>
      <c r="D3">
        <v>545</v>
      </c>
      <c r="E3" s="8">
        <f t="shared" ref="E3:E43" si="0">C3</f>
        <v>0</v>
      </c>
      <c r="F3">
        <v>543</v>
      </c>
      <c r="J3" s="6" t="s">
        <v>6</v>
      </c>
      <c r="K3" s="4">
        <f>INTERCEPT(B3:B17,A3:A17)</f>
        <v>544.81666666666661</v>
      </c>
      <c r="L3" s="6" t="s">
        <v>10</v>
      </c>
      <c r="M3" s="4">
        <f>INTERCEPT(D3:D17,C3:C17)</f>
        <v>545.48333333333335</v>
      </c>
      <c r="N3" s="6" t="s">
        <v>14</v>
      </c>
      <c r="O3" s="4">
        <f>INTERCEPT(F3:F17,E3:E17)</f>
        <v>542.75</v>
      </c>
      <c r="Q3">
        <f>0.35453</f>
        <v>0.35453000000000001</v>
      </c>
    </row>
    <row r="4" spans="1:17" x14ac:dyDescent="0.25">
      <c r="A4" s="8">
        <f t="shared" ref="A4:A43" si="1">A3+0.5</f>
        <v>0.5</v>
      </c>
      <c r="B4">
        <v>543</v>
      </c>
      <c r="C4" s="8">
        <f t="shared" ref="C4:C43" si="2">C3+0.5</f>
        <v>0.5</v>
      </c>
      <c r="D4">
        <v>544</v>
      </c>
      <c r="E4" s="8">
        <f t="shared" si="0"/>
        <v>0.5</v>
      </c>
      <c r="F4">
        <v>541</v>
      </c>
      <c r="J4" s="6" t="s">
        <v>7</v>
      </c>
      <c r="K4" s="4">
        <f>SLOPE(B17:B43,A17:A43)</f>
        <v>13.927960927960928</v>
      </c>
      <c r="L4" s="6" t="s">
        <v>11</v>
      </c>
      <c r="M4" s="4">
        <f>SLOPE(D17:D43,C17:C43)</f>
        <v>14.076923076923077</v>
      </c>
      <c r="N4" s="6" t="s">
        <v>15</v>
      </c>
      <c r="O4" s="4">
        <f>SLOPE(F17:F43,E17:E43)</f>
        <v>14.129426129426129</v>
      </c>
    </row>
    <row r="5" spans="1:17" x14ac:dyDescent="0.25">
      <c r="A5" s="8">
        <f t="shared" si="1"/>
        <v>1</v>
      </c>
      <c r="B5">
        <v>540</v>
      </c>
      <c r="C5" s="8">
        <f t="shared" si="2"/>
        <v>1</v>
      </c>
      <c r="D5">
        <v>541</v>
      </c>
      <c r="E5" s="8">
        <f t="shared" si="0"/>
        <v>1</v>
      </c>
      <c r="F5">
        <v>538</v>
      </c>
      <c r="J5" s="6" t="s">
        <v>8</v>
      </c>
      <c r="K5" s="4">
        <f>INTERCEPT(B17:B43,A17:A43)</f>
        <v>409.3428978428978</v>
      </c>
      <c r="L5" s="6" t="s">
        <v>12</v>
      </c>
      <c r="M5" s="4">
        <f>INTERCEPT(D17:D43,C17:C43)</f>
        <v>410.22079772079769</v>
      </c>
      <c r="N5" s="6" t="s">
        <v>16</v>
      </c>
      <c r="O5" s="4">
        <f>INTERCEPT(F17:F43,E17:E43)</f>
        <v>407.99348799348803</v>
      </c>
    </row>
    <row r="6" spans="1:17" x14ac:dyDescent="0.25">
      <c r="A6" s="8">
        <f t="shared" si="1"/>
        <v>1.5</v>
      </c>
      <c r="B6">
        <v>537</v>
      </c>
      <c r="C6" s="8">
        <f t="shared" si="2"/>
        <v>1.5</v>
      </c>
      <c r="D6">
        <v>538</v>
      </c>
      <c r="E6" s="8">
        <f t="shared" si="0"/>
        <v>1.5</v>
      </c>
      <c r="F6">
        <v>535</v>
      </c>
    </row>
    <row r="7" spans="1:17" x14ac:dyDescent="0.25">
      <c r="A7" s="8">
        <f t="shared" si="1"/>
        <v>2</v>
      </c>
      <c r="B7">
        <v>534</v>
      </c>
      <c r="C7" s="8">
        <f t="shared" si="2"/>
        <v>2</v>
      </c>
      <c r="D7">
        <v>535</v>
      </c>
      <c r="E7" s="8">
        <f t="shared" si="0"/>
        <v>2</v>
      </c>
      <c r="F7">
        <v>533</v>
      </c>
      <c r="J7" t="s">
        <v>17</v>
      </c>
      <c r="K7" s="4">
        <f>(K5-K3)/(K2-K4)*1.007</f>
        <v>7.1374073107577765</v>
      </c>
      <c r="L7" t="s">
        <v>40</v>
      </c>
      <c r="M7">
        <f>K7*$Q$3</f>
        <v>2.5304250138829545</v>
      </c>
      <c r="N7" t="s">
        <v>46</v>
      </c>
      <c r="O7" s="4">
        <f>M7/100*1000</f>
        <v>25.304250138829545</v>
      </c>
    </row>
    <row r="8" spans="1:17" x14ac:dyDescent="0.25">
      <c r="A8" s="8">
        <f t="shared" si="1"/>
        <v>2.5</v>
      </c>
      <c r="B8">
        <v>532</v>
      </c>
      <c r="C8" s="8">
        <f t="shared" si="2"/>
        <v>2.5</v>
      </c>
      <c r="D8">
        <v>533</v>
      </c>
      <c r="E8" s="8">
        <f t="shared" si="0"/>
        <v>2.5</v>
      </c>
      <c r="F8">
        <v>530</v>
      </c>
      <c r="J8" t="s">
        <v>18</v>
      </c>
      <c r="K8" s="4">
        <f>(M5-M3)/(M2-M4)*1.007</f>
        <v>7.1133733003879067</v>
      </c>
      <c r="L8" t="s">
        <v>41</v>
      </c>
      <c r="M8">
        <f t="shared" ref="M8:M9" si="3">K8*$Q$3</f>
        <v>2.5219042361865247</v>
      </c>
      <c r="N8" t="s">
        <v>44</v>
      </c>
      <c r="O8" s="4">
        <f t="shared" ref="O8:O9" si="4">M8/100*1000</f>
        <v>25.219042361865245</v>
      </c>
    </row>
    <row r="9" spans="1:17" x14ac:dyDescent="0.25">
      <c r="A9" s="8">
        <f t="shared" si="1"/>
        <v>3</v>
      </c>
      <c r="B9">
        <v>529</v>
      </c>
      <c r="C9" s="8">
        <f t="shared" si="2"/>
        <v>3</v>
      </c>
      <c r="D9">
        <v>530</v>
      </c>
      <c r="E9" s="8">
        <f t="shared" si="0"/>
        <v>3</v>
      </c>
      <c r="F9">
        <v>528</v>
      </c>
      <c r="J9" t="s">
        <v>19</v>
      </c>
      <c r="K9" s="4">
        <f>(O5-O3)/(O2-O4)*1.007</f>
        <v>7.109701470497293</v>
      </c>
      <c r="L9" t="s">
        <v>42</v>
      </c>
      <c r="M9">
        <f t="shared" si="3"/>
        <v>2.5206024623354053</v>
      </c>
      <c r="N9" t="s">
        <v>45</v>
      </c>
      <c r="O9" s="4">
        <f t="shared" si="4"/>
        <v>25.206024623354054</v>
      </c>
    </row>
    <row r="10" spans="1:17" x14ac:dyDescent="0.25">
      <c r="A10" s="8">
        <f t="shared" si="1"/>
        <v>3.5</v>
      </c>
      <c r="B10">
        <v>526</v>
      </c>
      <c r="C10" s="8">
        <f t="shared" si="2"/>
        <v>3.5</v>
      </c>
      <c r="D10">
        <v>527</v>
      </c>
      <c r="E10" s="8">
        <f t="shared" si="0"/>
        <v>3.5</v>
      </c>
      <c r="F10">
        <v>525</v>
      </c>
      <c r="K10" s="4">
        <f>AVERAGE(K7:K9)</f>
        <v>7.1201606938809912</v>
      </c>
    </row>
    <row r="11" spans="1:17" x14ac:dyDescent="0.25">
      <c r="A11" s="8">
        <f t="shared" si="1"/>
        <v>4</v>
      </c>
      <c r="B11">
        <v>524</v>
      </c>
      <c r="C11" s="8">
        <f t="shared" si="2"/>
        <v>4</v>
      </c>
      <c r="D11">
        <v>525</v>
      </c>
      <c r="E11" s="8">
        <f t="shared" si="0"/>
        <v>4</v>
      </c>
      <c r="F11">
        <v>522</v>
      </c>
      <c r="J11" t="s">
        <v>20</v>
      </c>
      <c r="K11" t="s">
        <v>21</v>
      </c>
      <c r="L11" t="s">
        <v>22</v>
      </c>
      <c r="M11" t="s">
        <v>47</v>
      </c>
    </row>
    <row r="12" spans="1:17" x14ac:dyDescent="0.25">
      <c r="A12" s="8">
        <f t="shared" si="1"/>
        <v>4.5</v>
      </c>
      <c r="B12">
        <v>521</v>
      </c>
      <c r="C12" s="8">
        <f t="shared" si="2"/>
        <v>4.5</v>
      </c>
      <c r="D12">
        <v>522</v>
      </c>
      <c r="E12" s="8">
        <f t="shared" si="0"/>
        <v>4.5</v>
      </c>
      <c r="F12">
        <v>520</v>
      </c>
      <c r="J12" s="4">
        <f>AVERAGE(O7:O9)</f>
        <v>25.243105708016284</v>
      </c>
      <c r="K12" s="7">
        <f>_xlfn.STDEV.S(O7:O9)</f>
        <v>5.3351161595554003E-2</v>
      </c>
      <c r="L12">
        <f>COUNT(O7:O9)</f>
        <v>3</v>
      </c>
      <c r="M12" s="4">
        <f>K12*4.303/SQRT(3)</f>
        <v>0.13254232921024733</v>
      </c>
    </row>
    <row r="13" spans="1:17" x14ac:dyDescent="0.25">
      <c r="A13" s="8">
        <f t="shared" si="1"/>
        <v>5</v>
      </c>
      <c r="B13">
        <v>518</v>
      </c>
      <c r="C13" s="8">
        <f t="shared" si="2"/>
        <v>5</v>
      </c>
      <c r="D13">
        <v>520</v>
      </c>
      <c r="E13" s="8">
        <f t="shared" si="0"/>
        <v>5</v>
      </c>
      <c r="F13">
        <v>518</v>
      </c>
    </row>
    <row r="14" spans="1:17" x14ac:dyDescent="0.25">
      <c r="A14" s="8">
        <f t="shared" si="1"/>
        <v>5.5</v>
      </c>
      <c r="B14">
        <v>516</v>
      </c>
      <c r="C14" s="8">
        <f t="shared" si="2"/>
        <v>5.5</v>
      </c>
      <c r="D14">
        <v>517</v>
      </c>
      <c r="E14" s="8">
        <f t="shared" si="0"/>
        <v>5.5</v>
      </c>
      <c r="F14">
        <v>515</v>
      </c>
      <c r="K14" s="4">
        <f>409-544</f>
        <v>-135</v>
      </c>
      <c r="M14" s="7">
        <f>(J12-250)/K12*SQRT(L12)</f>
        <v>-7296.7550962853729</v>
      </c>
    </row>
    <row r="15" spans="1:17" x14ac:dyDescent="0.25">
      <c r="A15" s="8">
        <f t="shared" si="1"/>
        <v>6</v>
      </c>
      <c r="B15">
        <v>514</v>
      </c>
      <c r="C15" s="8">
        <f t="shared" si="2"/>
        <v>6</v>
      </c>
      <c r="D15">
        <v>515</v>
      </c>
      <c r="E15" s="8">
        <f t="shared" si="0"/>
        <v>6</v>
      </c>
      <c r="F15">
        <v>513</v>
      </c>
      <c r="K15" s="4">
        <f>-5.286-13.92</f>
        <v>-19.206</v>
      </c>
    </row>
    <row r="16" spans="1:17" x14ac:dyDescent="0.25">
      <c r="A16" s="8">
        <f t="shared" si="1"/>
        <v>6.5</v>
      </c>
      <c r="B16">
        <v>511</v>
      </c>
      <c r="C16" s="8">
        <f t="shared" si="2"/>
        <v>6.5</v>
      </c>
      <c r="D16">
        <v>513</v>
      </c>
      <c r="E16" s="8">
        <f t="shared" si="0"/>
        <v>6.5</v>
      </c>
      <c r="F16">
        <v>511</v>
      </c>
      <c r="K16">
        <f>K15/K14</f>
        <v>0.14226666666666665</v>
      </c>
    </row>
    <row r="17" spans="1:11" x14ac:dyDescent="0.25">
      <c r="A17" s="9">
        <f t="shared" si="1"/>
        <v>7</v>
      </c>
      <c r="B17" s="1">
        <v>510</v>
      </c>
      <c r="C17" s="9">
        <f t="shared" si="2"/>
        <v>7</v>
      </c>
      <c r="D17" s="1">
        <v>511</v>
      </c>
      <c r="E17" s="9">
        <f t="shared" si="0"/>
        <v>7</v>
      </c>
      <c r="F17" s="1">
        <v>509</v>
      </c>
    </row>
    <row r="18" spans="1:11" x14ac:dyDescent="0.25">
      <c r="A18" s="8">
        <f t="shared" si="1"/>
        <v>7.5</v>
      </c>
      <c r="B18">
        <v>512</v>
      </c>
      <c r="C18" s="8">
        <f t="shared" si="2"/>
        <v>7.5</v>
      </c>
      <c r="D18">
        <v>514</v>
      </c>
      <c r="E18" s="8">
        <f t="shared" si="0"/>
        <v>7.5</v>
      </c>
      <c r="F18">
        <v>512</v>
      </c>
      <c r="J18">
        <v>11</v>
      </c>
      <c r="K18" s="4">
        <f>CORREL(B3:B17,A3:A17)*-1</f>
        <v>0.99869597571784707</v>
      </c>
    </row>
    <row r="19" spans="1:11" x14ac:dyDescent="0.25">
      <c r="A19" s="8">
        <f t="shared" si="1"/>
        <v>8</v>
      </c>
      <c r="B19">
        <v>518</v>
      </c>
      <c r="C19" s="8">
        <f t="shared" si="2"/>
        <v>8</v>
      </c>
      <c r="D19">
        <v>520</v>
      </c>
      <c r="E19" s="8">
        <f t="shared" si="0"/>
        <v>8</v>
      </c>
      <c r="F19">
        <v>519</v>
      </c>
      <c r="J19">
        <v>12</v>
      </c>
      <c r="K19" s="4">
        <f>CORREL(B17:B43,A17:A43)*1</f>
        <v>0.99959633808707971</v>
      </c>
    </row>
    <row r="20" spans="1:11" x14ac:dyDescent="0.25">
      <c r="A20" s="8">
        <f t="shared" si="1"/>
        <v>8.5</v>
      </c>
      <c r="B20">
        <v>526</v>
      </c>
      <c r="C20" s="8">
        <f t="shared" si="2"/>
        <v>8.5</v>
      </c>
      <c r="D20">
        <v>528</v>
      </c>
      <c r="E20" s="8">
        <f t="shared" si="0"/>
        <v>8.5</v>
      </c>
      <c r="F20">
        <v>526</v>
      </c>
      <c r="J20">
        <v>21</v>
      </c>
      <c r="K20" s="4">
        <f>CORREL(D3:D17,C3:C17)*-1</f>
        <v>0.99873150584869785</v>
      </c>
    </row>
    <row r="21" spans="1:11" x14ac:dyDescent="0.25">
      <c r="A21" s="8">
        <f t="shared" si="1"/>
        <v>9</v>
      </c>
      <c r="B21">
        <v>533</v>
      </c>
      <c r="C21" s="8">
        <f t="shared" si="2"/>
        <v>9</v>
      </c>
      <c r="D21">
        <v>535</v>
      </c>
      <c r="E21" s="8">
        <f t="shared" si="0"/>
        <v>9</v>
      </c>
      <c r="F21">
        <v>534</v>
      </c>
      <c r="J21">
        <v>22</v>
      </c>
      <c r="K21" s="4">
        <f>CORREL(D17:D43,C17:C43)</f>
        <v>0.99963812198439184</v>
      </c>
    </row>
    <row r="22" spans="1:11" x14ac:dyDescent="0.25">
      <c r="A22" s="8">
        <f t="shared" si="1"/>
        <v>9.5</v>
      </c>
      <c r="B22">
        <v>540</v>
      </c>
      <c r="C22" s="8">
        <f t="shared" si="2"/>
        <v>9.5</v>
      </c>
      <c r="D22">
        <v>543</v>
      </c>
      <c r="E22" s="8">
        <f t="shared" si="0"/>
        <v>9.5</v>
      </c>
      <c r="F22">
        <v>541</v>
      </c>
      <c r="J22">
        <v>31</v>
      </c>
      <c r="K22" s="4">
        <f>CORREL(F3:F17,E3:E17)*-1</f>
        <v>0.99899246395696151</v>
      </c>
    </row>
    <row r="23" spans="1:11" x14ac:dyDescent="0.25">
      <c r="A23" s="8">
        <f t="shared" si="1"/>
        <v>10</v>
      </c>
      <c r="B23">
        <v>548</v>
      </c>
      <c r="C23" s="8">
        <f t="shared" si="2"/>
        <v>10</v>
      </c>
      <c r="D23">
        <v>551</v>
      </c>
      <c r="E23" s="8">
        <f t="shared" si="0"/>
        <v>10</v>
      </c>
      <c r="F23">
        <v>549</v>
      </c>
      <c r="J23">
        <v>32</v>
      </c>
      <c r="K23" s="4">
        <f>CORREL(F17:F43,E17:E43)</f>
        <v>0.99971679326016005</v>
      </c>
    </row>
    <row r="24" spans="1:11" x14ac:dyDescent="0.25">
      <c r="A24" s="8">
        <f t="shared" si="1"/>
        <v>10.5</v>
      </c>
      <c r="B24">
        <v>555</v>
      </c>
      <c r="C24" s="8">
        <f t="shared" si="2"/>
        <v>10.5</v>
      </c>
      <c r="D24">
        <v>558</v>
      </c>
      <c r="E24" s="8">
        <f t="shared" si="0"/>
        <v>10.5</v>
      </c>
      <c r="F24">
        <v>556</v>
      </c>
    </row>
    <row r="25" spans="1:11" x14ac:dyDescent="0.25">
      <c r="A25" s="8">
        <f t="shared" si="1"/>
        <v>11</v>
      </c>
      <c r="B25">
        <v>563</v>
      </c>
      <c r="C25" s="8">
        <f t="shared" si="2"/>
        <v>11</v>
      </c>
      <c r="D25">
        <v>565</v>
      </c>
      <c r="E25" s="8">
        <f t="shared" si="0"/>
        <v>11</v>
      </c>
      <c r="F25">
        <v>564</v>
      </c>
    </row>
    <row r="26" spans="1:11" x14ac:dyDescent="0.25">
      <c r="A26" s="8">
        <f t="shared" si="1"/>
        <v>11.5</v>
      </c>
      <c r="B26">
        <v>570</v>
      </c>
      <c r="C26" s="8">
        <f t="shared" si="2"/>
        <v>11.5</v>
      </c>
      <c r="D26">
        <v>573</v>
      </c>
      <c r="E26" s="8">
        <f t="shared" si="0"/>
        <v>11.5</v>
      </c>
      <c r="F26">
        <v>571</v>
      </c>
    </row>
    <row r="27" spans="1:11" x14ac:dyDescent="0.25">
      <c r="A27" s="8">
        <f t="shared" si="1"/>
        <v>12</v>
      </c>
      <c r="B27">
        <v>577</v>
      </c>
      <c r="C27" s="8">
        <f t="shared" si="2"/>
        <v>12</v>
      </c>
      <c r="D27">
        <v>580</v>
      </c>
      <c r="E27" s="8">
        <f t="shared" si="0"/>
        <v>12</v>
      </c>
      <c r="F27">
        <v>579</v>
      </c>
    </row>
    <row r="28" spans="1:11" x14ac:dyDescent="0.25">
      <c r="A28" s="8">
        <f t="shared" si="1"/>
        <v>12.5</v>
      </c>
      <c r="B28">
        <v>585</v>
      </c>
      <c r="C28" s="8">
        <f t="shared" si="2"/>
        <v>12.5</v>
      </c>
      <c r="D28">
        <v>587</v>
      </c>
      <c r="E28" s="8">
        <f t="shared" si="0"/>
        <v>12.5</v>
      </c>
      <c r="F28">
        <v>586</v>
      </c>
    </row>
    <row r="29" spans="1:11" x14ac:dyDescent="0.25">
      <c r="A29" s="8">
        <f t="shared" si="1"/>
        <v>13</v>
      </c>
      <c r="B29">
        <v>592</v>
      </c>
      <c r="C29" s="8">
        <f t="shared" si="2"/>
        <v>13</v>
      </c>
      <c r="D29">
        <v>595</v>
      </c>
      <c r="E29" s="8">
        <f t="shared" si="0"/>
        <v>13</v>
      </c>
      <c r="F29">
        <v>593</v>
      </c>
    </row>
    <row r="30" spans="1:11" x14ac:dyDescent="0.25">
      <c r="A30" s="8">
        <f t="shared" si="1"/>
        <v>13.5</v>
      </c>
      <c r="B30">
        <v>599</v>
      </c>
      <c r="C30" s="8">
        <f t="shared" si="2"/>
        <v>13.5</v>
      </c>
      <c r="D30">
        <v>602</v>
      </c>
      <c r="E30" s="8">
        <f t="shared" si="0"/>
        <v>13.5</v>
      </c>
      <c r="F30">
        <v>600</v>
      </c>
    </row>
    <row r="31" spans="1:11" x14ac:dyDescent="0.25">
      <c r="A31" s="8">
        <f t="shared" si="1"/>
        <v>14</v>
      </c>
      <c r="B31">
        <v>606</v>
      </c>
      <c r="C31" s="8">
        <f t="shared" si="2"/>
        <v>14</v>
      </c>
      <c r="D31">
        <v>609</v>
      </c>
      <c r="E31" s="8">
        <f t="shared" si="0"/>
        <v>14</v>
      </c>
      <c r="F31">
        <v>607</v>
      </c>
    </row>
    <row r="32" spans="1:11" x14ac:dyDescent="0.25">
      <c r="A32" s="8">
        <f t="shared" si="1"/>
        <v>14.5</v>
      </c>
      <c r="B32">
        <v>613</v>
      </c>
      <c r="C32" s="8">
        <f t="shared" si="2"/>
        <v>14.5</v>
      </c>
      <c r="D32">
        <v>616</v>
      </c>
      <c r="E32" s="8">
        <f t="shared" si="0"/>
        <v>14.5</v>
      </c>
      <c r="F32">
        <v>614</v>
      </c>
    </row>
    <row r="33" spans="1:6" x14ac:dyDescent="0.25">
      <c r="A33" s="8">
        <f t="shared" si="1"/>
        <v>15</v>
      </c>
      <c r="B33">
        <v>620</v>
      </c>
      <c r="C33" s="8">
        <f t="shared" si="2"/>
        <v>15</v>
      </c>
      <c r="D33">
        <v>623</v>
      </c>
      <c r="E33" s="8">
        <f t="shared" si="0"/>
        <v>15</v>
      </c>
      <c r="F33">
        <v>621</v>
      </c>
    </row>
    <row r="34" spans="1:6" x14ac:dyDescent="0.25">
      <c r="A34" s="8">
        <f t="shared" si="1"/>
        <v>15.5</v>
      </c>
      <c r="B34">
        <v>626</v>
      </c>
      <c r="C34" s="8">
        <f t="shared" si="2"/>
        <v>15.5</v>
      </c>
      <c r="D34">
        <v>630</v>
      </c>
      <c r="E34" s="8">
        <f t="shared" si="0"/>
        <v>15.5</v>
      </c>
      <c r="F34">
        <v>628</v>
      </c>
    </row>
    <row r="35" spans="1:6" x14ac:dyDescent="0.25">
      <c r="A35" s="8">
        <f t="shared" si="1"/>
        <v>16</v>
      </c>
      <c r="B35">
        <v>633</v>
      </c>
      <c r="C35" s="8">
        <f t="shared" si="2"/>
        <v>16</v>
      </c>
      <c r="D35">
        <v>636</v>
      </c>
      <c r="E35" s="8">
        <f t="shared" si="0"/>
        <v>16</v>
      </c>
      <c r="F35">
        <v>635</v>
      </c>
    </row>
    <row r="36" spans="1:6" x14ac:dyDescent="0.25">
      <c r="A36" s="8">
        <f t="shared" si="1"/>
        <v>16.5</v>
      </c>
      <c r="B36">
        <v>640</v>
      </c>
      <c r="C36" s="8">
        <f t="shared" si="2"/>
        <v>16.5</v>
      </c>
      <c r="D36">
        <v>643</v>
      </c>
      <c r="E36" s="8">
        <f t="shared" si="0"/>
        <v>16.5</v>
      </c>
      <c r="F36">
        <v>642</v>
      </c>
    </row>
    <row r="37" spans="1:6" x14ac:dyDescent="0.25">
      <c r="A37" s="8">
        <f t="shared" si="1"/>
        <v>17</v>
      </c>
      <c r="B37">
        <v>647</v>
      </c>
      <c r="C37" s="8">
        <f t="shared" si="2"/>
        <v>17</v>
      </c>
      <c r="D37">
        <v>650</v>
      </c>
      <c r="E37" s="8">
        <f t="shared" si="0"/>
        <v>17</v>
      </c>
      <c r="F37">
        <v>649</v>
      </c>
    </row>
    <row r="38" spans="1:6" x14ac:dyDescent="0.25">
      <c r="A38" s="8">
        <f t="shared" si="1"/>
        <v>17.5</v>
      </c>
      <c r="B38">
        <v>653</v>
      </c>
      <c r="C38" s="8">
        <f t="shared" si="2"/>
        <v>17.5</v>
      </c>
      <c r="D38">
        <v>657</v>
      </c>
      <c r="E38" s="8">
        <f t="shared" si="0"/>
        <v>17.5</v>
      </c>
      <c r="F38">
        <v>655</v>
      </c>
    </row>
    <row r="39" spans="1:6" x14ac:dyDescent="0.25">
      <c r="A39" s="8">
        <f t="shared" si="1"/>
        <v>18</v>
      </c>
      <c r="B39">
        <v>660</v>
      </c>
      <c r="C39" s="8">
        <f t="shared" si="2"/>
        <v>18</v>
      </c>
      <c r="D39">
        <v>663</v>
      </c>
      <c r="E39" s="8">
        <f t="shared" si="0"/>
        <v>18</v>
      </c>
      <c r="F39">
        <v>662</v>
      </c>
    </row>
    <row r="40" spans="1:6" x14ac:dyDescent="0.25">
      <c r="A40" s="8">
        <f t="shared" si="1"/>
        <v>18.5</v>
      </c>
      <c r="B40">
        <v>666</v>
      </c>
      <c r="C40" s="8">
        <f t="shared" si="2"/>
        <v>18.5</v>
      </c>
      <c r="D40">
        <v>670</v>
      </c>
      <c r="E40" s="8">
        <f t="shared" si="0"/>
        <v>18.5</v>
      </c>
      <c r="F40">
        <v>669</v>
      </c>
    </row>
    <row r="41" spans="1:6" x14ac:dyDescent="0.25">
      <c r="A41" s="8">
        <f t="shared" si="1"/>
        <v>19</v>
      </c>
      <c r="B41">
        <v>673</v>
      </c>
      <c r="C41" s="8">
        <f t="shared" si="2"/>
        <v>19</v>
      </c>
      <c r="D41">
        <v>676</v>
      </c>
      <c r="E41" s="8">
        <f t="shared" si="0"/>
        <v>19</v>
      </c>
      <c r="F41">
        <v>675</v>
      </c>
    </row>
    <row r="42" spans="1:6" x14ac:dyDescent="0.25">
      <c r="A42" s="8">
        <f t="shared" si="1"/>
        <v>19.5</v>
      </c>
      <c r="B42">
        <v>679</v>
      </c>
      <c r="C42" s="8">
        <f t="shared" si="2"/>
        <v>19.5</v>
      </c>
      <c r="D42">
        <v>683</v>
      </c>
      <c r="E42" s="8">
        <f t="shared" si="0"/>
        <v>19.5</v>
      </c>
      <c r="F42">
        <v>682</v>
      </c>
    </row>
    <row r="43" spans="1:6" x14ac:dyDescent="0.25">
      <c r="A43" s="8">
        <f t="shared" si="1"/>
        <v>20</v>
      </c>
      <c r="B43">
        <v>685</v>
      </c>
      <c r="C43" s="8">
        <f t="shared" si="2"/>
        <v>20</v>
      </c>
      <c r="D43">
        <v>689</v>
      </c>
      <c r="E43" s="8">
        <f t="shared" si="0"/>
        <v>20</v>
      </c>
      <c r="F43">
        <v>688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09F642-07AB-BE4E-BC35-56B43652603D}">
  <dimension ref="A1:R23"/>
  <sheetViews>
    <sheetView tabSelected="1" topLeftCell="L1" zoomScaleNormal="150" zoomScaleSheetLayoutView="100" workbookViewId="0">
      <selection activeCell="Q21" sqref="Q21"/>
    </sheetView>
  </sheetViews>
  <sheetFormatPr baseColWidth="10" defaultColWidth="9.140625" defaultRowHeight="15" x14ac:dyDescent="0.25"/>
  <cols>
    <col min="13" max="13" width="12.5703125" bestFit="1" customWidth="1"/>
    <col min="15" max="15" width="10.42578125" customWidth="1"/>
    <col min="18" max="18" width="10.28515625" bestFit="1" customWidth="1"/>
  </cols>
  <sheetData>
    <row r="1" spans="1:17" x14ac:dyDescent="0.25">
      <c r="A1" t="s">
        <v>3</v>
      </c>
    </row>
    <row r="2" spans="1:17" x14ac:dyDescent="0.25">
      <c r="A2" t="s">
        <v>2</v>
      </c>
      <c r="C2" t="s">
        <v>51</v>
      </c>
      <c r="D2" t="s">
        <v>0</v>
      </c>
      <c r="F2" t="s">
        <v>52</v>
      </c>
      <c r="G2" t="s">
        <v>1</v>
      </c>
      <c r="I2" t="s">
        <v>53</v>
      </c>
      <c r="M2" t="s">
        <v>24</v>
      </c>
      <c r="N2">
        <f>A10</f>
        <v>3.5</v>
      </c>
      <c r="P2" t="s">
        <v>28</v>
      </c>
      <c r="Q2">
        <f>C11</f>
        <v>56</v>
      </c>
    </row>
    <row r="3" spans="1:17" x14ac:dyDescent="0.25">
      <c r="A3" s="8">
        <v>0</v>
      </c>
      <c r="B3">
        <v>174</v>
      </c>
      <c r="C3" t="s">
        <v>23</v>
      </c>
      <c r="D3" s="8">
        <v>0</v>
      </c>
      <c r="E3">
        <v>186</v>
      </c>
      <c r="F3" t="s">
        <v>23</v>
      </c>
      <c r="G3" s="8">
        <f t="shared" ref="G3:G23" si="0">D3</f>
        <v>0</v>
      </c>
      <c r="H3">
        <v>186</v>
      </c>
      <c r="I3" t="s">
        <v>23</v>
      </c>
      <c r="M3" t="s">
        <v>25</v>
      </c>
      <c r="N3">
        <f>D10</f>
        <v>3.5</v>
      </c>
      <c r="P3" t="s">
        <v>29</v>
      </c>
      <c r="Q3">
        <f>F11</f>
        <v>51</v>
      </c>
    </row>
    <row r="4" spans="1:17" x14ac:dyDescent="0.25">
      <c r="A4" s="8">
        <f t="shared" ref="A4:A23" si="1">A3+0.5</f>
        <v>0.5</v>
      </c>
      <c r="B4">
        <v>182</v>
      </c>
      <c r="C4">
        <f>B4-B3</f>
        <v>8</v>
      </c>
      <c r="D4" s="8">
        <f t="shared" ref="D4:D23" si="2">D3+0.5</f>
        <v>0.5</v>
      </c>
      <c r="E4">
        <v>189</v>
      </c>
      <c r="F4">
        <f>E4-E3</f>
        <v>3</v>
      </c>
      <c r="G4" s="8">
        <f t="shared" si="0"/>
        <v>0.5</v>
      </c>
      <c r="H4" s="3">
        <v>189</v>
      </c>
      <c r="I4">
        <f>H4-H3</f>
        <v>3</v>
      </c>
      <c r="M4" t="s">
        <v>26</v>
      </c>
      <c r="N4">
        <f>D10</f>
        <v>3.5</v>
      </c>
      <c r="P4" t="s">
        <v>30</v>
      </c>
      <c r="Q4">
        <f>I11</f>
        <v>53</v>
      </c>
    </row>
    <row r="5" spans="1:17" x14ac:dyDescent="0.25">
      <c r="A5" s="8">
        <f t="shared" si="1"/>
        <v>1</v>
      </c>
      <c r="B5">
        <v>187</v>
      </c>
      <c r="C5">
        <f t="shared" ref="C5:C23" si="3">B5-B4</f>
        <v>5</v>
      </c>
      <c r="D5" s="8">
        <f t="shared" si="2"/>
        <v>1</v>
      </c>
      <c r="E5">
        <v>194</v>
      </c>
      <c r="F5">
        <f t="shared" ref="F5:F23" si="4">E5-E4</f>
        <v>5</v>
      </c>
      <c r="G5" s="8">
        <f t="shared" si="0"/>
        <v>1</v>
      </c>
      <c r="H5">
        <v>193</v>
      </c>
      <c r="I5">
        <f t="shared" ref="I5:I23" si="5">H5-H4</f>
        <v>4</v>
      </c>
      <c r="M5" t="s">
        <v>27</v>
      </c>
      <c r="N5">
        <f>G4-G3</f>
        <v>0.5</v>
      </c>
    </row>
    <row r="6" spans="1:17" x14ac:dyDescent="0.25">
      <c r="A6" s="8">
        <f t="shared" si="1"/>
        <v>1.5</v>
      </c>
      <c r="B6">
        <v>192</v>
      </c>
      <c r="C6">
        <f t="shared" si="3"/>
        <v>5</v>
      </c>
      <c r="D6" s="8">
        <f t="shared" si="2"/>
        <v>1.5</v>
      </c>
      <c r="E6">
        <v>199</v>
      </c>
      <c r="F6">
        <f t="shared" si="4"/>
        <v>5</v>
      </c>
      <c r="G6" s="8">
        <f t="shared" si="0"/>
        <v>1.5</v>
      </c>
      <c r="H6">
        <v>198</v>
      </c>
      <c r="I6">
        <f t="shared" si="5"/>
        <v>5</v>
      </c>
      <c r="P6" t="s">
        <v>31</v>
      </c>
      <c r="Q6">
        <f>C10</f>
        <v>25</v>
      </c>
    </row>
    <row r="7" spans="1:17" x14ac:dyDescent="0.25">
      <c r="A7" s="8">
        <f t="shared" si="1"/>
        <v>2</v>
      </c>
      <c r="B7">
        <v>199</v>
      </c>
      <c r="C7">
        <f t="shared" si="3"/>
        <v>7</v>
      </c>
      <c r="D7" s="8">
        <f t="shared" si="2"/>
        <v>2</v>
      </c>
      <c r="E7">
        <v>205</v>
      </c>
      <c r="F7">
        <f t="shared" si="4"/>
        <v>6</v>
      </c>
      <c r="G7" s="8">
        <f t="shared" si="0"/>
        <v>2</v>
      </c>
      <c r="H7">
        <v>204</v>
      </c>
      <c r="I7">
        <f t="shared" si="5"/>
        <v>6</v>
      </c>
      <c r="M7" t="s">
        <v>37</v>
      </c>
      <c r="N7" s="4">
        <f>(N2+($N$5*(Q2-Q6))/(2*Q2-Q6+Q10))*1.007</f>
        <v>3.6638616071428567</v>
      </c>
      <c r="P7" t="s">
        <v>32</v>
      </c>
      <c r="Q7">
        <f>F10</f>
        <v>28</v>
      </c>
    </row>
    <row r="8" spans="1:17" x14ac:dyDescent="0.25">
      <c r="A8" s="8">
        <f t="shared" si="1"/>
        <v>2.5</v>
      </c>
      <c r="B8">
        <v>207</v>
      </c>
      <c r="C8">
        <f t="shared" si="3"/>
        <v>8</v>
      </c>
      <c r="D8" s="8">
        <f t="shared" si="2"/>
        <v>2.5</v>
      </c>
      <c r="E8">
        <v>215</v>
      </c>
      <c r="F8">
        <f t="shared" si="4"/>
        <v>10</v>
      </c>
      <c r="G8" s="8">
        <f t="shared" si="0"/>
        <v>2.5</v>
      </c>
      <c r="H8">
        <v>213</v>
      </c>
      <c r="I8">
        <f t="shared" si="5"/>
        <v>9</v>
      </c>
      <c r="M8" t="s">
        <v>38</v>
      </c>
      <c r="N8" s="4">
        <f t="shared" ref="N8:N9" si="6">(N3+($N$5*(Q3-Q7))/(2*Q3-Q7+Q11))*1.007</f>
        <v>3.6463999999999999</v>
      </c>
      <c r="P8" t="s">
        <v>33</v>
      </c>
      <c r="Q8">
        <f>I10</f>
        <v>25</v>
      </c>
    </row>
    <row r="9" spans="1:17" x14ac:dyDescent="0.25">
      <c r="A9" s="8">
        <f t="shared" si="1"/>
        <v>3</v>
      </c>
      <c r="B9">
        <v>220</v>
      </c>
      <c r="C9">
        <f t="shared" si="3"/>
        <v>13</v>
      </c>
      <c r="D9" s="8">
        <f t="shared" si="2"/>
        <v>3</v>
      </c>
      <c r="E9">
        <v>228</v>
      </c>
      <c r="F9">
        <f t="shared" si="4"/>
        <v>13</v>
      </c>
      <c r="G9" s="8">
        <f t="shared" si="0"/>
        <v>3</v>
      </c>
      <c r="H9">
        <v>226</v>
      </c>
      <c r="I9">
        <f t="shared" si="5"/>
        <v>13</v>
      </c>
      <c r="M9" t="s">
        <v>39</v>
      </c>
      <c r="N9" s="4">
        <f t="shared" si="6"/>
        <v>3.6587666666666663</v>
      </c>
      <c r="O9" s="4">
        <f>AVERAGE(N7:N9)</f>
        <v>3.6563427579365073</v>
      </c>
    </row>
    <row r="10" spans="1:17" x14ac:dyDescent="0.25">
      <c r="A10" s="8">
        <f t="shared" si="1"/>
        <v>3.5</v>
      </c>
      <c r="B10">
        <v>245</v>
      </c>
      <c r="C10">
        <f t="shared" si="3"/>
        <v>25</v>
      </c>
      <c r="D10" s="8">
        <f t="shared" si="2"/>
        <v>3.5</v>
      </c>
      <c r="E10">
        <v>256</v>
      </c>
      <c r="F10">
        <f t="shared" si="4"/>
        <v>28</v>
      </c>
      <c r="G10" s="8">
        <f t="shared" si="0"/>
        <v>3.5</v>
      </c>
      <c r="H10">
        <v>251</v>
      </c>
      <c r="I10">
        <f t="shared" si="5"/>
        <v>25</v>
      </c>
      <c r="N10" s="4"/>
      <c r="P10" t="s">
        <v>34</v>
      </c>
      <c r="Q10">
        <f>C12</f>
        <v>25</v>
      </c>
    </row>
    <row r="11" spans="1:17" x14ac:dyDescent="0.25">
      <c r="A11" s="10">
        <f t="shared" si="1"/>
        <v>4</v>
      </c>
      <c r="B11" s="5">
        <v>301</v>
      </c>
      <c r="C11" s="5">
        <f t="shared" si="3"/>
        <v>56</v>
      </c>
      <c r="D11" s="10">
        <f t="shared" si="2"/>
        <v>4</v>
      </c>
      <c r="E11" s="5">
        <v>307</v>
      </c>
      <c r="F11" s="5">
        <f t="shared" si="4"/>
        <v>51</v>
      </c>
      <c r="G11" s="10">
        <f t="shared" si="0"/>
        <v>4</v>
      </c>
      <c r="H11" s="5">
        <v>304</v>
      </c>
      <c r="I11" s="5">
        <f t="shared" si="5"/>
        <v>53</v>
      </c>
      <c r="M11" t="s">
        <v>40</v>
      </c>
      <c r="N11" s="4">
        <f>N7*Konduktometrie!$Q$3</f>
        <v>1.298948855580357</v>
      </c>
      <c r="P11" t="s">
        <v>35</v>
      </c>
      <c r="Q11">
        <f>F12</f>
        <v>21</v>
      </c>
    </row>
    <row r="12" spans="1:17" x14ac:dyDescent="0.25">
      <c r="A12" s="8">
        <f t="shared" si="1"/>
        <v>4.5</v>
      </c>
      <c r="B12">
        <v>326</v>
      </c>
      <c r="C12">
        <f t="shared" si="3"/>
        <v>25</v>
      </c>
      <c r="D12" s="8">
        <f t="shared" si="2"/>
        <v>4.5</v>
      </c>
      <c r="E12">
        <v>328</v>
      </c>
      <c r="F12">
        <f t="shared" si="4"/>
        <v>21</v>
      </c>
      <c r="G12" s="8">
        <f t="shared" si="0"/>
        <v>4.5</v>
      </c>
      <c r="H12">
        <v>328</v>
      </c>
      <c r="I12">
        <f t="shared" si="5"/>
        <v>24</v>
      </c>
      <c r="M12" t="s">
        <v>41</v>
      </c>
      <c r="N12" s="4">
        <f>N8*Konduktometrie!$Q$3</f>
        <v>1.292758192</v>
      </c>
      <c r="P12" t="s">
        <v>36</v>
      </c>
      <c r="Q12">
        <f>I12</f>
        <v>24</v>
      </c>
    </row>
    <row r="13" spans="1:17" x14ac:dyDescent="0.25">
      <c r="A13" s="8">
        <f t="shared" si="1"/>
        <v>5</v>
      </c>
      <c r="B13">
        <v>339</v>
      </c>
      <c r="C13">
        <f t="shared" si="3"/>
        <v>13</v>
      </c>
      <c r="D13" s="8">
        <f t="shared" si="2"/>
        <v>5</v>
      </c>
      <c r="E13">
        <v>340</v>
      </c>
      <c r="F13">
        <f t="shared" si="4"/>
        <v>12</v>
      </c>
      <c r="G13" s="8">
        <f t="shared" si="0"/>
        <v>5</v>
      </c>
      <c r="H13">
        <v>340</v>
      </c>
      <c r="I13">
        <f t="shared" si="5"/>
        <v>12</v>
      </c>
      <c r="M13" t="s">
        <v>42</v>
      </c>
      <c r="N13" s="4">
        <f>N9*Konduktometrie!$Q$3</f>
        <v>1.2971425463333333</v>
      </c>
    </row>
    <row r="14" spans="1:17" x14ac:dyDescent="0.25">
      <c r="A14" s="8">
        <f t="shared" si="1"/>
        <v>5.5</v>
      </c>
      <c r="B14">
        <v>347</v>
      </c>
      <c r="C14">
        <f t="shared" si="3"/>
        <v>8</v>
      </c>
      <c r="D14" s="8">
        <f t="shared" si="2"/>
        <v>5.5</v>
      </c>
      <c r="E14">
        <v>348</v>
      </c>
      <c r="F14">
        <f t="shared" si="4"/>
        <v>8</v>
      </c>
      <c r="G14" s="8">
        <f t="shared" si="0"/>
        <v>5.5</v>
      </c>
      <c r="H14">
        <v>347</v>
      </c>
      <c r="I14">
        <f t="shared" si="5"/>
        <v>7</v>
      </c>
    </row>
    <row r="15" spans="1:17" x14ac:dyDescent="0.25">
      <c r="A15" s="8">
        <f t="shared" si="1"/>
        <v>6</v>
      </c>
      <c r="B15">
        <v>354</v>
      </c>
      <c r="C15">
        <f t="shared" si="3"/>
        <v>7</v>
      </c>
      <c r="D15" s="8">
        <f t="shared" si="2"/>
        <v>6</v>
      </c>
      <c r="E15">
        <v>354</v>
      </c>
      <c r="F15">
        <f t="shared" si="4"/>
        <v>6</v>
      </c>
      <c r="G15" s="8">
        <f t="shared" si="0"/>
        <v>6</v>
      </c>
      <c r="H15">
        <v>353</v>
      </c>
      <c r="I15">
        <f t="shared" si="5"/>
        <v>6</v>
      </c>
      <c r="M15" t="s">
        <v>46</v>
      </c>
      <c r="N15" s="4">
        <f>N11/50*1000</f>
        <v>25.97897711160714</v>
      </c>
    </row>
    <row r="16" spans="1:17" x14ac:dyDescent="0.25">
      <c r="A16" s="8">
        <f t="shared" si="1"/>
        <v>6.5</v>
      </c>
      <c r="B16">
        <v>358</v>
      </c>
      <c r="C16">
        <f t="shared" si="3"/>
        <v>4</v>
      </c>
      <c r="D16" s="8">
        <f t="shared" si="2"/>
        <v>6.5</v>
      </c>
      <c r="E16">
        <v>358</v>
      </c>
      <c r="F16">
        <f t="shared" si="4"/>
        <v>4</v>
      </c>
      <c r="G16" s="8">
        <f t="shared" si="0"/>
        <v>6.5</v>
      </c>
      <c r="H16">
        <v>358</v>
      </c>
      <c r="I16">
        <f t="shared" si="5"/>
        <v>5</v>
      </c>
      <c r="M16" t="s">
        <v>44</v>
      </c>
      <c r="N16" s="4">
        <f t="shared" ref="N16:N17" si="7">N12/50*1000</f>
        <v>25.855163839999999</v>
      </c>
    </row>
    <row r="17" spans="1:18" x14ac:dyDescent="0.25">
      <c r="A17" s="11">
        <f t="shared" si="1"/>
        <v>7</v>
      </c>
      <c r="B17" s="2">
        <v>362</v>
      </c>
      <c r="C17">
        <f t="shared" si="3"/>
        <v>4</v>
      </c>
      <c r="D17" s="11">
        <f t="shared" si="2"/>
        <v>7</v>
      </c>
      <c r="E17" s="2">
        <v>362</v>
      </c>
      <c r="F17">
        <f t="shared" si="4"/>
        <v>4</v>
      </c>
      <c r="G17" s="11">
        <f t="shared" si="0"/>
        <v>7</v>
      </c>
      <c r="H17" s="2">
        <v>361</v>
      </c>
      <c r="I17">
        <f t="shared" si="5"/>
        <v>3</v>
      </c>
      <c r="M17" t="s">
        <v>45</v>
      </c>
      <c r="N17" s="4">
        <f t="shared" si="7"/>
        <v>25.942850926666665</v>
      </c>
    </row>
    <row r="18" spans="1:18" x14ac:dyDescent="0.25">
      <c r="A18" s="8">
        <f t="shared" si="1"/>
        <v>7.5</v>
      </c>
      <c r="B18">
        <v>366</v>
      </c>
      <c r="C18">
        <f t="shared" si="3"/>
        <v>4</v>
      </c>
      <c r="D18" s="8">
        <f t="shared" si="2"/>
        <v>7.5</v>
      </c>
      <c r="E18">
        <v>365</v>
      </c>
      <c r="F18">
        <f t="shared" si="4"/>
        <v>3</v>
      </c>
      <c r="G18" s="8">
        <f t="shared" si="0"/>
        <v>7.5</v>
      </c>
      <c r="H18">
        <v>365</v>
      </c>
      <c r="I18">
        <f t="shared" si="5"/>
        <v>4</v>
      </c>
    </row>
    <row r="19" spans="1:18" x14ac:dyDescent="0.25">
      <c r="A19" s="8">
        <f t="shared" si="1"/>
        <v>8</v>
      </c>
      <c r="B19">
        <v>369</v>
      </c>
      <c r="C19">
        <f t="shared" si="3"/>
        <v>3</v>
      </c>
      <c r="D19" s="8">
        <f t="shared" si="2"/>
        <v>8</v>
      </c>
      <c r="E19">
        <v>368</v>
      </c>
      <c r="F19">
        <f t="shared" si="4"/>
        <v>3</v>
      </c>
      <c r="G19" s="8">
        <f t="shared" si="0"/>
        <v>8</v>
      </c>
      <c r="H19">
        <v>367</v>
      </c>
      <c r="I19">
        <f t="shared" si="5"/>
        <v>2</v>
      </c>
      <c r="M19" s="6" t="s">
        <v>20</v>
      </c>
      <c r="N19" s="12" t="s">
        <v>21</v>
      </c>
      <c r="O19" s="12"/>
      <c r="P19" s="6" t="s">
        <v>22</v>
      </c>
      <c r="Q19" t="s">
        <v>47</v>
      </c>
      <c r="R19" t="s">
        <v>54</v>
      </c>
    </row>
    <row r="20" spans="1:18" x14ac:dyDescent="0.25">
      <c r="A20" s="8">
        <f t="shared" si="1"/>
        <v>8.5</v>
      </c>
      <c r="B20">
        <v>371</v>
      </c>
      <c r="C20">
        <f t="shared" si="3"/>
        <v>2</v>
      </c>
      <c r="D20" s="8">
        <f t="shared" si="2"/>
        <v>8.5</v>
      </c>
      <c r="E20">
        <v>371</v>
      </c>
      <c r="F20">
        <f t="shared" si="4"/>
        <v>3</v>
      </c>
      <c r="G20" s="8">
        <f t="shared" si="0"/>
        <v>8.5</v>
      </c>
      <c r="H20">
        <v>370</v>
      </c>
      <c r="I20">
        <f t="shared" si="5"/>
        <v>3</v>
      </c>
      <c r="M20" s="4">
        <f>AVERAGE(N15:N17)</f>
        <v>25.9256639594246</v>
      </c>
      <c r="N20" s="13">
        <f>_xlfn.STDEV.S(N15:N17)</f>
        <v>6.3670836642459094E-2</v>
      </c>
      <c r="O20" s="13"/>
      <c r="P20">
        <f>COUNT(N15:N17)</f>
        <v>3</v>
      </c>
      <c r="Q20" s="4">
        <f>4.303/SQRT(3)*N20</f>
        <v>0.15817989222675069</v>
      </c>
      <c r="R20" s="7">
        <f>(M20-250)/N20*SQRT(P20)</f>
        <v>-6095.5400487972765</v>
      </c>
    </row>
    <row r="21" spans="1:18" x14ac:dyDescent="0.25">
      <c r="A21" s="8">
        <f t="shared" si="1"/>
        <v>9</v>
      </c>
      <c r="B21">
        <v>374</v>
      </c>
      <c r="C21">
        <f t="shared" si="3"/>
        <v>3</v>
      </c>
      <c r="D21" s="8">
        <f t="shared" si="2"/>
        <v>9</v>
      </c>
      <c r="E21">
        <v>373</v>
      </c>
      <c r="F21">
        <f t="shared" si="4"/>
        <v>2</v>
      </c>
      <c r="G21" s="8">
        <f t="shared" si="0"/>
        <v>9</v>
      </c>
      <c r="H21">
        <v>372</v>
      </c>
      <c r="I21">
        <f t="shared" si="5"/>
        <v>2</v>
      </c>
    </row>
    <row r="22" spans="1:18" x14ac:dyDescent="0.25">
      <c r="A22" s="8">
        <f t="shared" si="1"/>
        <v>9.5</v>
      </c>
      <c r="B22">
        <v>375</v>
      </c>
      <c r="C22">
        <f t="shared" si="3"/>
        <v>1</v>
      </c>
      <c r="D22" s="8">
        <f t="shared" si="2"/>
        <v>9.5</v>
      </c>
      <c r="E22">
        <v>375</v>
      </c>
      <c r="F22">
        <f t="shared" si="4"/>
        <v>2</v>
      </c>
      <c r="G22" s="8">
        <f t="shared" si="0"/>
        <v>9.5</v>
      </c>
      <c r="H22">
        <v>374</v>
      </c>
      <c r="I22">
        <f t="shared" si="5"/>
        <v>2</v>
      </c>
    </row>
    <row r="23" spans="1:18" x14ac:dyDescent="0.25">
      <c r="A23" s="8">
        <f t="shared" si="1"/>
        <v>10</v>
      </c>
      <c r="B23">
        <v>377</v>
      </c>
      <c r="C23">
        <f t="shared" si="3"/>
        <v>2</v>
      </c>
      <c r="D23" s="8">
        <f t="shared" si="2"/>
        <v>10</v>
      </c>
      <c r="E23">
        <v>377</v>
      </c>
      <c r="F23">
        <f t="shared" si="4"/>
        <v>2</v>
      </c>
      <c r="G23" s="8">
        <f t="shared" si="0"/>
        <v>10</v>
      </c>
      <c r="H23">
        <v>376</v>
      </c>
      <c r="I23">
        <f t="shared" si="5"/>
        <v>2</v>
      </c>
    </row>
  </sheetData>
  <mergeCells count="2">
    <mergeCell ref="N19:O19"/>
    <mergeCell ref="N20:O20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Diagramme</vt:lpstr>
      </vt:variant>
      <vt:variant>
        <vt:i4>2</vt:i4>
      </vt:variant>
    </vt:vector>
  </HeadingPairs>
  <TitlesOfParts>
    <vt:vector size="4" baseType="lpstr">
      <vt:lpstr>Konduktometrie</vt:lpstr>
      <vt:lpstr>Potentiometrie</vt:lpstr>
      <vt:lpstr>Dia Konduktor</vt:lpstr>
      <vt:lpstr>Dia Potentio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 Zank</dc:creator>
  <cp:lastModifiedBy>Roman Zank</cp:lastModifiedBy>
  <dcterms:created xsi:type="dcterms:W3CDTF">2020-07-06T14:21:01Z</dcterms:created>
  <dcterms:modified xsi:type="dcterms:W3CDTF">2020-07-13T17:40:04Z</dcterms:modified>
</cp:coreProperties>
</file>