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PC2_Protokolle\05_Versuch ADS\data\"/>
    </mc:Choice>
  </mc:AlternateContent>
  <xr:revisionPtr revIDLastSave="0" documentId="13_ncr:1_{E675AEBB-8980-4C30-86DF-03269AE668AD}" xr6:coauthVersionLast="45" xr6:coauthVersionMax="45" xr10:uidLastSave="{00000000-0000-0000-0000-000000000000}"/>
  <bookViews>
    <workbookView xWindow="-120" yWindow="-120" windowWidth="20730" windowHeight="11160" xr2:uid="{968DEC4D-1594-44BB-BDB2-A71C7D451D1D}"/>
  </bookViews>
  <sheets>
    <sheet name="Messdaten" sheetId="1" r:id="rId1"/>
    <sheet name="Kalibrierung" sheetId="18" r:id="rId2"/>
    <sheet name="b vs c" sheetId="14" r:id="rId3"/>
    <sheet name="ln b vs ln c" sheetId="16" r:id="rId4"/>
    <sheet name="1_b vs 1_c" sheetId="17" r:id="rId5"/>
  </sheets>
  <definedNames>
    <definedName name="solver_adj" localSheetId="0" hidden="1">Messdaten!$V$18:$V$19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Messdaten!$F$17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Messdaten!$Z$17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" i="1" l="1"/>
  <c r="Z15" i="1"/>
  <c r="W6" i="1"/>
  <c r="Y6" i="1"/>
  <c r="Q21" i="1"/>
  <c r="R21" i="1"/>
  <c r="S6" i="1"/>
  <c r="Q19" i="1"/>
  <c r="Q18" i="1"/>
  <c r="W7" i="1" l="1"/>
  <c r="W8" i="1"/>
  <c r="W9" i="1"/>
  <c r="W10" i="1"/>
  <c r="W11" i="1"/>
  <c r="W12" i="1"/>
  <c r="W13" i="1"/>
  <c r="W14" i="1"/>
  <c r="W15" i="1"/>
  <c r="W19" i="1"/>
  <c r="W18" i="1"/>
  <c r="N6" i="1" l="1"/>
  <c r="L7" i="1"/>
  <c r="L6" i="1"/>
  <c r="K6" i="1"/>
  <c r="J6" i="1"/>
  <c r="C17" i="1" l="1"/>
  <c r="C15" i="1"/>
  <c r="L18" i="1"/>
  <c r="K15" i="1"/>
  <c r="V15" i="1" s="1"/>
  <c r="M6" i="1" l="1"/>
  <c r="V6" i="1"/>
  <c r="Q15" i="1"/>
  <c r="Q6" i="1"/>
  <c r="R6" i="1" s="1"/>
  <c r="J15" i="1"/>
  <c r="K13" i="1"/>
  <c r="Q13" i="1" l="1"/>
  <c r="V13" i="1"/>
  <c r="J13" i="1"/>
  <c r="X6" i="1"/>
  <c r="U6" i="1"/>
  <c r="P6" i="1"/>
  <c r="C16" i="1"/>
  <c r="Z6" i="1" l="1"/>
  <c r="K14" i="1"/>
  <c r="K12" i="1"/>
  <c r="K11" i="1"/>
  <c r="K10" i="1"/>
  <c r="K9" i="1"/>
  <c r="K8" i="1"/>
  <c r="K7" i="1"/>
  <c r="Q10" i="1" l="1"/>
  <c r="J10" i="1"/>
  <c r="V10" i="1"/>
  <c r="L10" i="1"/>
  <c r="N10" i="1" s="1"/>
  <c r="Q8" i="1"/>
  <c r="J8" i="1"/>
  <c r="L8" i="1"/>
  <c r="N8" i="1" s="1"/>
  <c r="V8" i="1"/>
  <c r="J12" i="1"/>
  <c r="V12" i="1"/>
  <c r="L12" i="1"/>
  <c r="N12" i="1" s="1"/>
  <c r="Q12" i="1"/>
  <c r="R12" i="1" s="1"/>
  <c r="Q9" i="1"/>
  <c r="L9" i="1"/>
  <c r="N9" i="1" s="1"/>
  <c r="U9" i="1" s="1"/>
  <c r="J9" i="1"/>
  <c r="V9" i="1"/>
  <c r="J14" i="1"/>
  <c r="Q14" i="1"/>
  <c r="V14" i="1"/>
  <c r="V7" i="1"/>
  <c r="J7" i="1"/>
  <c r="Q7" i="1"/>
  <c r="V11" i="1"/>
  <c r="J11" i="1"/>
  <c r="Q11" i="1"/>
  <c r="L11" i="1"/>
  <c r="N11" i="1" s="1"/>
  <c r="L13" i="1"/>
  <c r="R13" i="1"/>
  <c r="M12" i="1"/>
  <c r="M9" i="1"/>
  <c r="R9" i="1"/>
  <c r="R10" i="1"/>
  <c r="L15" i="1"/>
  <c r="R15" i="1"/>
  <c r="M8" i="1"/>
  <c r="R8" i="1"/>
  <c r="R7" i="1"/>
  <c r="M11" i="1"/>
  <c r="R11" i="1"/>
  <c r="L14" i="1"/>
  <c r="N14" i="1" s="1"/>
  <c r="R14" i="1"/>
  <c r="J4" i="1"/>
  <c r="F7" i="1"/>
  <c r="F8" i="1" s="1"/>
  <c r="F9" i="1" s="1"/>
  <c r="F10" i="1" s="1"/>
  <c r="F11" i="1" s="1"/>
  <c r="F12" i="1" s="1"/>
  <c r="F13" i="1" s="1"/>
  <c r="F14" i="1" s="1"/>
  <c r="F15" i="1" s="1"/>
  <c r="E7" i="1"/>
  <c r="E8" i="1" s="1"/>
  <c r="E9" i="1" s="1"/>
  <c r="E10" i="1" s="1"/>
  <c r="E11" i="1" s="1"/>
  <c r="E12" i="1" s="1"/>
  <c r="E13" i="1" s="1"/>
  <c r="E14" i="1" s="1"/>
  <c r="E15" i="1" s="1"/>
  <c r="M15" i="1" l="1"/>
  <c r="N15" i="1"/>
  <c r="M7" i="1"/>
  <c r="N7" i="1"/>
  <c r="U7" i="1" s="1"/>
  <c r="M13" i="1"/>
  <c r="N13" i="1"/>
  <c r="U13" i="1" s="1"/>
  <c r="P8" i="1"/>
  <c r="M10" i="1"/>
  <c r="U11" i="1"/>
  <c r="P15" i="1"/>
  <c r="M14" i="1"/>
  <c r="X11" i="1"/>
  <c r="X10" i="1"/>
  <c r="X7" i="1"/>
  <c r="X8" i="1"/>
  <c r="X9" i="1"/>
  <c r="X14" i="1"/>
  <c r="X15" i="1"/>
  <c r="X13" i="1"/>
  <c r="X12" i="1"/>
  <c r="P12" i="1"/>
  <c r="U14" i="1"/>
  <c r="P14" i="1"/>
  <c r="U10" i="1"/>
  <c r="P10" i="1"/>
  <c r="U15" i="1"/>
  <c r="P9" i="1"/>
  <c r="U8" i="1"/>
  <c r="P13" i="1"/>
  <c r="P7" i="1" l="1"/>
  <c r="P11" i="1"/>
  <c r="U12" i="1"/>
  <c r="Q20" i="1" l="1"/>
  <c r="S7" i="1" l="1"/>
  <c r="S11" i="1"/>
  <c r="S15" i="1"/>
  <c r="T15" i="1" s="1"/>
  <c r="S8" i="1"/>
  <c r="T8" i="1" s="1"/>
  <c r="S12" i="1"/>
  <c r="T6" i="1"/>
  <c r="S14" i="1"/>
  <c r="T14" i="1" s="1"/>
  <c r="S9" i="1"/>
  <c r="S13" i="1"/>
  <c r="S10" i="1"/>
  <c r="T11" i="1"/>
  <c r="T7" i="1"/>
  <c r="T10" i="1"/>
  <c r="T13" i="1"/>
  <c r="T9" i="1"/>
  <c r="T12" i="1"/>
  <c r="Y7" i="1"/>
  <c r="Y9" i="1"/>
  <c r="Z9" i="1" s="1"/>
  <c r="Y14" i="1"/>
  <c r="Z14" i="1" s="1"/>
  <c r="Y12" i="1"/>
  <c r="Z12" i="1" s="1"/>
  <c r="Y13" i="1"/>
  <c r="Y10" i="1"/>
  <c r="Z10" i="1" s="1"/>
  <c r="Y8" i="1"/>
  <c r="Z8" i="1" s="1"/>
  <c r="Y11" i="1"/>
  <c r="Z11" i="1" s="1"/>
  <c r="Y15" i="1"/>
  <c r="T17" i="1" l="1"/>
  <c r="Z7" i="1"/>
  <c r="Z13" i="1"/>
</calcChain>
</file>

<file path=xl/sharedStrings.xml><?xml version="1.0" encoding="utf-8"?>
<sst xmlns="http://schemas.openxmlformats.org/spreadsheetml/2006/main" count="57" uniqueCount="45">
  <si>
    <t>Kalibrierung</t>
  </si>
  <si>
    <t>mg/l</t>
  </si>
  <si>
    <t>Extinktion</t>
  </si>
  <si>
    <t>Messdaten</t>
  </si>
  <si>
    <t>Nr.</t>
  </si>
  <si>
    <t>Sollmasse Kohle</t>
  </si>
  <si>
    <t>Istmasse Kohle</t>
  </si>
  <si>
    <t>Verdünnung</t>
  </si>
  <si>
    <t>1:500</t>
  </si>
  <si>
    <t>1:200</t>
  </si>
  <si>
    <t>1:100</t>
  </si>
  <si>
    <t>1:25</t>
  </si>
  <si>
    <t>1:10</t>
  </si>
  <si>
    <t>-</t>
  </si>
  <si>
    <t>GG-Konz C_GG</t>
  </si>
  <si>
    <t>damit &lt; 1,5</t>
  </si>
  <si>
    <t>Beladung b</t>
  </si>
  <si>
    <t>GG-Masse</t>
  </si>
  <si>
    <t>mg</t>
  </si>
  <si>
    <t>y0</t>
  </si>
  <si>
    <t>m</t>
  </si>
  <si>
    <t>g</t>
  </si>
  <si>
    <t>ln b</t>
  </si>
  <si>
    <t>ln c</t>
  </si>
  <si>
    <t>n</t>
  </si>
  <si>
    <t>ln k</t>
  </si>
  <si>
    <t>k</t>
  </si>
  <si>
    <t>Freundlich</t>
  </si>
  <si>
    <t>Freundlich Parameter</t>
  </si>
  <si>
    <t>c</t>
  </si>
  <si>
    <t>1/b</t>
  </si>
  <si>
    <t>1/c</t>
  </si>
  <si>
    <t>1/b infty</t>
  </si>
  <si>
    <t>1/(K*b infty)</t>
  </si>
  <si>
    <t>Langmiur Parameter</t>
  </si>
  <si>
    <t>Langmuir</t>
  </si>
  <si>
    <t>r^2</t>
  </si>
  <si>
    <t>außerhalb des Kalibrier bzw Extinktionsbereiches</t>
  </si>
  <si>
    <t>innerhalb des Kalibirier bzw. Extinktionsbereiches</t>
  </si>
  <si>
    <t>ursprüngliche Iodmasse in mg</t>
  </si>
  <si>
    <t>mg/L ohne Verdünnung</t>
  </si>
  <si>
    <t>ads Iodmasse von 20 ml in Aktivkohle</t>
  </si>
  <si>
    <t>Bestimmtheitsmaß</t>
  </si>
  <si>
    <t>b fit</t>
  </si>
  <si>
    <t>1/b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</si>
</sst>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9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1" fontId="0" fillId="0" borderId="0" xfId="0" applyNumberFormat="1" applyAlignmen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2" borderId="0" xfId="1" applyFont="1"/>
    <xf numFmtId="165" fontId="6" fillId="2" borderId="0" xfId="1" applyNumberFormat="1" applyFont="1"/>
    <xf numFmtId="0" fontId="6" fillId="3" borderId="0" xfId="2" applyFont="1"/>
    <xf numFmtId="165" fontId="6" fillId="3" borderId="0" xfId="2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Alignment="1"/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E20000"/>
      <color rgb="FF11E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Messdaten!$B$6:$B$11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Messdaten!$C$6:$C$11</c:f>
              <c:numCache>
                <c:formatCode>0.0000</c:formatCode>
                <c:ptCount val="6"/>
                <c:pt idx="0">
                  <c:v>0.377</c:v>
                </c:pt>
                <c:pt idx="1">
                  <c:v>0.57399999999999995</c:v>
                </c:pt>
                <c:pt idx="2">
                  <c:v>0.79700000000000004</c:v>
                </c:pt>
                <c:pt idx="3">
                  <c:v>0.98950000000000005</c:v>
                </c:pt>
                <c:pt idx="4">
                  <c:v>1.2015</c:v>
                </c:pt>
                <c:pt idx="5">
                  <c:v>1.3925000000000001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2-44D2-879C-3E206E11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0655"/>
        <c:axId val="2113076863"/>
      </c:scatterChart>
      <c:valAx>
        <c:axId val="15937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76863"/>
        <c:crosses val="autoZero"/>
        <c:crossBetween val="midCat"/>
      </c:valAx>
      <c:valAx>
        <c:axId val="21130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Extinktioin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Messdaten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Messdaten!$K$6:$K$15</c:f>
              <c:numCache>
                <c:formatCode>0.00</c:formatCode>
                <c:ptCount val="10"/>
                <c:pt idx="0">
                  <c:v>5449.6096935803334</c:v>
                </c:pt>
                <c:pt idx="1">
                  <c:v>2393.1958522661075</c:v>
                </c:pt>
                <c:pt idx="2">
                  <c:v>599.60386811138289</c:v>
                </c:pt>
                <c:pt idx="3">
                  <c:v>193.20750320400791</c:v>
                </c:pt>
                <c:pt idx="4">
                  <c:v>76.304322497961067</c:v>
                </c:pt>
                <c:pt idx="5">
                  <c:v>40.484679016660827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6.974717464755912</c:v>
                </c:pt>
                <c:pt idx="9">
                  <c:v>3.7255039030641961</c:v>
                </c:pt>
              </c:numCache>
            </c:numRef>
          </c:xVal>
          <c:yVal>
            <c:numRef>
              <c:f>Messdaten!$N$6:$N$15</c:f>
              <c:numCache>
                <c:formatCode>0.00</c:formatCode>
                <c:ptCount val="10"/>
                <c:pt idx="0">
                  <c:v>0.8501429811153044</c:v>
                </c:pt>
                <c:pt idx="1">
                  <c:v>0.76346706957734656</c:v>
                </c:pt>
                <c:pt idx="2">
                  <c:v>0.61526957043483443</c:v>
                </c:pt>
                <c:pt idx="3">
                  <c:v>0.48938532345905444</c:v>
                </c:pt>
                <c:pt idx="4">
                  <c:v>0.39674945237389458</c:v>
                </c:pt>
                <c:pt idx="5">
                  <c:v>0.33160802160828862</c:v>
                </c:pt>
                <c:pt idx="6">
                  <c:v>0.28483451667270593</c:v>
                </c:pt>
                <c:pt idx="7">
                  <c:v>0.24862948937208984</c:v>
                </c:pt>
                <c:pt idx="8">
                  <c:v>0.22087694717434367</c:v>
                </c:pt>
                <c:pt idx="9">
                  <c:v>0.19962804413617583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6-4127-9E43-ECC205325336}"/>
            </c:ext>
          </c:extLst>
        </c:ser>
        <c:ser>
          <c:idx val="1"/>
          <c:order val="1"/>
          <c:tx>
            <c:v>Freundlich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Messdaten!$R$6:$R$15</c:f>
              <c:numCache>
                <c:formatCode>0.00</c:formatCode>
                <c:ptCount val="10"/>
                <c:pt idx="0">
                  <c:v>5449.6096935803371</c:v>
                </c:pt>
                <c:pt idx="1">
                  <c:v>2393.1958522661071</c:v>
                </c:pt>
                <c:pt idx="2">
                  <c:v>599.60386811138278</c:v>
                </c:pt>
                <c:pt idx="3">
                  <c:v>193.20750320400788</c:v>
                </c:pt>
                <c:pt idx="4">
                  <c:v>76.304322497961067</c:v>
                </c:pt>
                <c:pt idx="5">
                  <c:v>40.48467901666082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6.9747174647559111</c:v>
                </c:pt>
                <c:pt idx="9">
                  <c:v>3.7255039030641957</c:v>
                </c:pt>
              </c:numCache>
            </c:numRef>
          </c:xVal>
          <c:yVal>
            <c:numRef>
              <c:f>Messdaten!$S$6:$S$15</c:f>
              <c:numCache>
                <c:formatCode>0.00</c:formatCode>
                <c:ptCount val="10"/>
                <c:pt idx="0">
                  <c:v>0.91731447967688351</c:v>
                </c:pt>
                <c:pt idx="1">
                  <c:v>0.77336044284629113</c:v>
                </c:pt>
                <c:pt idx="2">
                  <c:v>0.58034609709693896</c:v>
                </c:pt>
                <c:pt idx="3">
                  <c:v>0.45883846867890782</c:v>
                </c:pt>
                <c:pt idx="4">
                  <c:v>0.37841043958091258</c:v>
                </c:pt>
                <c:pt idx="5">
                  <c:v>0.33179021458258645</c:v>
                </c:pt>
                <c:pt idx="6">
                  <c:v>0.28526012040055565</c:v>
                </c:pt>
                <c:pt idx="7">
                  <c:v>0.25467113904531352</c:v>
                </c:pt>
                <c:pt idx="8">
                  <c:v>0.23037139941299473</c:v>
                </c:pt>
                <c:pt idx="9">
                  <c:v>0.20227121993852679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6-4127-9E43-ECC205325336}"/>
            </c:ext>
          </c:extLst>
        </c:ser>
        <c:ser>
          <c:idx val="2"/>
          <c:order val="2"/>
          <c:tx>
            <c:v>Langmuir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Messdaten!$X$6:$X$15</c:f>
              <c:numCache>
                <c:formatCode>0.00</c:formatCode>
                <c:ptCount val="10"/>
                <c:pt idx="0">
                  <c:v>5449.6096935803334</c:v>
                </c:pt>
                <c:pt idx="1">
                  <c:v>2393.1958522661075</c:v>
                </c:pt>
                <c:pt idx="2">
                  <c:v>599.60386811138289</c:v>
                </c:pt>
                <c:pt idx="3">
                  <c:v>193.20750320400793</c:v>
                </c:pt>
                <c:pt idx="4">
                  <c:v>76.304322497961067</c:v>
                </c:pt>
                <c:pt idx="5">
                  <c:v>40.484679016660827</c:v>
                </c:pt>
                <c:pt idx="6">
                  <c:v>19.540953046720251</c:v>
                </c:pt>
                <c:pt idx="7">
                  <c:v>11.310264476290339</c:v>
                </c:pt>
                <c:pt idx="8">
                  <c:v>6.974717464755912</c:v>
                </c:pt>
                <c:pt idx="9">
                  <c:v>3.7255039030641961</c:v>
                </c:pt>
              </c:numCache>
            </c:numRef>
          </c:xVal>
          <c:yVal>
            <c:numRef>
              <c:f>Messdaten!$Y$6:$Y$15</c:f>
              <c:numCache>
                <c:formatCode>0.00</c:formatCode>
                <c:ptCount val="10"/>
                <c:pt idx="0">
                  <c:v>0.4850601240582903</c:v>
                </c:pt>
                <c:pt idx="1">
                  <c:v>0.48430629303241657</c:v>
                </c:pt>
                <c:pt idx="2">
                  <c:v>0.48032498225658427</c:v>
                </c:pt>
                <c:pt idx="3">
                  <c:v>0.46949281563883644</c:v>
                </c:pt>
                <c:pt idx="4">
                  <c:v>0.44672046795226183</c:v>
                </c:pt>
                <c:pt idx="5">
                  <c:v>0.4171346652415634</c:v>
                </c:pt>
                <c:pt idx="6">
                  <c:v>0.36234420892517422</c:v>
                </c:pt>
                <c:pt idx="7">
                  <c:v>0.30583535644851023</c:v>
                </c:pt>
                <c:pt idx="8">
                  <c:v>0.24861513018754106</c:v>
                </c:pt>
                <c:pt idx="9">
                  <c:v>0.17438345602534178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6-4127-9E43-ECC20532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47120"/>
        <c:axId val="277240144"/>
      </c:scatterChart>
      <c:valAx>
        <c:axId val="4418471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40144"/>
        <c:crosses val="autoZero"/>
        <c:crossBetween val="midCat"/>
      </c:valAx>
      <c:valAx>
        <c:axId val="27724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Beladung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Messdaten!$Q$6:$Q$15</c:f>
              <c:numCache>
                <c:formatCode>0.000</c:formatCode>
                <c:ptCount val="10"/>
                <c:pt idx="0">
                  <c:v>8.6032992692359329</c:v>
                </c:pt>
                <c:pt idx="1">
                  <c:v>7.780384928381376</c:v>
                </c:pt>
                <c:pt idx="2">
                  <c:v>6.3962692173607074</c:v>
                </c:pt>
                <c:pt idx="3">
                  <c:v>5.2637647574839699</c:v>
                </c:pt>
                <c:pt idx="4">
                  <c:v>4.3347295880352084</c:v>
                </c:pt>
                <c:pt idx="5">
                  <c:v>3.7009236066556364</c:v>
                </c:pt>
                <c:pt idx="6">
                  <c:v>2.9725124195664785</c:v>
                </c:pt>
                <c:pt idx="7">
                  <c:v>2.4257106741420071</c:v>
                </c:pt>
                <c:pt idx="8">
                  <c:v>1.9422918200419743</c:v>
                </c:pt>
                <c:pt idx="9">
                  <c:v>1.3152021186729392</c:v>
                </c:pt>
              </c:numCache>
            </c:numRef>
          </c:xVal>
          <c:yVal>
            <c:numRef>
              <c:f>Messdaten!$P$6:$P$15</c:f>
              <c:numCache>
                <c:formatCode>0.000</c:formatCode>
                <c:ptCount val="10"/>
                <c:pt idx="0">
                  <c:v>-0.16235073056717944</c:v>
                </c:pt>
                <c:pt idx="1">
                  <c:v>-0.26988528612807705</c:v>
                </c:pt>
                <c:pt idx="2">
                  <c:v>-0.48569478130205856</c:v>
                </c:pt>
                <c:pt idx="3">
                  <c:v>-0.71460511726865406</c:v>
                </c:pt>
                <c:pt idx="4">
                  <c:v>-0.92445029985661009</c:v>
                </c:pt>
                <c:pt idx="5">
                  <c:v>-1.103801665397516</c:v>
                </c:pt>
                <c:pt idx="6">
                  <c:v>-1.2558469106057264</c:v>
                </c:pt>
                <c:pt idx="7">
                  <c:v>-1.3917914851702593</c:v>
                </c:pt>
                <c:pt idx="8">
                  <c:v>-1.5101495326512258</c:v>
                </c:pt>
                <c:pt idx="9">
                  <c:v>-1.6112994232899631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4198-9A5D-01350D13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06927"/>
        <c:axId val="157827055"/>
      </c:scatterChart>
      <c:valAx>
        <c:axId val="20113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7055"/>
        <c:crosses val="autoZero"/>
        <c:crossBetween val="midCat"/>
      </c:valAx>
      <c:valAx>
        <c:axId val="1578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52306128531796E-2"/>
                  <c:y val="-5.4595467718972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Messdaten!$V$6:$V$15</c:f>
              <c:numCache>
                <c:formatCode>0.000</c:formatCode>
                <c:ptCount val="10"/>
                <c:pt idx="0">
                  <c:v>1.8349937999743445E-4</c:v>
                </c:pt>
                <c:pt idx="1">
                  <c:v>4.1785130082567379E-4</c:v>
                </c:pt>
                <c:pt idx="2">
                  <c:v>1.6677677599875643E-3</c:v>
                </c:pt>
                <c:pt idx="3">
                  <c:v>5.1757824277874932E-3</c:v>
                </c:pt>
                <c:pt idx="4">
                  <c:v>1.3105417455567096E-2</c:v>
                </c:pt>
                <c:pt idx="5">
                  <c:v>2.4700702198687703E-2</c:v>
                </c:pt>
                <c:pt idx="6">
                  <c:v>5.1174576675411428E-2</c:v>
                </c:pt>
                <c:pt idx="7">
                  <c:v>8.8415262268737915E-2</c:v>
                </c:pt>
                <c:pt idx="8">
                  <c:v>0.14337498329546974</c:v>
                </c:pt>
                <c:pt idx="9">
                  <c:v>0.26842006504878663</c:v>
                </c:pt>
              </c:numCache>
            </c:numRef>
          </c:xVal>
          <c:yVal>
            <c:numRef>
              <c:f>Messdaten!$U$6:$U$15</c:f>
              <c:numCache>
                <c:formatCode>0.000</c:formatCode>
                <c:ptCount val="10"/>
                <c:pt idx="0">
                  <c:v>1.1762727237812372</c:v>
                </c:pt>
                <c:pt idx="1">
                  <c:v>1.3098141882577823</c:v>
                </c:pt>
                <c:pt idx="2">
                  <c:v>1.6253038473741874</c:v>
                </c:pt>
                <c:pt idx="3">
                  <c:v>2.0433796275945477</c:v>
                </c:pt>
                <c:pt idx="4">
                  <c:v>2.5204823699607917</c:v>
                </c:pt>
                <c:pt idx="5">
                  <c:v>3.015608594599223</c:v>
                </c:pt>
                <c:pt idx="6">
                  <c:v>3.510810458232025</c:v>
                </c:pt>
                <c:pt idx="7">
                  <c:v>4.0220490438422472</c:v>
                </c:pt>
                <c:pt idx="8">
                  <c:v>4.5274077389827161</c:v>
                </c:pt>
                <c:pt idx="9">
                  <c:v>5.0093162227139398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6-461F-A4D0-2EEC0D1BA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Messdaten!$V$6:$V$15</c:f>
              <c:numCache>
                <c:formatCode>0.000</c:formatCode>
                <c:ptCount val="10"/>
                <c:pt idx="0">
                  <c:v>1.8349937999743445E-4</c:v>
                </c:pt>
                <c:pt idx="1">
                  <c:v>4.1785130082567379E-4</c:v>
                </c:pt>
                <c:pt idx="2">
                  <c:v>1.6677677599875643E-3</c:v>
                </c:pt>
                <c:pt idx="3">
                  <c:v>5.1757824277874932E-3</c:v>
                </c:pt>
                <c:pt idx="4">
                  <c:v>1.3105417455567096E-2</c:v>
                </c:pt>
                <c:pt idx="5">
                  <c:v>2.4700702198687703E-2</c:v>
                </c:pt>
                <c:pt idx="6">
                  <c:v>5.1174576675411428E-2</c:v>
                </c:pt>
                <c:pt idx="7">
                  <c:v>8.8415262268737915E-2</c:v>
                </c:pt>
                <c:pt idx="8">
                  <c:v>0.14337498329546974</c:v>
                </c:pt>
                <c:pt idx="9">
                  <c:v>0.26842006504878663</c:v>
                </c:pt>
              </c:numCache>
            </c:numRef>
          </c:xVal>
          <c:yVal>
            <c:numRef>
              <c:f>Messdaten!$W$6:$W$15</c:f>
              <c:numCache>
                <c:formatCode>0.000</c:formatCode>
                <c:ptCount val="10"/>
                <c:pt idx="0">
                  <c:v>2.0616000994545343</c:v>
                </c:pt>
                <c:pt idx="1">
                  <c:v>2.0648090152589984</c:v>
                </c:pt>
                <c:pt idx="2">
                  <c:v>2.0819237744036623</c:v>
                </c:pt>
                <c:pt idx="3">
                  <c:v>2.1299580455545528</c:v>
                </c:pt>
                <c:pt idx="4">
                  <c:v>2.2385363370161575</c:v>
                </c:pt>
                <c:pt idx="5">
                  <c:v>2.3973073525809663</c:v>
                </c:pt>
                <c:pt idx="6">
                  <c:v>2.7598067676210736</c:v>
                </c:pt>
                <c:pt idx="7">
                  <c:v>3.2697331388117572</c:v>
                </c:pt>
                <c:pt idx="8">
                  <c:v>4.022281344042324</c:v>
                </c:pt>
                <c:pt idx="9">
                  <c:v>5.7344889405946731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B-45D2-A57D-87397ADD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2015"/>
        <c:axId val="2113059391"/>
      </c:scatterChart>
      <c:valAx>
        <c:axId val="21862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59391"/>
        <c:crosses val="autoZero"/>
        <c:crossBetween val="midCat"/>
      </c:valAx>
      <c:valAx>
        <c:axId val="21130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3213F-5B08-4EF0-8D49-027DD56822B9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E77F8D-1285-4E37-9290-5163A22C5E45}">
  <sheetPr/>
  <sheetViews>
    <sheetView zoomScale="8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F7771-09AA-4898-BCA5-A881A1107C61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F7C9FB-E893-420F-B9CB-E61C8B6B4C5C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B558-3459-472D-8474-D2B244945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1265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E7E5BF-1439-4970-A20B-CB9373890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EAAC89-5DEB-44DF-AFB6-26A952941D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993621-ECAB-4982-8A19-08EEBB73C9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73A1-192C-40FB-95A9-FAA29D4C6FC1}">
  <sheetPr codeName="Tabelle1"/>
  <dimension ref="B3:AF37"/>
  <sheetViews>
    <sheetView tabSelected="1" topLeftCell="L1" zoomScale="60" zoomScaleNormal="60" zoomScaleSheetLayoutView="90" workbookViewId="0">
      <selection activeCell="X28" sqref="X28"/>
    </sheetView>
  </sheetViews>
  <sheetFormatPr baseColWidth="10" defaultRowHeight="15" x14ac:dyDescent="0.25"/>
  <cols>
    <col min="2" max="2" width="11.85546875" bestFit="1" customWidth="1"/>
    <col min="5" max="5" width="14" bestFit="1" customWidth="1"/>
    <col min="6" max="6" width="15.42578125" bestFit="1" customWidth="1"/>
    <col min="7" max="7" width="14.28515625" bestFit="1" customWidth="1"/>
    <col min="8" max="8" width="13" customWidth="1"/>
    <col min="10" max="10" width="24.140625" bestFit="1" customWidth="1"/>
    <col min="11" max="11" width="22.140625" bestFit="1" customWidth="1"/>
    <col min="12" max="12" width="38.5703125" bestFit="1" customWidth="1"/>
    <col min="16" max="16" width="14.28515625" bestFit="1" customWidth="1"/>
    <col min="17" max="17" width="13.5703125" bestFit="1" customWidth="1"/>
    <col min="18" max="18" width="16.7109375" bestFit="1" customWidth="1"/>
    <col min="19" max="19" width="17.5703125" bestFit="1" customWidth="1"/>
    <col min="21" max="22" width="13.5703125" bestFit="1" customWidth="1"/>
    <col min="23" max="23" width="14.5703125" bestFit="1" customWidth="1"/>
    <col min="24" max="24" width="16.7109375" bestFit="1" customWidth="1"/>
    <col min="25" max="26" width="13.5703125" bestFit="1" customWidth="1"/>
    <col min="27" max="27" width="13" bestFit="1" customWidth="1"/>
  </cols>
  <sheetData>
    <row r="3" spans="2:32" ht="18.75" x14ac:dyDescent="0.3">
      <c r="B3" s="19" t="s">
        <v>0</v>
      </c>
      <c r="C3" s="19"/>
      <c r="D3" s="6"/>
      <c r="E3" s="6" t="s">
        <v>3</v>
      </c>
      <c r="P3" s="20" t="s">
        <v>27</v>
      </c>
      <c r="Q3" s="20"/>
      <c r="R3" s="20"/>
      <c r="S3" s="20"/>
      <c r="U3" s="20" t="s">
        <v>35</v>
      </c>
      <c r="V3" s="20"/>
      <c r="W3" s="20"/>
      <c r="X3" s="20"/>
      <c r="Y3" s="20"/>
    </row>
    <row r="4" spans="2:32" x14ac:dyDescent="0.25">
      <c r="E4" s="11" t="s">
        <v>4</v>
      </c>
      <c r="F4" s="11" t="s">
        <v>5</v>
      </c>
      <c r="G4" s="11" t="s">
        <v>6</v>
      </c>
      <c r="H4" s="11" t="s">
        <v>7</v>
      </c>
      <c r="I4" s="11" t="s">
        <v>2</v>
      </c>
      <c r="J4" t="str">
        <f>K4</f>
        <v>GG-Konz C_GG</v>
      </c>
      <c r="K4" s="11" t="s">
        <v>14</v>
      </c>
      <c r="L4" t="s">
        <v>41</v>
      </c>
      <c r="M4" t="s">
        <v>17</v>
      </c>
      <c r="N4" t="s">
        <v>16</v>
      </c>
      <c r="P4" t="s">
        <v>22</v>
      </c>
      <c r="Q4" t="s">
        <v>23</v>
      </c>
      <c r="R4" t="s">
        <v>29</v>
      </c>
      <c r="S4" t="s">
        <v>43</v>
      </c>
      <c r="U4" t="s">
        <v>30</v>
      </c>
      <c r="V4" t="s">
        <v>31</v>
      </c>
      <c r="W4" t="s">
        <v>44</v>
      </c>
      <c r="X4" t="s">
        <v>29</v>
      </c>
      <c r="Y4" t="s">
        <v>43</v>
      </c>
      <c r="Z4" t="s">
        <v>36</v>
      </c>
    </row>
    <row r="5" spans="2:32" x14ac:dyDescent="0.25">
      <c r="B5" t="s">
        <v>1</v>
      </c>
      <c r="C5" t="s">
        <v>2</v>
      </c>
      <c r="E5" s="11"/>
      <c r="F5" s="11" t="s">
        <v>21</v>
      </c>
      <c r="G5" s="11" t="s">
        <v>21</v>
      </c>
      <c r="H5" s="11" t="s">
        <v>15</v>
      </c>
      <c r="I5" s="11"/>
      <c r="J5" t="s">
        <v>40</v>
      </c>
      <c r="K5" s="11" t="s">
        <v>1</v>
      </c>
      <c r="L5" t="s">
        <v>18</v>
      </c>
      <c r="M5" t="s">
        <v>18</v>
      </c>
      <c r="N5" t="s">
        <v>13</v>
      </c>
      <c r="P5" t="s">
        <v>13</v>
      </c>
      <c r="AC5" s="20"/>
      <c r="AD5" s="20"/>
      <c r="AE5" s="20"/>
      <c r="AF5" s="20"/>
    </row>
    <row r="6" spans="2:32" x14ac:dyDescent="0.25">
      <c r="B6" s="7">
        <v>2</v>
      </c>
      <c r="C6" s="8">
        <v>0.377</v>
      </c>
      <c r="E6" s="12">
        <v>1</v>
      </c>
      <c r="F6" s="12">
        <v>0.1</v>
      </c>
      <c r="G6" s="12">
        <v>0.10705000000000001</v>
      </c>
      <c r="H6" s="13" t="s">
        <v>8</v>
      </c>
      <c r="I6" s="14">
        <v>1.2869999999999999</v>
      </c>
      <c r="J6" s="17">
        <f>K6/500</f>
        <v>10.899219387160667</v>
      </c>
      <c r="K6" s="15">
        <f>(I6-$C$15)/$C$16*500</f>
        <v>5449.6096935803334</v>
      </c>
      <c r="L6" s="18">
        <f>$L$18-K6*20/1000</f>
        <v>91.007806128393341</v>
      </c>
      <c r="M6" s="18">
        <f t="shared" ref="M6:M15" si="0">$L$18-L6</f>
        <v>108.99219387160666</v>
      </c>
      <c r="N6" s="17">
        <f>L6/(G6*1000)</f>
        <v>0.8501429811153044</v>
      </c>
      <c r="P6" s="18">
        <f t="shared" ref="P6:P15" si="1">LN(N6)</f>
        <v>-0.16235073056717944</v>
      </c>
      <c r="Q6" s="18">
        <f t="shared" ref="Q6:Q15" si="2">LN(K6)</f>
        <v>8.6032992692359329</v>
      </c>
      <c r="R6" s="17">
        <f>EXP(Q6)</f>
        <v>5449.6096935803371</v>
      </c>
      <c r="S6" s="17">
        <f>$Q$20*R6^$Q$19</f>
        <v>0.91731447967688351</v>
      </c>
      <c r="T6" s="17">
        <f>(S6-N6)^2</f>
        <v>4.5120102190082251E-3</v>
      </c>
      <c r="U6" s="18">
        <f t="shared" ref="U6:U15" si="3">1/N6</f>
        <v>1.1762727237812372</v>
      </c>
      <c r="V6" s="18">
        <f t="shared" ref="V6:V15" si="4">1/K6</f>
        <v>1.8349937999743445E-4</v>
      </c>
      <c r="W6" s="18">
        <f>$W$19*V6+$W$18</f>
        <v>2.0616000994545343</v>
      </c>
      <c r="X6" s="17">
        <f>1/V6</f>
        <v>5449.6096935803334</v>
      </c>
      <c r="Y6" s="17">
        <f>1/W6</f>
        <v>0.4850601240582903</v>
      </c>
      <c r="Z6" s="17">
        <f t="shared" ref="Z6:Z15" si="5">(Y6-N6)^2</f>
        <v>0.13328549251691219</v>
      </c>
      <c r="AA6" s="3"/>
      <c r="AB6" s="3"/>
    </row>
    <row r="7" spans="2:32" x14ac:dyDescent="0.25">
      <c r="B7" s="7">
        <v>4</v>
      </c>
      <c r="C7" s="8">
        <v>0.57399999999999995</v>
      </c>
      <c r="E7" s="12">
        <f>E6+1</f>
        <v>2</v>
      </c>
      <c r="F7" s="12">
        <f>F6+0.1</f>
        <v>0.2</v>
      </c>
      <c r="G7" s="12">
        <v>0.19927</v>
      </c>
      <c r="H7" s="13" t="s">
        <v>9</v>
      </c>
      <c r="I7" s="14">
        <v>1.3959999999999999</v>
      </c>
      <c r="J7" s="17">
        <f>K7/200</f>
        <v>11.965979261330538</v>
      </c>
      <c r="K7" s="15">
        <f>(I7-$C$15)/$C$16*200</f>
        <v>2393.1958522661075</v>
      </c>
      <c r="L7" s="18">
        <f>$L$18-K7*20/1000</f>
        <v>152.13608295467785</v>
      </c>
      <c r="M7" s="18">
        <f t="shared" si="0"/>
        <v>47.863917045322154</v>
      </c>
      <c r="N7" s="17">
        <f t="shared" ref="N7:N15" si="6">L7/(G7*1000)</f>
        <v>0.76346706957734656</v>
      </c>
      <c r="P7" s="18">
        <f t="shared" si="1"/>
        <v>-0.26988528612807705</v>
      </c>
      <c r="Q7" s="18">
        <f t="shared" si="2"/>
        <v>7.780384928381376</v>
      </c>
      <c r="R7" s="17">
        <f t="shared" ref="R7:R15" si="7">EXP(Q7)</f>
        <v>2393.1958522661071</v>
      </c>
      <c r="S7" s="17">
        <f t="shared" ref="S7:S15" si="8">$Q$20*R7^$Q$19</f>
        <v>0.77336044284629113</v>
      </c>
      <c r="T7" s="17">
        <f t="shared" ref="T7:T15" si="9">(S7-N7)^2</f>
        <v>9.7878834638667005E-5</v>
      </c>
      <c r="U7" s="18">
        <f t="shared" si="3"/>
        <v>1.3098141882577823</v>
      </c>
      <c r="V7" s="18">
        <f t="shared" si="4"/>
        <v>4.1785130082567379E-4</v>
      </c>
      <c r="W7" s="18">
        <f t="shared" ref="W7:W15" si="10">$W$19*V7+$W$18</f>
        <v>2.0648090152589984</v>
      </c>
      <c r="X7" s="17">
        <f t="shared" ref="X7:X15" si="11">1/V7</f>
        <v>2393.1958522661075</v>
      </c>
      <c r="Y7" s="17">
        <f t="shared" ref="Y7:Y15" si="12">1/W7</f>
        <v>0.48430629303241657</v>
      </c>
      <c r="Z7" s="17">
        <f t="shared" si="5"/>
        <v>7.7930739161168328E-2</v>
      </c>
      <c r="AA7" s="3"/>
      <c r="AB7" s="3"/>
    </row>
    <row r="8" spans="2:32" x14ac:dyDescent="0.25">
      <c r="B8" s="7">
        <v>6</v>
      </c>
      <c r="C8" s="8">
        <v>0.79700000000000004</v>
      </c>
      <c r="E8" s="12">
        <f t="shared" ref="E8:E15" si="13">E7+1</f>
        <v>3</v>
      </c>
      <c r="F8" s="12">
        <f t="shared" ref="F8:F15" si="14">F7+0.1</f>
        <v>0.30000000000000004</v>
      </c>
      <c r="G8" s="12">
        <v>0.30557000000000001</v>
      </c>
      <c r="H8" s="13" t="s">
        <v>10</v>
      </c>
      <c r="I8" s="14">
        <v>0.78600000000000003</v>
      </c>
      <c r="J8" s="17">
        <f>K8/100</f>
        <v>5.9960386811138289</v>
      </c>
      <c r="K8" s="15">
        <f>(I8-$C$15)/$C$16*100</f>
        <v>599.60386811138289</v>
      </c>
      <c r="L8" s="18">
        <f t="shared" ref="L8:L12" si="15">$L$18-K8*20/1000</f>
        <v>188.00792263777234</v>
      </c>
      <c r="M8" s="18">
        <f t="shared" si="0"/>
        <v>11.992077362227661</v>
      </c>
      <c r="N8" s="17">
        <f t="shared" si="6"/>
        <v>0.61526957043483443</v>
      </c>
      <c r="P8" s="18">
        <f t="shared" si="1"/>
        <v>-0.48569478130205856</v>
      </c>
      <c r="Q8" s="18">
        <f t="shared" si="2"/>
        <v>6.3962692173607074</v>
      </c>
      <c r="R8" s="17">
        <f t="shared" si="7"/>
        <v>599.60386811138278</v>
      </c>
      <c r="S8" s="17">
        <f t="shared" si="8"/>
        <v>0.58034609709693896</v>
      </c>
      <c r="T8" s="17">
        <f t="shared" si="9"/>
        <v>1.2196489899826959E-3</v>
      </c>
      <c r="U8" s="18">
        <f t="shared" si="3"/>
        <v>1.6253038473741874</v>
      </c>
      <c r="V8" s="18">
        <f t="shared" si="4"/>
        <v>1.6677677599875643E-3</v>
      </c>
      <c r="W8" s="18">
        <f t="shared" si="10"/>
        <v>2.0819237744036623</v>
      </c>
      <c r="X8" s="17">
        <f t="shared" si="11"/>
        <v>599.60386811138289</v>
      </c>
      <c r="Y8" s="17">
        <f t="shared" si="12"/>
        <v>0.48032498225658427</v>
      </c>
      <c r="Z8" s="17">
        <f t="shared" si="5"/>
        <v>1.8210041878597535E-2</v>
      </c>
      <c r="AA8" s="3"/>
      <c r="AB8" s="3"/>
    </row>
    <row r="9" spans="2:32" x14ac:dyDescent="0.25">
      <c r="B9" s="7">
        <v>8</v>
      </c>
      <c r="C9" s="8">
        <v>0.98950000000000005</v>
      </c>
      <c r="E9" s="12">
        <f t="shared" si="13"/>
        <v>4</v>
      </c>
      <c r="F9" s="12">
        <f t="shared" si="14"/>
        <v>0.4</v>
      </c>
      <c r="G9" s="12">
        <v>0.40078000000000003</v>
      </c>
      <c r="H9" s="13" t="s">
        <v>11</v>
      </c>
      <c r="I9" s="14">
        <v>0.96299999999999997</v>
      </c>
      <c r="J9" s="17">
        <f>K9/25</f>
        <v>7.7283001281603161</v>
      </c>
      <c r="K9" s="15">
        <f>(I9-$C$15)/$C$16*25</f>
        <v>193.20750320400791</v>
      </c>
      <c r="L9" s="18">
        <f t="shared" si="15"/>
        <v>196.13584993591985</v>
      </c>
      <c r="M9" s="18">
        <f t="shared" si="0"/>
        <v>3.8641500640801496</v>
      </c>
      <c r="N9" s="17">
        <f t="shared" si="6"/>
        <v>0.48938532345905444</v>
      </c>
      <c r="P9" s="18">
        <f t="shared" si="1"/>
        <v>-0.71460511726865406</v>
      </c>
      <c r="Q9" s="18">
        <f t="shared" si="2"/>
        <v>5.2637647574839699</v>
      </c>
      <c r="R9" s="17">
        <f t="shared" si="7"/>
        <v>193.20750320400788</v>
      </c>
      <c r="S9" s="17">
        <f t="shared" si="8"/>
        <v>0.45883846867890782</v>
      </c>
      <c r="T9" s="17">
        <f t="shared" si="9"/>
        <v>9.3311033695936678E-4</v>
      </c>
      <c r="U9" s="18">
        <f t="shared" si="3"/>
        <v>2.0433796275945477</v>
      </c>
      <c r="V9" s="18">
        <f t="shared" si="4"/>
        <v>5.1757824277874932E-3</v>
      </c>
      <c r="W9" s="18">
        <f t="shared" si="10"/>
        <v>2.1299580455545528</v>
      </c>
      <c r="X9" s="17">
        <f t="shared" si="11"/>
        <v>193.20750320400793</v>
      </c>
      <c r="Y9" s="17">
        <f t="shared" si="12"/>
        <v>0.46949281563883644</v>
      </c>
      <c r="Z9" s="17">
        <f t="shared" si="5"/>
        <v>3.9571186737743461E-4</v>
      </c>
      <c r="AA9" s="3"/>
      <c r="AB9" s="3"/>
    </row>
    <row r="10" spans="2:32" x14ac:dyDescent="0.25">
      <c r="B10" s="7">
        <v>10</v>
      </c>
      <c r="C10" s="8">
        <v>1.2015</v>
      </c>
      <c r="E10" s="12">
        <f t="shared" si="13"/>
        <v>5</v>
      </c>
      <c r="F10" s="12">
        <f t="shared" si="14"/>
        <v>0.5</v>
      </c>
      <c r="G10" s="12">
        <v>0.50024999999999997</v>
      </c>
      <c r="H10" s="13" t="s">
        <v>12</v>
      </c>
      <c r="I10" s="14">
        <v>0.95299999999999996</v>
      </c>
      <c r="J10" s="17">
        <f>K10/10</f>
        <v>7.6304322497961063</v>
      </c>
      <c r="K10" s="15">
        <f>(I10-$C$15)/$C$16*10</f>
        <v>76.304322497961067</v>
      </c>
      <c r="L10" s="18">
        <f t="shared" si="15"/>
        <v>198.47391355004078</v>
      </c>
      <c r="M10" s="18">
        <f t="shared" si="0"/>
        <v>1.526086449959223</v>
      </c>
      <c r="N10" s="17">
        <f t="shared" si="6"/>
        <v>0.39674945237389458</v>
      </c>
      <c r="P10" s="18">
        <f t="shared" si="1"/>
        <v>-0.92445029985661009</v>
      </c>
      <c r="Q10" s="18">
        <f t="shared" si="2"/>
        <v>4.3347295880352084</v>
      </c>
      <c r="R10" s="17">
        <f t="shared" si="7"/>
        <v>76.304322497961067</v>
      </c>
      <c r="S10" s="17">
        <f t="shared" si="8"/>
        <v>0.37841043958091258</v>
      </c>
      <c r="T10" s="17">
        <f t="shared" si="9"/>
        <v>3.3631939022115749E-4</v>
      </c>
      <c r="U10" s="18">
        <f t="shared" si="3"/>
        <v>2.5204823699607917</v>
      </c>
      <c r="V10" s="18">
        <f t="shared" si="4"/>
        <v>1.3105417455567096E-2</v>
      </c>
      <c r="W10" s="18">
        <f t="shared" si="10"/>
        <v>2.2385363370161575</v>
      </c>
      <c r="X10" s="17">
        <f t="shared" si="11"/>
        <v>76.304322497961067</v>
      </c>
      <c r="Y10" s="17">
        <f t="shared" si="12"/>
        <v>0.44672046795226183</v>
      </c>
      <c r="Z10" s="17">
        <f t="shared" si="5"/>
        <v>2.4971023979334225E-3</v>
      </c>
      <c r="AA10" s="3"/>
      <c r="AB10" s="3"/>
    </row>
    <row r="11" spans="2:32" x14ac:dyDescent="0.25">
      <c r="B11" s="7">
        <v>12</v>
      </c>
      <c r="C11" s="8">
        <v>1.3925000000000001</v>
      </c>
      <c r="E11" s="12">
        <f t="shared" si="13"/>
        <v>6</v>
      </c>
      <c r="F11" s="12">
        <f t="shared" si="14"/>
        <v>0.6</v>
      </c>
      <c r="G11" s="12">
        <v>0.60067999999999999</v>
      </c>
      <c r="H11" s="13" t="s">
        <v>12</v>
      </c>
      <c r="I11" s="14">
        <v>0.58699999999999997</v>
      </c>
      <c r="J11" s="17">
        <f>K11/10</f>
        <v>4.0484679016660827</v>
      </c>
      <c r="K11" s="15">
        <f>(I11-$C$15)/$C$16*10</f>
        <v>40.484679016660827</v>
      </c>
      <c r="L11" s="18">
        <f t="shared" si="15"/>
        <v>199.1903064196668</v>
      </c>
      <c r="M11" s="18">
        <f t="shared" si="0"/>
        <v>0.80969358033320304</v>
      </c>
      <c r="N11" s="17">
        <f t="shared" si="6"/>
        <v>0.33160802160828862</v>
      </c>
      <c r="P11" s="18">
        <f t="shared" si="1"/>
        <v>-1.103801665397516</v>
      </c>
      <c r="Q11" s="18">
        <f t="shared" si="2"/>
        <v>3.7009236066556364</v>
      </c>
      <c r="R11" s="17">
        <f t="shared" si="7"/>
        <v>40.48467901666082</v>
      </c>
      <c r="S11" s="17">
        <f t="shared" si="8"/>
        <v>0.33179021458258645</v>
      </c>
      <c r="T11" s="17">
        <f t="shared" si="9"/>
        <v>3.3194279883491395E-8</v>
      </c>
      <c r="U11" s="18">
        <f t="shared" si="3"/>
        <v>3.015608594599223</v>
      </c>
      <c r="V11" s="18">
        <f t="shared" si="4"/>
        <v>2.4700702198687703E-2</v>
      </c>
      <c r="W11" s="18">
        <f t="shared" si="10"/>
        <v>2.3973073525809663</v>
      </c>
      <c r="X11" s="17">
        <f t="shared" si="11"/>
        <v>40.484679016660827</v>
      </c>
      <c r="Y11" s="17">
        <f t="shared" si="12"/>
        <v>0.4171346652415634</v>
      </c>
      <c r="Z11" s="17">
        <f t="shared" si="5"/>
        <v>7.314806771173181E-3</v>
      </c>
      <c r="AA11" s="3"/>
      <c r="AB11" s="3"/>
    </row>
    <row r="12" spans="2:32" x14ac:dyDescent="0.25">
      <c r="B12" s="9">
        <v>16</v>
      </c>
      <c r="C12" s="10">
        <v>1.8815</v>
      </c>
      <c r="E12" s="12">
        <f t="shared" si="13"/>
        <v>7</v>
      </c>
      <c r="F12" s="12">
        <f t="shared" si="14"/>
        <v>0.7</v>
      </c>
      <c r="G12" s="12">
        <v>0.70079000000000002</v>
      </c>
      <c r="H12" s="13" t="s">
        <v>12</v>
      </c>
      <c r="I12" s="14">
        <v>0.373</v>
      </c>
      <c r="J12" s="17">
        <f>K12/10</f>
        <v>1.9540953046720251</v>
      </c>
      <c r="K12" s="15">
        <f>(I12-$C$15)/$C$16*10</f>
        <v>19.540953046720251</v>
      </c>
      <c r="L12" s="18">
        <f t="shared" si="15"/>
        <v>199.6091809390656</v>
      </c>
      <c r="M12" s="18">
        <f t="shared" si="0"/>
        <v>0.39081906093440466</v>
      </c>
      <c r="N12" s="17">
        <f t="shared" si="6"/>
        <v>0.28483451667270593</v>
      </c>
      <c r="P12" s="18">
        <f t="shared" si="1"/>
        <v>-1.2558469106057264</v>
      </c>
      <c r="Q12" s="18">
        <f t="shared" si="2"/>
        <v>2.9725124195664785</v>
      </c>
      <c r="R12" s="17">
        <f t="shared" si="7"/>
        <v>19.540953046720251</v>
      </c>
      <c r="S12" s="17">
        <f t="shared" si="8"/>
        <v>0.28526012040055565</v>
      </c>
      <c r="T12" s="17">
        <f t="shared" si="9"/>
        <v>1.8113853315957986E-7</v>
      </c>
      <c r="U12" s="18">
        <f t="shared" si="3"/>
        <v>3.510810458232025</v>
      </c>
      <c r="V12" s="18">
        <f t="shared" si="4"/>
        <v>5.1174576675411428E-2</v>
      </c>
      <c r="W12" s="18">
        <f t="shared" si="10"/>
        <v>2.7598067676210736</v>
      </c>
      <c r="X12" s="17">
        <f t="shared" si="11"/>
        <v>19.540953046720251</v>
      </c>
      <c r="Y12" s="17">
        <f t="shared" si="12"/>
        <v>0.36234420892517422</v>
      </c>
      <c r="Z12" s="17">
        <f t="shared" si="5"/>
        <v>6.0077523930723428E-3</v>
      </c>
      <c r="AA12" s="3"/>
      <c r="AB12" s="3"/>
    </row>
    <row r="13" spans="2:32" x14ac:dyDescent="0.25">
      <c r="B13" s="9">
        <v>20</v>
      </c>
      <c r="C13" s="10">
        <v>2.5880000000000001</v>
      </c>
      <c r="E13" s="12">
        <f t="shared" si="13"/>
        <v>8</v>
      </c>
      <c r="F13" s="12">
        <f t="shared" si="14"/>
        <v>0.79999999999999993</v>
      </c>
      <c r="G13" s="12">
        <v>0.80349999999999999</v>
      </c>
      <c r="H13" s="13" t="s">
        <v>13</v>
      </c>
      <c r="I13" s="14">
        <v>1.329</v>
      </c>
      <c r="J13" s="17">
        <f>K13</f>
        <v>11.310264476290339</v>
      </c>
      <c r="K13" s="15">
        <f>(I13-$C$15)/$C$16</f>
        <v>11.310264476290339</v>
      </c>
      <c r="L13" s="18">
        <f>$L$18-J13*20/1000</f>
        <v>199.77379471047419</v>
      </c>
      <c r="M13" s="18">
        <f t="shared" si="0"/>
        <v>0.22620528952580798</v>
      </c>
      <c r="N13" s="17">
        <f t="shared" si="6"/>
        <v>0.24862948937208984</v>
      </c>
      <c r="P13" s="18">
        <f t="shared" si="1"/>
        <v>-1.3917914851702593</v>
      </c>
      <c r="Q13" s="18">
        <f t="shared" si="2"/>
        <v>2.4257106741420071</v>
      </c>
      <c r="R13" s="17">
        <f>EXP(Q13)</f>
        <v>11.310264476290339</v>
      </c>
      <c r="S13" s="17">
        <f t="shared" si="8"/>
        <v>0.25467113904531352</v>
      </c>
      <c r="T13" s="17">
        <f t="shared" si="9"/>
        <v>3.6501530773963818E-5</v>
      </c>
      <c r="U13" s="18">
        <f t="shared" si="3"/>
        <v>4.0220490438422472</v>
      </c>
      <c r="V13" s="18">
        <f t="shared" si="4"/>
        <v>8.8415262268737915E-2</v>
      </c>
      <c r="W13" s="18">
        <f t="shared" si="10"/>
        <v>3.2697331388117572</v>
      </c>
      <c r="X13" s="17">
        <f t="shared" si="11"/>
        <v>11.310264476290339</v>
      </c>
      <c r="Y13" s="17">
        <f t="shared" si="12"/>
        <v>0.30583535644851023</v>
      </c>
      <c r="Z13" s="17">
        <f t="shared" si="5"/>
        <v>3.2725112279650783E-3</v>
      </c>
      <c r="AA13" s="3"/>
      <c r="AB13" s="3"/>
    </row>
    <row r="14" spans="2:32" x14ac:dyDescent="0.25">
      <c r="E14" s="12">
        <f t="shared" si="13"/>
        <v>9</v>
      </c>
      <c r="F14" s="16">
        <f t="shared" si="14"/>
        <v>0.89999999999999991</v>
      </c>
      <c r="G14" s="12">
        <v>0.90485000000000004</v>
      </c>
      <c r="H14" s="13" t="s">
        <v>13</v>
      </c>
      <c r="I14" s="14">
        <v>0.88600000000000001</v>
      </c>
      <c r="J14" s="17">
        <f>K14</f>
        <v>6.974717464755912</v>
      </c>
      <c r="K14" s="15">
        <f>(I14-$C$15)/$C$16</f>
        <v>6.974717464755912</v>
      </c>
      <c r="L14" s="18">
        <f>$L$18-J14*20/1000</f>
        <v>199.86050565070488</v>
      </c>
      <c r="M14" s="18">
        <f t="shared" si="0"/>
        <v>0.13949434929511995</v>
      </c>
      <c r="N14" s="17">
        <f t="shared" si="6"/>
        <v>0.22087694717434367</v>
      </c>
      <c r="P14" s="18">
        <f t="shared" si="1"/>
        <v>-1.5101495326512258</v>
      </c>
      <c r="Q14" s="18">
        <f t="shared" si="2"/>
        <v>1.9422918200419743</v>
      </c>
      <c r="R14" s="17">
        <f t="shared" si="7"/>
        <v>6.9747174647559111</v>
      </c>
      <c r="S14" s="17">
        <f t="shared" si="8"/>
        <v>0.23037139941299473</v>
      </c>
      <c r="T14" s="17">
        <f t="shared" si="9"/>
        <v>9.0144623312026081E-5</v>
      </c>
      <c r="U14" s="18">
        <f t="shared" si="3"/>
        <v>4.5274077389827161</v>
      </c>
      <c r="V14" s="18">
        <f t="shared" si="4"/>
        <v>0.14337498329546974</v>
      </c>
      <c r="W14" s="18">
        <f t="shared" si="10"/>
        <v>4.022281344042324</v>
      </c>
      <c r="X14" s="17">
        <f t="shared" si="11"/>
        <v>6.974717464755912</v>
      </c>
      <c r="Y14" s="17">
        <f t="shared" si="12"/>
        <v>0.24861513018754106</v>
      </c>
      <c r="Z14" s="17">
        <f t="shared" si="5"/>
        <v>7.6940679687363212E-4</v>
      </c>
      <c r="AA14" s="3"/>
      <c r="AB14" s="3"/>
    </row>
    <row r="15" spans="2:32" x14ac:dyDescent="0.25">
      <c r="B15" t="s">
        <v>19</v>
      </c>
      <c r="C15">
        <f>INTERCEPT(C6:C11,B6:B11)</f>
        <v>0.17333333333333345</v>
      </c>
      <c r="E15" s="12">
        <f t="shared" si="13"/>
        <v>10</v>
      </c>
      <c r="F15" s="16">
        <f t="shared" si="14"/>
        <v>0.99999999999999989</v>
      </c>
      <c r="G15" s="12">
        <v>1.00149</v>
      </c>
      <c r="H15" s="13" t="s">
        <v>13</v>
      </c>
      <c r="I15" s="14">
        <v>0.55400000000000005</v>
      </c>
      <c r="J15" s="17">
        <f>K15</f>
        <v>3.7255039030641961</v>
      </c>
      <c r="K15" s="15">
        <f>(I15-$C$15)/$C$16</f>
        <v>3.7255039030641961</v>
      </c>
      <c r="L15" s="18">
        <f>$L$18-J15*20/1000</f>
        <v>199.92548992193872</v>
      </c>
      <c r="M15" s="18">
        <f t="shared" si="0"/>
        <v>7.4510078061280183E-2</v>
      </c>
      <c r="N15" s="17">
        <f t="shared" si="6"/>
        <v>0.19962804413617583</v>
      </c>
      <c r="P15" s="18">
        <f t="shared" si="1"/>
        <v>-1.6112994232899631</v>
      </c>
      <c r="Q15" s="18">
        <f t="shared" si="2"/>
        <v>1.3152021186729392</v>
      </c>
      <c r="R15" s="17">
        <f t="shared" si="7"/>
        <v>3.7255039030641957</v>
      </c>
      <c r="S15" s="17">
        <f t="shared" si="8"/>
        <v>0.20227121993852679</v>
      </c>
      <c r="T15" s="17">
        <f t="shared" si="9"/>
        <v>6.986378322133647E-6</v>
      </c>
      <c r="U15" s="18">
        <f t="shared" si="3"/>
        <v>5.0093162227139398</v>
      </c>
      <c r="V15" s="18">
        <f t="shared" si="4"/>
        <v>0.26842006504878663</v>
      </c>
      <c r="W15" s="18">
        <f t="shared" si="10"/>
        <v>5.7344889405946731</v>
      </c>
      <c r="X15" s="17">
        <f t="shared" si="11"/>
        <v>3.7255039030641961</v>
      </c>
      <c r="Y15" s="17">
        <f t="shared" si="12"/>
        <v>0.17438345602534178</v>
      </c>
      <c r="Z15" s="17">
        <f>(Y15-N15)^2</f>
        <v>6.3728922888566376E-4</v>
      </c>
      <c r="AA15" s="3"/>
      <c r="AB15" s="3"/>
    </row>
    <row r="16" spans="2:32" x14ac:dyDescent="0.25">
      <c r="B16" t="s">
        <v>20</v>
      </c>
      <c r="C16">
        <f>SLOPE(C6:C11,B6:B11)</f>
        <v>0.10217857142857142</v>
      </c>
    </row>
    <row r="17" spans="2:28" x14ac:dyDescent="0.25">
      <c r="B17" t="s">
        <v>42</v>
      </c>
      <c r="C17">
        <f>RSQ(C6:C11,B6:B11)</f>
        <v>0.99963277810099738</v>
      </c>
      <c r="F17" s="3"/>
      <c r="I17" s="2"/>
      <c r="L17" t="s">
        <v>39</v>
      </c>
      <c r="P17" s="21" t="s">
        <v>28</v>
      </c>
      <c r="Q17" s="21"/>
      <c r="T17" s="3">
        <f>SUM(T6:T15)</f>
        <v>7.2328146360312795E-3</v>
      </c>
      <c r="U17" s="20" t="s">
        <v>34</v>
      </c>
      <c r="V17" s="20"/>
      <c r="Z17" s="3">
        <f>SUM(Z6:Z15)</f>
        <v>0.25032085423995876</v>
      </c>
    </row>
    <row r="18" spans="2:28" x14ac:dyDescent="0.25">
      <c r="I18" s="2"/>
      <c r="L18">
        <f>10*20</f>
        <v>200</v>
      </c>
      <c r="P18" t="s">
        <v>25</v>
      </c>
      <c r="Q18">
        <f>INTERCEPT(P6:P15,Q6:Q15)</f>
        <v>-1.8709709784474253</v>
      </c>
      <c r="U18" t="s">
        <v>32</v>
      </c>
      <c r="V18">
        <v>1.3811485103755805</v>
      </c>
      <c r="W18">
        <f>INTERCEPT(U6:U15,V6:V15)</f>
        <v>2.0590874933768792</v>
      </c>
      <c r="Z18" s="3"/>
      <c r="AA18" s="3"/>
      <c r="AB18" s="3"/>
    </row>
    <row r="19" spans="2:28" x14ac:dyDescent="0.25">
      <c r="E19" s="1"/>
      <c r="F19" s="1"/>
      <c r="K19" s="15"/>
      <c r="L19" s="3"/>
      <c r="P19" t="s">
        <v>24</v>
      </c>
      <c r="Q19">
        <f>SLOPE(P6:P15,Q6:Q15)</f>
        <v>0.20743972761043863</v>
      </c>
      <c r="U19" t="s">
        <v>33</v>
      </c>
      <c r="V19">
        <v>52.07180202535185</v>
      </c>
      <c r="W19">
        <f>SLOPE(U6:U15,V6:V15)</f>
        <v>13.692722436937688</v>
      </c>
    </row>
    <row r="20" spans="2:28" x14ac:dyDescent="0.25">
      <c r="E20" s="1"/>
      <c r="F20" s="1"/>
      <c r="K20" s="15"/>
      <c r="L20" s="3"/>
      <c r="N20" s="1"/>
      <c r="P20" t="s">
        <v>26</v>
      </c>
      <c r="Q20">
        <f>EXP(Q18)</f>
        <v>0.1539740836915896</v>
      </c>
    </row>
    <row r="21" spans="2:28" x14ac:dyDescent="0.25">
      <c r="E21" s="1"/>
      <c r="K21" s="15"/>
      <c r="L21" s="3"/>
      <c r="O21" s="1"/>
      <c r="Q21">
        <f>RSQ(Q6:Q15,P6:P15)</f>
        <v>0.99243842616739331</v>
      </c>
      <c r="R21">
        <f>RSQ(S6:S15,N6:N15)</f>
        <v>0.9879996551653748</v>
      </c>
    </row>
    <row r="22" spans="2:28" x14ac:dyDescent="0.25">
      <c r="B22" s="4" t="s">
        <v>37</v>
      </c>
      <c r="E22" s="1"/>
      <c r="F22" s="1"/>
      <c r="K22" s="15"/>
      <c r="L22" s="3"/>
    </row>
    <row r="23" spans="2:28" x14ac:dyDescent="0.25">
      <c r="B23" s="5" t="s">
        <v>38</v>
      </c>
      <c r="E23" s="1"/>
      <c r="F23" s="1"/>
      <c r="K23" s="15"/>
      <c r="L23" s="3"/>
      <c r="Q23" s="22"/>
    </row>
    <row r="24" spans="2:28" x14ac:dyDescent="0.25">
      <c r="E24" s="1"/>
      <c r="F24" s="1"/>
      <c r="K24" s="15"/>
      <c r="L24" s="3"/>
      <c r="Q24" s="22"/>
    </row>
    <row r="25" spans="2:28" x14ac:dyDescent="0.25">
      <c r="E25" s="1"/>
      <c r="F25" s="1"/>
      <c r="K25" s="15"/>
      <c r="L25" s="3"/>
      <c r="U25" s="3"/>
    </row>
    <row r="26" spans="2:28" x14ac:dyDescent="0.25">
      <c r="E26" s="1"/>
      <c r="K26" s="15"/>
      <c r="L26" s="3"/>
      <c r="R26" s="3"/>
      <c r="S26" s="3"/>
    </row>
    <row r="27" spans="2:28" x14ac:dyDescent="0.25">
      <c r="E27" s="1"/>
      <c r="K27" s="15"/>
      <c r="R27" s="3"/>
      <c r="S27" s="3"/>
    </row>
    <row r="28" spans="2:28" x14ac:dyDescent="0.25">
      <c r="D28" s="1"/>
      <c r="K28" s="15"/>
      <c r="R28" s="3"/>
      <c r="S28" s="3"/>
    </row>
    <row r="29" spans="2:28" x14ac:dyDescent="0.25">
      <c r="R29" s="3"/>
      <c r="S29" s="3"/>
    </row>
    <row r="30" spans="2:28" x14ac:dyDescent="0.25">
      <c r="R30" s="3"/>
      <c r="S30" s="1"/>
    </row>
    <row r="31" spans="2:28" x14ac:dyDescent="0.25">
      <c r="R31" s="3"/>
      <c r="S31" s="3"/>
    </row>
    <row r="32" spans="2:28" x14ac:dyDescent="0.25">
      <c r="R32" s="3"/>
      <c r="S32" s="3"/>
    </row>
    <row r="33" spans="18:19" x14ac:dyDescent="0.25">
      <c r="R33" s="3"/>
      <c r="S33" s="3"/>
    </row>
    <row r="34" spans="18:19" x14ac:dyDescent="0.25">
      <c r="R34" s="3"/>
      <c r="S34" s="3"/>
    </row>
    <row r="35" spans="18:19" x14ac:dyDescent="0.25">
      <c r="R35" s="3"/>
      <c r="S35" s="3"/>
    </row>
    <row r="37" spans="18:19" x14ac:dyDescent="0.25">
      <c r="R37" s="3"/>
      <c r="S37" s="3"/>
    </row>
  </sheetData>
  <sortState xmlns:xlrd2="http://schemas.microsoft.com/office/spreadsheetml/2017/richdata2" ref="K4:K13">
    <sortCondition ref="K4"/>
  </sortState>
  <mergeCells count="6">
    <mergeCell ref="B3:C3"/>
    <mergeCell ref="AC5:AF5"/>
    <mergeCell ref="P17:Q17"/>
    <mergeCell ref="U17:V17"/>
    <mergeCell ref="P3:S3"/>
    <mergeCell ref="U3:Y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4</vt:i4>
      </vt:variant>
    </vt:vector>
  </HeadingPairs>
  <TitlesOfParts>
    <vt:vector size="5" baseType="lpstr">
      <vt:lpstr>Messdaten</vt:lpstr>
      <vt:lpstr>Kalibrierung</vt:lpstr>
      <vt:lpstr>b vs c</vt:lpstr>
      <vt:lpstr>ln b vs ln c</vt:lpstr>
      <vt:lpstr>1_b vs 1_c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2020-08-03T19:46:15Z</dcterms:created>
  <dcterms:modified xsi:type="dcterms:W3CDTF">2020-08-11T18:49:20Z</dcterms:modified>
</cp:coreProperties>
</file>