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PC2_Protokolle\05_Versuch ADS\data\"/>
    </mc:Choice>
  </mc:AlternateContent>
  <xr:revisionPtr revIDLastSave="0" documentId="13_ncr:1_{4770C98B-9CE4-4EAB-848D-C64C9DF2E033}" xr6:coauthVersionLast="45" xr6:coauthVersionMax="45" xr10:uidLastSave="{00000000-0000-0000-0000-000000000000}"/>
  <bookViews>
    <workbookView xWindow="-120" yWindow="-120" windowWidth="20730" windowHeight="11160" xr2:uid="{968DEC4D-1594-44BB-BDB2-A71C7D451D1D}"/>
  </bookViews>
  <sheets>
    <sheet name="Messdaten" sheetId="1" r:id="rId1"/>
    <sheet name="Kalibrierung" sheetId="18" r:id="rId2"/>
    <sheet name="b vs c" sheetId="14" r:id="rId3"/>
    <sheet name="ln b vs ln c" sheetId="16" r:id="rId4"/>
    <sheet name="1_b vs 1_c" sheetId="17" r:id="rId5"/>
  </sheets>
  <definedNames>
    <definedName name="solver_adj" localSheetId="0" hidden="1">Messdaten!$V$18:$V$19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Messdaten!$F$17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Messdaten!$Z$18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" i="1" l="1"/>
  <c r="V13" i="1"/>
  <c r="C15" i="1"/>
  <c r="J13" i="1" s="1"/>
  <c r="J6" i="1" l="1"/>
  <c r="C16" i="1"/>
  <c r="L18" i="1" l="1"/>
  <c r="J14" i="1"/>
  <c r="K14" i="1" s="1"/>
  <c r="J15" i="1"/>
  <c r="K15" i="1" s="1"/>
  <c r="K13" i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K6" i="1"/>
  <c r="L13" i="1" l="1"/>
  <c r="N13" i="1" s="1"/>
  <c r="Q13" i="1"/>
  <c r="R13" i="1" s="1"/>
  <c r="L12" i="1"/>
  <c r="N12" i="1" s="1"/>
  <c r="V12" i="1"/>
  <c r="Q12" i="1"/>
  <c r="R12" i="1" s="1"/>
  <c r="L9" i="1"/>
  <c r="N9" i="1" s="1"/>
  <c r="V9" i="1"/>
  <c r="Q9" i="1"/>
  <c r="R9" i="1" s="1"/>
  <c r="L6" i="1"/>
  <c r="V6" i="1"/>
  <c r="Q6" i="1"/>
  <c r="R6" i="1" s="1"/>
  <c r="L10" i="1"/>
  <c r="M10" i="1" s="1"/>
  <c r="Q10" i="1"/>
  <c r="R10" i="1" s="1"/>
  <c r="V10" i="1"/>
  <c r="L15" i="1"/>
  <c r="N15" i="1" s="1"/>
  <c r="Q15" i="1"/>
  <c r="R15" i="1" s="1"/>
  <c r="V15" i="1"/>
  <c r="L8" i="1"/>
  <c r="V8" i="1"/>
  <c r="Q8" i="1"/>
  <c r="R8" i="1" s="1"/>
  <c r="L7" i="1"/>
  <c r="M7" i="1" s="1"/>
  <c r="Q7" i="1"/>
  <c r="R7" i="1" s="1"/>
  <c r="V7" i="1"/>
  <c r="L11" i="1"/>
  <c r="N11" i="1" s="1"/>
  <c r="Q11" i="1"/>
  <c r="R11" i="1" s="1"/>
  <c r="V11" i="1"/>
  <c r="L14" i="1"/>
  <c r="M14" i="1" s="1"/>
  <c r="Q14" i="1"/>
  <c r="R14" i="1" s="1"/>
  <c r="V14" i="1"/>
  <c r="N8" i="1"/>
  <c r="M8" i="1"/>
  <c r="N6" i="1"/>
  <c r="M6" i="1"/>
  <c r="U6" i="1" s="1"/>
  <c r="M13" i="1"/>
  <c r="U13" i="1" s="1"/>
  <c r="M9" i="1"/>
  <c r="K4" i="1"/>
  <c r="F7" i="1"/>
  <c r="F8" i="1" s="1"/>
  <c r="F9" i="1" s="1"/>
  <c r="F10" i="1" s="1"/>
  <c r="F11" i="1" s="1"/>
  <c r="F12" i="1" s="1"/>
  <c r="F13" i="1" s="1"/>
  <c r="F14" i="1" s="1"/>
  <c r="F15" i="1" s="1"/>
  <c r="E7" i="1"/>
  <c r="E8" i="1" s="1"/>
  <c r="E9" i="1" s="1"/>
  <c r="E10" i="1" s="1"/>
  <c r="E11" i="1" s="1"/>
  <c r="E12" i="1" s="1"/>
  <c r="E13" i="1" s="1"/>
  <c r="E14" i="1" s="1"/>
  <c r="E15" i="1" s="1"/>
  <c r="N10" i="1" l="1"/>
  <c r="M11" i="1"/>
  <c r="U11" i="1" s="1"/>
  <c r="M15" i="1"/>
  <c r="N14" i="1"/>
  <c r="X11" i="1"/>
  <c r="X10" i="1"/>
  <c r="X6" i="1"/>
  <c r="X7" i="1"/>
  <c r="X8" i="1"/>
  <c r="X9" i="1"/>
  <c r="X14" i="1"/>
  <c r="X15" i="1"/>
  <c r="X13" i="1"/>
  <c r="X12" i="1"/>
  <c r="N7" i="1"/>
  <c r="M12" i="1"/>
  <c r="P12" i="1" s="1"/>
  <c r="U7" i="1"/>
  <c r="P7" i="1"/>
  <c r="U14" i="1"/>
  <c r="P14" i="1"/>
  <c r="U10" i="1"/>
  <c r="P10" i="1"/>
  <c r="U15" i="1"/>
  <c r="P15" i="1"/>
  <c r="P11" i="1"/>
  <c r="P9" i="1"/>
  <c r="U9" i="1"/>
  <c r="U8" i="1"/>
  <c r="P8" i="1"/>
  <c r="P13" i="1"/>
  <c r="P6" i="1"/>
  <c r="U12" i="1" l="1"/>
  <c r="Q19" i="1"/>
  <c r="Q18" i="1"/>
  <c r="Q20" i="1" s="1"/>
  <c r="S8" i="1" l="1"/>
  <c r="S10" i="1"/>
  <c r="S14" i="1"/>
  <c r="S13" i="1"/>
  <c r="Q22" i="1" s="1"/>
  <c r="S12" i="1"/>
  <c r="S9" i="1"/>
  <c r="S11" i="1"/>
  <c r="S6" i="1"/>
  <c r="S15" i="1"/>
  <c r="S7" i="1"/>
  <c r="W7" i="1" l="1"/>
  <c r="Y7" i="1" s="1"/>
  <c r="Z7" i="1" s="1"/>
  <c r="W9" i="1"/>
  <c r="Y9" i="1" s="1"/>
  <c r="Z9" i="1" s="1"/>
  <c r="W14" i="1"/>
  <c r="Y14" i="1" s="1"/>
  <c r="Z14" i="1" s="1"/>
  <c r="W12" i="1"/>
  <c r="Y12" i="1" s="1"/>
  <c r="Z12" i="1" s="1"/>
  <c r="W13" i="1"/>
  <c r="Y13" i="1" s="1"/>
  <c r="W10" i="1"/>
  <c r="Y10" i="1" s="1"/>
  <c r="Z10" i="1" s="1"/>
  <c r="W8" i="1"/>
  <c r="Y8" i="1" s="1"/>
  <c r="Z8" i="1" s="1"/>
  <c r="Y6" i="1"/>
  <c r="W11" i="1"/>
  <c r="Y11" i="1" s="1"/>
  <c r="Z11" i="1" s="1"/>
  <c r="W15" i="1"/>
  <c r="Y15" i="1" s="1"/>
  <c r="Z15" i="1" s="1"/>
  <c r="Z13" i="1" l="1"/>
  <c r="V22" i="1"/>
  <c r="Z18" i="1"/>
  <c r="Z6" i="1"/>
</calcChain>
</file>

<file path=xl/sharedStrings.xml><?xml version="1.0" encoding="utf-8"?>
<sst xmlns="http://schemas.openxmlformats.org/spreadsheetml/2006/main" count="59" uniqueCount="45">
  <si>
    <t>Kalibrierung</t>
  </si>
  <si>
    <t>mg/l</t>
  </si>
  <si>
    <t>Extinktion</t>
  </si>
  <si>
    <t>Messdaten</t>
  </si>
  <si>
    <t>Nr.</t>
  </si>
  <si>
    <t>Sollmasse Kohle</t>
  </si>
  <si>
    <t>Istmasse Kohle</t>
  </si>
  <si>
    <t>Verdünnung</t>
  </si>
  <si>
    <t>1:500</t>
  </si>
  <si>
    <t>1:200</t>
  </si>
  <si>
    <t>1:100</t>
  </si>
  <si>
    <t>1:25</t>
  </si>
  <si>
    <t>1:10</t>
  </si>
  <si>
    <t>-</t>
  </si>
  <si>
    <t>GG-Konz C_GG</t>
  </si>
  <si>
    <t>damit &lt; 1,5</t>
  </si>
  <si>
    <t>g/L</t>
  </si>
  <si>
    <t>Beladung b</t>
  </si>
  <si>
    <t>GG-Masse</t>
  </si>
  <si>
    <t>mg</t>
  </si>
  <si>
    <t>y0</t>
  </si>
  <si>
    <t>m</t>
  </si>
  <si>
    <t>g</t>
  </si>
  <si>
    <t>ads Iodmasse von 20 ml</t>
  </si>
  <si>
    <t>ln b</t>
  </si>
  <si>
    <t>ln c</t>
  </si>
  <si>
    <t>n</t>
  </si>
  <si>
    <t>ln k</t>
  </si>
  <si>
    <t>k</t>
  </si>
  <si>
    <t>Freundlich</t>
  </si>
  <si>
    <t>Freundlich Parameter</t>
  </si>
  <si>
    <t>c</t>
  </si>
  <si>
    <t>b</t>
  </si>
  <si>
    <t>1/b</t>
  </si>
  <si>
    <t>1/c</t>
  </si>
  <si>
    <t>1/b infty</t>
  </si>
  <si>
    <t>1/(K*b infty)</t>
  </si>
  <si>
    <t>Langmiur Parameter</t>
  </si>
  <si>
    <t>Langmuir</t>
  </si>
  <si>
    <t>Bestimmtheit</t>
  </si>
  <si>
    <t>r^2</t>
  </si>
  <si>
    <t>außerhalb des Kalibrier bzw Extinktionsbereiches</t>
  </si>
  <si>
    <t>innerhalb des Kalibirier bzw. Extinktionsbereiches</t>
  </si>
  <si>
    <t>ursprüngliche Iodmasse in g</t>
  </si>
  <si>
    <t>Summe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</si>
</sst>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1" fontId="0" fillId="0" borderId="0" xfId="0" applyNumberFormat="1" applyAlignment="1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164" fontId="0" fillId="3" borderId="0" xfId="0" applyNumberFormat="1" applyFill="1" applyAlignment="1"/>
    <xf numFmtId="2" fontId="0" fillId="3" borderId="0" xfId="0" applyNumberFormat="1" applyFill="1" applyAlignment="1">
      <alignment horizontal="center"/>
    </xf>
    <xf numFmtId="164" fontId="0" fillId="3" borderId="0" xfId="0" applyNumberFormat="1" applyFill="1"/>
    <xf numFmtId="2" fontId="0" fillId="3" borderId="0" xfId="0" applyNumberFormat="1" applyFill="1"/>
    <xf numFmtId="166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164" fontId="0" fillId="2" borderId="0" xfId="0" applyNumberFormat="1" applyFill="1" applyAlignment="1"/>
    <xf numFmtId="2" fontId="0" fillId="2" borderId="0" xfId="0" applyNumberFormat="1" applyFill="1" applyAlignment="1">
      <alignment horizontal="center"/>
    </xf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Messdaten!$B$6:$B$11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Messdaten!$C$6:$C$11</c:f>
              <c:numCache>
                <c:formatCode>0.0000</c:formatCode>
                <c:ptCount val="6"/>
                <c:pt idx="0">
                  <c:v>0.377</c:v>
                </c:pt>
                <c:pt idx="1">
                  <c:v>0.57399999999999995</c:v>
                </c:pt>
                <c:pt idx="2">
                  <c:v>0.79700000000000004</c:v>
                </c:pt>
                <c:pt idx="3">
                  <c:v>0.98950000000000005</c:v>
                </c:pt>
                <c:pt idx="4">
                  <c:v>1.2015</c:v>
                </c:pt>
                <c:pt idx="5">
                  <c:v>1.3925000000000001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2-44D2-879C-3E206E11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70655"/>
        <c:axId val="2113076863"/>
      </c:scatterChart>
      <c:valAx>
        <c:axId val="15937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076863"/>
        <c:crosses val="autoZero"/>
        <c:crossBetween val="midCat"/>
      </c:valAx>
      <c:valAx>
        <c:axId val="21130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Extinktioin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7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Messdaten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4450">
                <a:solidFill>
                  <a:schemeClr val="accent1"/>
                </a:solidFill>
              </a:ln>
              <a:effectLst/>
            </c:spPr>
          </c:marker>
          <c:xVal>
            <c:numRef>
              <c:f>Messdaten!$K$13:$K$15</c:f>
              <c:numCache>
                <c:formatCode>0.000</c:formatCode>
                <c:ptCount val="3"/>
                <c:pt idx="0">
                  <c:v>1.1310264476290339E-2</c:v>
                </c:pt>
                <c:pt idx="1">
                  <c:v>6.9747174647559118E-3</c:v>
                </c:pt>
                <c:pt idx="2">
                  <c:v>3.7255039030641961E-3</c:v>
                </c:pt>
              </c:numCache>
            </c:numRef>
          </c:xVal>
          <c:yVal>
            <c:numRef>
              <c:f>Messdaten!$M$13:$M$15</c:f>
              <c:numCache>
                <c:formatCode>0.00</c:formatCode>
                <c:ptCount val="3"/>
                <c:pt idx="0">
                  <c:v>0.24862948937208987</c:v>
                </c:pt>
                <c:pt idx="1">
                  <c:v>0.2208769471743437</c:v>
                </c:pt>
                <c:pt idx="2">
                  <c:v>0.19962804413617583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6-4127-9E43-ECC205325336}"/>
            </c:ext>
          </c:extLst>
        </c:ser>
        <c:ser>
          <c:idx val="1"/>
          <c:order val="1"/>
          <c:tx>
            <c:v>Freundlich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Messdaten!$R$13:$R$15</c:f>
              <c:numCache>
                <c:formatCode>0.000</c:formatCode>
                <c:ptCount val="3"/>
                <c:pt idx="0">
                  <c:v>1.1310264476290336E-2</c:v>
                </c:pt>
                <c:pt idx="1">
                  <c:v>6.97471746475591E-3</c:v>
                </c:pt>
                <c:pt idx="2">
                  <c:v>3.7255039030641966E-3</c:v>
                </c:pt>
              </c:numCache>
            </c:numRef>
          </c:xVal>
          <c:yVal>
            <c:numRef>
              <c:f>Messdaten!$S$13:$S$15</c:f>
              <c:numCache>
                <c:formatCode>General</c:formatCode>
                <c:ptCount val="3"/>
                <c:pt idx="0">
                  <c:v>0.24651600210894989</c:v>
                </c:pt>
                <c:pt idx="1">
                  <c:v>0.22424151291304328</c:v>
                </c:pt>
                <c:pt idx="2">
                  <c:v>0.1983186010107425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26-4127-9E43-ECC205325336}"/>
            </c:ext>
          </c:extLst>
        </c:ser>
        <c:ser>
          <c:idx val="2"/>
          <c:order val="2"/>
          <c:tx>
            <c:v>Langmuir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Messdaten!$X$13:$X$15</c:f>
              <c:numCache>
                <c:formatCode>0.000</c:formatCode>
                <c:ptCount val="3"/>
                <c:pt idx="0">
                  <c:v>1.1310264476290339E-2</c:v>
                </c:pt>
                <c:pt idx="1">
                  <c:v>6.9747174647559118E-3</c:v>
                </c:pt>
                <c:pt idx="2">
                  <c:v>3.7255039030641961E-3</c:v>
                </c:pt>
              </c:numCache>
            </c:numRef>
          </c:xVal>
          <c:yVal>
            <c:numRef>
              <c:f>Messdaten!$Y$13:$Y$15</c:f>
              <c:numCache>
                <c:formatCode>0.00</c:formatCode>
                <c:ptCount val="3"/>
                <c:pt idx="0">
                  <c:v>0.24452726405807002</c:v>
                </c:pt>
                <c:pt idx="1">
                  <c:v>0.22768795345974618</c:v>
                </c:pt>
                <c:pt idx="2">
                  <c:v>0.19684576480682542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26-4127-9E43-ECC205325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847120"/>
        <c:axId val="277240144"/>
      </c:scatterChart>
      <c:valAx>
        <c:axId val="44184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Konzentration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40144"/>
        <c:crosses val="autoZero"/>
        <c:crossBetween val="midCat"/>
      </c:valAx>
      <c:valAx>
        <c:axId val="277240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Beladung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4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Messdaten!$Q$13:$Q$15</c:f>
              <c:numCache>
                <c:formatCode>General</c:formatCode>
                <c:ptCount val="3"/>
                <c:pt idx="0">
                  <c:v>-4.4820446048401301</c:v>
                </c:pt>
                <c:pt idx="1">
                  <c:v>-4.9654634589401629</c:v>
                </c:pt>
                <c:pt idx="2">
                  <c:v>-5.5925531603091976</c:v>
                </c:pt>
              </c:numCache>
            </c:numRef>
          </c:xVal>
          <c:yVal>
            <c:numRef>
              <c:f>Messdaten!$P$13:$P$15</c:f>
              <c:numCache>
                <c:formatCode>General</c:formatCode>
                <c:ptCount val="3"/>
                <c:pt idx="0">
                  <c:v>-1.3917914851702591</c:v>
                </c:pt>
                <c:pt idx="1">
                  <c:v>-1.5101495326512258</c:v>
                </c:pt>
                <c:pt idx="2">
                  <c:v>-1.6112994232899631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E-4198-9A5D-01350D13F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306927"/>
        <c:axId val="157827055"/>
      </c:scatterChart>
      <c:valAx>
        <c:axId val="201130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27055"/>
        <c:crosses val="autoZero"/>
        <c:crossBetween val="midCat"/>
      </c:valAx>
      <c:valAx>
        <c:axId val="1578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0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Messdaten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Messdaten!$V$13:$V$15</c:f>
              <c:numCache>
                <c:formatCode>General</c:formatCode>
                <c:ptCount val="3"/>
                <c:pt idx="0">
                  <c:v>88.415262268737919</c:v>
                </c:pt>
                <c:pt idx="1">
                  <c:v>143.37498329546975</c:v>
                </c:pt>
                <c:pt idx="2">
                  <c:v>268.42006504878663</c:v>
                </c:pt>
              </c:numCache>
            </c:numRef>
          </c:xVal>
          <c:yVal>
            <c:numRef>
              <c:f>Messdaten!$U$13:$U$15</c:f>
              <c:numCache>
                <c:formatCode>General</c:formatCode>
                <c:ptCount val="3"/>
                <c:pt idx="0">
                  <c:v>4.0220490438422463</c:v>
                </c:pt>
                <c:pt idx="1">
                  <c:v>4.5274077389827152</c:v>
                </c:pt>
                <c:pt idx="2">
                  <c:v>5.0093162227139398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36-461F-A4D0-2EEC0D1BA203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Messdaten!$V$13:$V$15</c:f>
              <c:numCache>
                <c:formatCode>General</c:formatCode>
                <c:ptCount val="3"/>
                <c:pt idx="0">
                  <c:v>88.415262268737919</c:v>
                </c:pt>
                <c:pt idx="1">
                  <c:v>143.37498329546975</c:v>
                </c:pt>
                <c:pt idx="2">
                  <c:v>268.42006504878663</c:v>
                </c:pt>
              </c:numCache>
            </c:numRef>
          </c:xVal>
          <c:yVal>
            <c:numRef>
              <c:f>Messdaten!$W$13:$W$15</c:f>
              <c:numCache>
                <c:formatCode>General</c:formatCode>
                <c:ptCount val="3"/>
                <c:pt idx="0">
                  <c:v>4.0895235296237615</c:v>
                </c:pt>
                <c:pt idx="1">
                  <c:v>4.3919758810463101</c:v>
                </c:pt>
                <c:pt idx="2">
                  <c:v>5.0801194578981672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36-461F-A4D0-2EEC0D1BA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622015"/>
        <c:axId val="2113059391"/>
      </c:scatterChart>
      <c:valAx>
        <c:axId val="21862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059391"/>
        <c:crosses val="autoZero"/>
        <c:crossBetween val="midCat"/>
      </c:valAx>
      <c:valAx>
        <c:axId val="21130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2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83213F-5B08-4EF0-8D49-027DD56822B9}">
  <sheetPr/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E77F8D-1285-4E37-9290-5163A22C5E45}">
  <sheetPr/>
  <sheetViews>
    <sheetView zoomScale="80" workbookViewId="0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F7771-09AA-4898-BCA5-A881A1107C61}">
  <sheetPr/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F7C9FB-E893-420F-B9CB-E61C8B6B4C5C}">
  <sheetPr/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E0B558-3459-472D-8474-D2B2449452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AE7E5BF-1439-4970-A20B-CB93738906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EAAC89-5DEB-44DF-AFB6-26A952941D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7993621-ECAB-4982-8A19-08EEBB73C9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73A1-192C-40FB-95A9-FAA29D4C6FC1}">
  <sheetPr codeName="Tabelle1"/>
  <dimension ref="B3:AF28"/>
  <sheetViews>
    <sheetView tabSelected="1" zoomScale="90" zoomScaleNormal="90" zoomScaleSheetLayoutView="100" workbookViewId="0">
      <selection activeCell="F18" sqref="F18"/>
    </sheetView>
  </sheetViews>
  <sheetFormatPr baseColWidth="10" defaultRowHeight="15" x14ac:dyDescent="0.25"/>
  <cols>
    <col min="2" max="2" width="11.85546875" bestFit="1" customWidth="1"/>
    <col min="5" max="5" width="14" bestFit="1" customWidth="1"/>
    <col min="6" max="6" width="15.42578125" bestFit="1" customWidth="1"/>
    <col min="7" max="7" width="14.28515625" bestFit="1" customWidth="1"/>
    <col min="8" max="8" width="13" customWidth="1"/>
    <col min="10" max="11" width="14.85546875" bestFit="1" customWidth="1"/>
    <col min="12" max="12" width="26.140625" bestFit="1" customWidth="1"/>
    <col min="16" max="16" width="14" bestFit="1" customWidth="1"/>
    <col min="21" max="21" width="13.28515625" bestFit="1" customWidth="1"/>
    <col min="25" max="26" width="13" bestFit="1" customWidth="1"/>
  </cols>
  <sheetData>
    <row r="3" spans="2:32" ht="18.75" x14ac:dyDescent="0.3">
      <c r="B3" s="26" t="s">
        <v>0</v>
      </c>
      <c r="C3" s="26"/>
      <c r="D3" s="25"/>
      <c r="E3" s="25" t="s">
        <v>3</v>
      </c>
      <c r="P3" s="8" t="s">
        <v>29</v>
      </c>
      <c r="Q3" s="8"/>
      <c r="R3" s="8"/>
      <c r="S3" s="8"/>
      <c r="U3" s="8" t="s">
        <v>38</v>
      </c>
      <c r="V3" s="8"/>
      <c r="W3" s="8"/>
      <c r="X3" s="8"/>
      <c r="Y3" s="8"/>
    </row>
    <row r="4" spans="2:32" x14ac:dyDescent="0.25">
      <c r="E4" t="s">
        <v>4</v>
      </c>
      <c r="F4" t="s">
        <v>5</v>
      </c>
      <c r="G4" t="s">
        <v>6</v>
      </c>
      <c r="H4" t="s">
        <v>7</v>
      </c>
      <c r="I4" t="s">
        <v>2</v>
      </c>
      <c r="J4" t="s">
        <v>14</v>
      </c>
      <c r="K4" t="str">
        <f>J4</f>
        <v>GG-Konz C_GG</v>
      </c>
      <c r="L4" t="s">
        <v>23</v>
      </c>
      <c r="M4" t="s">
        <v>17</v>
      </c>
      <c r="N4" t="s">
        <v>18</v>
      </c>
      <c r="P4" t="s">
        <v>24</v>
      </c>
      <c r="Q4" t="s">
        <v>25</v>
      </c>
      <c r="R4" t="s">
        <v>31</v>
      </c>
      <c r="S4" t="s">
        <v>32</v>
      </c>
      <c r="U4" t="s">
        <v>33</v>
      </c>
      <c r="V4" t="s">
        <v>34</v>
      </c>
      <c r="W4" t="s">
        <v>33</v>
      </c>
      <c r="X4" t="s">
        <v>31</v>
      </c>
      <c r="Y4" t="s">
        <v>32</v>
      </c>
      <c r="Z4" t="s">
        <v>40</v>
      </c>
    </row>
    <row r="5" spans="2:32" x14ac:dyDescent="0.25">
      <c r="B5" t="s">
        <v>1</v>
      </c>
      <c r="C5" t="s">
        <v>2</v>
      </c>
      <c r="F5" t="s">
        <v>22</v>
      </c>
      <c r="G5" t="s">
        <v>22</v>
      </c>
      <c r="H5" t="s">
        <v>15</v>
      </c>
      <c r="J5" t="s">
        <v>1</v>
      </c>
      <c r="K5" t="s">
        <v>16</v>
      </c>
      <c r="L5" t="s">
        <v>22</v>
      </c>
      <c r="M5" t="s">
        <v>13</v>
      </c>
      <c r="N5" t="s">
        <v>19</v>
      </c>
      <c r="P5" t="s">
        <v>13</v>
      </c>
      <c r="AC5" s="8"/>
      <c r="AD5" s="8"/>
      <c r="AE5" s="8"/>
      <c r="AF5" s="8"/>
    </row>
    <row r="6" spans="2:32" x14ac:dyDescent="0.25">
      <c r="B6" s="6">
        <v>2</v>
      </c>
      <c r="C6" s="7">
        <v>0.377</v>
      </c>
      <c r="E6" s="16">
        <v>1</v>
      </c>
      <c r="F6" s="16">
        <v>0.1</v>
      </c>
      <c r="G6" s="16">
        <v>0.10705000000000001</v>
      </c>
      <c r="H6" s="17" t="s">
        <v>8</v>
      </c>
      <c r="I6" s="18">
        <v>1.2869999999999999</v>
      </c>
      <c r="J6" s="19">
        <f>(I6-$C$15)/$C$16*500</f>
        <v>5449.6096935803334</v>
      </c>
      <c r="K6" s="20">
        <f>J6/1000</f>
        <v>5.4496096935803333</v>
      </c>
      <c r="L6" s="20">
        <f>$L$18-K6*20/1000</f>
        <v>9.1007806128393334E-2</v>
      </c>
      <c r="M6" s="21">
        <f>L6/G6</f>
        <v>0.85014298111530429</v>
      </c>
      <c r="N6" s="20">
        <f>$L$18-L6</f>
        <v>0.10899219387160668</v>
      </c>
      <c r="O6" s="4"/>
      <c r="P6" s="4">
        <f t="shared" ref="P6:P15" si="0">LN(M6)</f>
        <v>-0.16235073056717958</v>
      </c>
      <c r="Q6" s="4">
        <f t="shared" ref="Q6:Q15" si="1">LN(K6)</f>
        <v>1.6955439902537952</v>
      </c>
      <c r="R6" s="20">
        <f>EXP(Q6)</f>
        <v>5.4496096935803333</v>
      </c>
      <c r="S6" s="4">
        <f>$Q$20*R6^$Q$19</f>
        <v>0.82686025412236897</v>
      </c>
      <c r="T6" s="4"/>
      <c r="U6" s="4">
        <f>1/M6</f>
        <v>1.1762727237812374</v>
      </c>
      <c r="V6" s="4">
        <f>1/K6</f>
        <v>0.18349937999743446</v>
      </c>
      <c r="W6" s="4">
        <f>$V$19*V6+$V$18</f>
        <v>3.6039696793253491</v>
      </c>
      <c r="X6" s="20">
        <f>1/V6</f>
        <v>5.4496096935803333</v>
      </c>
      <c r="Y6" s="21">
        <f>1/W6</f>
        <v>0.2774718127448832</v>
      </c>
      <c r="Z6" s="21">
        <f>(Y6-M6)^2</f>
        <v>0.32795226708274317</v>
      </c>
    </row>
    <row r="7" spans="2:32" x14ac:dyDescent="0.25">
      <c r="B7" s="6">
        <v>4</v>
      </c>
      <c r="C7" s="7">
        <v>0.57399999999999995</v>
      </c>
      <c r="E7" s="16">
        <f>E6+1</f>
        <v>2</v>
      </c>
      <c r="F7" s="16">
        <f>F6+0.1</f>
        <v>0.2</v>
      </c>
      <c r="G7" s="16">
        <v>0.19927</v>
      </c>
      <c r="H7" s="17" t="s">
        <v>9</v>
      </c>
      <c r="I7" s="18">
        <v>1.3959999999999999</v>
      </c>
      <c r="J7" s="19">
        <f>(I7-$C$15)/$C$16*200</f>
        <v>2393.1958522661075</v>
      </c>
      <c r="K7" s="20">
        <f>J7/1000</f>
        <v>2.3931958522661074</v>
      </c>
      <c r="L7" s="20">
        <f>$L$18-K7*20/1000</f>
        <v>0.15213608295467787</v>
      </c>
      <c r="M7" s="21">
        <f t="shared" ref="M7:M15" si="2">L7/G7</f>
        <v>0.76346706957734667</v>
      </c>
      <c r="N7" s="20">
        <f>$L$18-L7</f>
        <v>4.7863917045322141E-2</v>
      </c>
      <c r="O7" s="4"/>
      <c r="P7" s="4">
        <f t="shared" si="0"/>
        <v>-0.26988528612807694</v>
      </c>
      <c r="Q7" s="4">
        <f t="shared" si="1"/>
        <v>0.87262964939923904</v>
      </c>
      <c r="R7" s="20">
        <f t="shared" ref="R7:R15" si="3">EXP(Q7)</f>
        <v>2.3931958522661074</v>
      </c>
      <c r="S7" s="4">
        <f>$Q$20*R7^$Q$19</f>
        <v>0.70375073663407628</v>
      </c>
      <c r="T7" s="4"/>
      <c r="U7" s="4">
        <f t="shared" ref="U7:U15" si="4">1/M7</f>
        <v>1.3098141882577821</v>
      </c>
      <c r="V7" s="4">
        <f t="shared" ref="V7:V15" si="5">1/K7</f>
        <v>0.41785130082567379</v>
      </c>
      <c r="W7" s="4">
        <f>$V$19*V7+$V$18</f>
        <v>3.6052593563504636</v>
      </c>
      <c r="X7" s="20">
        <f t="shared" ref="X7:X15" si="6">1/V7</f>
        <v>2.3931958522661074</v>
      </c>
      <c r="Y7" s="21">
        <f t="shared" ref="Y7:Y15" si="7">1/W7</f>
        <v>0.27737255524725446</v>
      </c>
      <c r="Z7" s="21">
        <f t="shared" ref="Z7:Z15" si="8">(Y7-M7)^2</f>
        <v>0.23628787686180822</v>
      </c>
    </row>
    <row r="8" spans="2:32" x14ac:dyDescent="0.25">
      <c r="B8" s="6">
        <v>6</v>
      </c>
      <c r="C8" s="7">
        <v>0.79700000000000004</v>
      </c>
      <c r="E8" s="16">
        <f t="shared" ref="E8:E15" si="9">E7+1</f>
        <v>3</v>
      </c>
      <c r="F8" s="16">
        <f t="shared" ref="F8:F15" si="10">F7+0.1</f>
        <v>0.30000000000000004</v>
      </c>
      <c r="G8" s="16">
        <v>0.30557000000000001</v>
      </c>
      <c r="H8" s="17" t="s">
        <v>10</v>
      </c>
      <c r="I8" s="18">
        <v>0.78600000000000003</v>
      </c>
      <c r="J8" s="19">
        <f>(I8-$C$15)/$C$16*100</f>
        <v>599.60386811138289</v>
      </c>
      <c r="K8" s="20">
        <f t="shared" ref="K8:K15" si="11">J8/1000</f>
        <v>0.59960386811138289</v>
      </c>
      <c r="L8" s="20">
        <f>$L$18-K8*20/1000</f>
        <v>0.18800792263777236</v>
      </c>
      <c r="M8" s="21">
        <f t="shared" si="2"/>
        <v>0.61526957043483443</v>
      </c>
      <c r="N8" s="20">
        <f>$L$18-L8</f>
        <v>1.1992077362227654E-2</v>
      </c>
      <c r="O8" s="4"/>
      <c r="P8" s="4">
        <f t="shared" si="0"/>
        <v>-0.48569478130205856</v>
      </c>
      <c r="Q8" s="4">
        <f t="shared" si="1"/>
        <v>-0.51148606162142951</v>
      </c>
      <c r="R8" s="20">
        <f t="shared" si="3"/>
        <v>0.59960386811138289</v>
      </c>
      <c r="S8" s="4">
        <f>$Q$20*R8^$Q$19</f>
        <v>0.53661004603206974</v>
      </c>
      <c r="T8" s="4"/>
      <c r="U8" s="4">
        <f t="shared" si="4"/>
        <v>1.6253038473741874</v>
      </c>
      <c r="V8" s="4">
        <f t="shared" si="5"/>
        <v>1.6677677599875644</v>
      </c>
      <c r="W8" s="4">
        <f>$V$19*V8+$V$18</f>
        <v>3.6121378514572964</v>
      </c>
      <c r="X8" s="20">
        <f t="shared" si="6"/>
        <v>0.59960386811138289</v>
      </c>
      <c r="Y8" s="21">
        <f t="shared" si="7"/>
        <v>0.27684436229269482</v>
      </c>
      <c r="Z8" s="21">
        <f t="shared" si="8"/>
        <v>0.11453162150605052</v>
      </c>
    </row>
    <row r="9" spans="2:32" x14ac:dyDescent="0.25">
      <c r="B9" s="6">
        <v>8</v>
      </c>
      <c r="C9" s="7">
        <v>0.98950000000000005</v>
      </c>
      <c r="E9" s="16">
        <f t="shared" si="9"/>
        <v>4</v>
      </c>
      <c r="F9" s="16">
        <f t="shared" si="10"/>
        <v>0.4</v>
      </c>
      <c r="G9" s="16">
        <v>0.40078000000000003</v>
      </c>
      <c r="H9" s="17" t="s">
        <v>11</v>
      </c>
      <c r="I9" s="18">
        <v>0.96299999999999997</v>
      </c>
      <c r="J9" s="19">
        <f>(I9-$C$15)/$C$16*25</f>
        <v>193.20750320400791</v>
      </c>
      <c r="K9" s="20">
        <f t="shared" si="11"/>
        <v>0.1932075032040079</v>
      </c>
      <c r="L9" s="20">
        <f>$L$18-K9*20/1000</f>
        <v>0.19613584993591984</v>
      </c>
      <c r="M9" s="21">
        <f t="shared" si="2"/>
        <v>0.48938532345905444</v>
      </c>
      <c r="N9" s="20">
        <f>$L$18-L9</f>
        <v>3.8641500640801685E-3</v>
      </c>
      <c r="O9" s="4"/>
      <c r="P9" s="4">
        <f t="shared" si="0"/>
        <v>-0.71460511726865406</v>
      </c>
      <c r="Q9" s="4">
        <f t="shared" si="1"/>
        <v>-1.6439905214981669</v>
      </c>
      <c r="R9" s="20">
        <f t="shared" si="3"/>
        <v>0.1932075032040079</v>
      </c>
      <c r="S9" s="4">
        <f>$Q$20*R9^$Q$19</f>
        <v>0.42983891331950436</v>
      </c>
      <c r="T9" s="4"/>
      <c r="U9" s="4">
        <f t="shared" si="4"/>
        <v>2.0433796275945477</v>
      </c>
      <c r="V9" s="4">
        <f t="shared" si="5"/>
        <v>5.1757824277874942</v>
      </c>
      <c r="W9" s="4">
        <f>$V$19*V9+$V$18</f>
        <v>3.63144303105573</v>
      </c>
      <c r="X9" s="20">
        <f t="shared" si="6"/>
        <v>0.1932075032040079</v>
      </c>
      <c r="Y9" s="21">
        <f t="shared" si="7"/>
        <v>0.27537262500006254</v>
      </c>
      <c r="Z9" s="21">
        <f t="shared" si="8"/>
        <v>4.5801435101699393E-2</v>
      </c>
    </row>
    <row r="10" spans="2:32" x14ac:dyDescent="0.25">
      <c r="B10" s="6">
        <v>10</v>
      </c>
      <c r="C10" s="7">
        <v>1.2015</v>
      </c>
      <c r="E10" s="16">
        <f t="shared" si="9"/>
        <v>5</v>
      </c>
      <c r="F10" s="16">
        <f t="shared" si="10"/>
        <v>0.5</v>
      </c>
      <c r="G10" s="16">
        <v>0.50024999999999997</v>
      </c>
      <c r="H10" s="17" t="s">
        <v>12</v>
      </c>
      <c r="I10" s="18">
        <v>0.95299999999999996</v>
      </c>
      <c r="J10" s="19">
        <f>(I10-$C$15)/$C$16*10</f>
        <v>76.304322497961067</v>
      </c>
      <c r="K10" s="20">
        <f t="shared" si="11"/>
        <v>7.6304322497961069E-2</v>
      </c>
      <c r="L10" s="20">
        <f>$L$18-K10*20/1000</f>
        <v>0.19847391355004079</v>
      </c>
      <c r="M10" s="21">
        <f t="shared" si="2"/>
        <v>0.39674945237389464</v>
      </c>
      <c r="N10" s="20">
        <f>$L$18-L10</f>
        <v>1.5260864499592186E-3</v>
      </c>
      <c r="O10" s="4"/>
      <c r="P10" s="4">
        <f t="shared" si="0"/>
        <v>-0.92445029985660987</v>
      </c>
      <c r="Q10" s="4">
        <f t="shared" si="1"/>
        <v>-2.5730256909469285</v>
      </c>
      <c r="R10" s="20">
        <f t="shared" si="3"/>
        <v>7.6304322497961083E-2</v>
      </c>
      <c r="S10" s="4">
        <f>$Q$20*R10^$Q$19</f>
        <v>0.35831398071229859</v>
      </c>
      <c r="T10" s="4"/>
      <c r="U10" s="4">
        <f t="shared" si="4"/>
        <v>2.5204823699607912</v>
      </c>
      <c r="V10" s="4">
        <f t="shared" si="5"/>
        <v>13.105417455567094</v>
      </c>
      <c r="W10" s="4">
        <f>$V$19*V10+$V$18</f>
        <v>3.6750811120952611</v>
      </c>
      <c r="X10" s="20">
        <f t="shared" si="6"/>
        <v>7.6304322497961069E-2</v>
      </c>
      <c r="Y10" s="21">
        <f t="shared" si="7"/>
        <v>0.27210283786903239</v>
      </c>
      <c r="Z10" s="21">
        <f t="shared" si="8"/>
        <v>1.5536778507523736E-2</v>
      </c>
    </row>
    <row r="11" spans="2:32" x14ac:dyDescent="0.25">
      <c r="B11" s="6">
        <v>12</v>
      </c>
      <c r="C11" s="7">
        <v>1.3925000000000001</v>
      </c>
      <c r="E11" s="16">
        <f t="shared" si="9"/>
        <v>6</v>
      </c>
      <c r="F11" s="16">
        <f t="shared" si="10"/>
        <v>0.6</v>
      </c>
      <c r="G11" s="16">
        <v>0.60067999999999999</v>
      </c>
      <c r="H11" s="17" t="s">
        <v>12</v>
      </c>
      <c r="I11" s="18">
        <v>0.58699999999999997</v>
      </c>
      <c r="J11" s="19">
        <f>(I11-$C$15)/$C$16*10</f>
        <v>40.484679016660827</v>
      </c>
      <c r="K11" s="20">
        <f t="shared" si="11"/>
        <v>4.0484679016660828E-2</v>
      </c>
      <c r="L11" s="20">
        <f>$L$18-K11*20/1000</f>
        <v>0.19919030641966678</v>
      </c>
      <c r="M11" s="21">
        <f t="shared" si="2"/>
        <v>0.33160802160828856</v>
      </c>
      <c r="N11" s="20">
        <f>$L$18-L11</f>
        <v>8.0969358033322614E-4</v>
      </c>
      <c r="O11" s="4"/>
      <c r="P11" s="4">
        <f t="shared" si="0"/>
        <v>-1.1038016653975162</v>
      </c>
      <c r="Q11" s="4">
        <f t="shared" si="1"/>
        <v>-3.2068316723265005</v>
      </c>
      <c r="R11" s="20">
        <f t="shared" si="3"/>
        <v>4.0484679016660828E-2</v>
      </c>
      <c r="S11" s="4">
        <f>$Q$20*R11^$Q$19</f>
        <v>0.3164752637196675</v>
      </c>
      <c r="T11" s="4"/>
      <c r="U11" s="4">
        <f t="shared" si="4"/>
        <v>3.0156085945992235</v>
      </c>
      <c r="V11" s="4">
        <f t="shared" si="5"/>
        <v>24.700702198687701</v>
      </c>
      <c r="W11" s="4">
        <f>$V$19*V11+$V$18</f>
        <v>3.7388918642325408</v>
      </c>
      <c r="X11" s="20">
        <f t="shared" si="6"/>
        <v>4.0484679016660828E-2</v>
      </c>
      <c r="Y11" s="21">
        <f t="shared" si="7"/>
        <v>0.26745892534799581</v>
      </c>
      <c r="Z11" s="21">
        <f t="shared" si="8"/>
        <v>4.1151065510123047E-3</v>
      </c>
    </row>
    <row r="12" spans="2:32" x14ac:dyDescent="0.25">
      <c r="B12" s="4">
        <v>16</v>
      </c>
      <c r="C12" s="5">
        <v>1.8815</v>
      </c>
      <c r="E12" s="16">
        <f t="shared" si="9"/>
        <v>7</v>
      </c>
      <c r="F12" s="16">
        <f t="shared" si="10"/>
        <v>0.7</v>
      </c>
      <c r="G12" s="16">
        <v>0.70079000000000002</v>
      </c>
      <c r="H12" s="17" t="s">
        <v>12</v>
      </c>
      <c r="I12" s="18">
        <v>0.373</v>
      </c>
      <c r="J12" s="19">
        <f>(I12-$C$15)/$C$16*10</f>
        <v>19.540953046720251</v>
      </c>
      <c r="K12" s="20">
        <f t="shared" si="11"/>
        <v>1.9540953046720252E-2</v>
      </c>
      <c r="L12" s="20">
        <f>$L$18-K12*20/1000</f>
        <v>0.1996091809390656</v>
      </c>
      <c r="M12" s="21">
        <f t="shared" si="2"/>
        <v>0.28483451667270593</v>
      </c>
      <c r="N12" s="20">
        <f>$L$18-L12</f>
        <v>3.9081906093441088E-4</v>
      </c>
      <c r="O12" s="4"/>
      <c r="P12" s="4">
        <f t="shared" si="0"/>
        <v>-1.2558469106057264</v>
      </c>
      <c r="Q12" s="4">
        <f t="shared" si="1"/>
        <v>-3.9352428594156583</v>
      </c>
      <c r="R12" s="20">
        <f t="shared" si="3"/>
        <v>1.9540953046720256E-2</v>
      </c>
      <c r="S12" s="4">
        <f>$Q$20*R12^$Q$19</f>
        <v>0.27438907170139104</v>
      </c>
      <c r="T12" s="4"/>
      <c r="U12" s="4">
        <f t="shared" si="4"/>
        <v>3.510810458232025</v>
      </c>
      <c r="V12" s="4">
        <f t="shared" si="5"/>
        <v>51.174576675411423</v>
      </c>
      <c r="W12" s="4">
        <f>$V$19*V12+$V$18</f>
        <v>3.8845819339265977</v>
      </c>
      <c r="X12" s="20">
        <f t="shared" si="6"/>
        <v>1.9540953046720252E-2</v>
      </c>
      <c r="Y12" s="21">
        <f t="shared" si="7"/>
        <v>0.25742795930402324</v>
      </c>
      <c r="Z12" s="21">
        <f t="shared" si="8"/>
        <v>7.5111938680289566E-4</v>
      </c>
    </row>
    <row r="13" spans="2:32" x14ac:dyDescent="0.25">
      <c r="B13" s="4">
        <v>20</v>
      </c>
      <c r="C13" s="5">
        <v>2.5880000000000001</v>
      </c>
      <c r="E13" s="9">
        <f t="shared" si="9"/>
        <v>8</v>
      </c>
      <c r="F13" s="9">
        <f t="shared" si="10"/>
        <v>0.79999999999999993</v>
      </c>
      <c r="G13" s="9">
        <v>0.80349999999999999</v>
      </c>
      <c r="H13" s="10" t="s">
        <v>13</v>
      </c>
      <c r="I13" s="11">
        <v>1.329</v>
      </c>
      <c r="J13" s="12">
        <f>(I13-$C$15)/$C$16</f>
        <v>11.310264476290339</v>
      </c>
      <c r="K13" s="13">
        <f t="shared" si="11"/>
        <v>1.1310264476290339E-2</v>
      </c>
      <c r="L13" s="13">
        <f>$L$18-K13*20/1000</f>
        <v>0.19977379471047421</v>
      </c>
      <c r="M13" s="14">
        <f t="shared" si="2"/>
        <v>0.24862948937208987</v>
      </c>
      <c r="N13" s="13">
        <f>$L$18-L13</f>
        <v>2.2620528952579932E-4</v>
      </c>
      <c r="O13" s="6"/>
      <c r="P13" s="6">
        <f t="shared" si="0"/>
        <v>-1.3917914851702591</v>
      </c>
      <c r="Q13" s="6">
        <f t="shared" si="1"/>
        <v>-4.4820446048401301</v>
      </c>
      <c r="R13" s="13">
        <f>EXP(Q13)</f>
        <v>1.1310264476290336E-2</v>
      </c>
      <c r="S13" s="6">
        <f>$Q$20*R13^$Q$19</f>
        <v>0.24651600210894989</v>
      </c>
      <c r="T13" s="6"/>
      <c r="U13" s="6">
        <f>1/M13</f>
        <v>4.0220490438422463</v>
      </c>
      <c r="V13" s="6">
        <f>1/K13</f>
        <v>88.415262268737919</v>
      </c>
      <c r="W13" s="6">
        <f>$V$19*V13+$V$18</f>
        <v>4.0895235296237615</v>
      </c>
      <c r="X13" s="13">
        <f t="shared" si="6"/>
        <v>1.1310264476290339E-2</v>
      </c>
      <c r="Y13" s="14">
        <f t="shared" si="7"/>
        <v>0.24452726405807002</v>
      </c>
      <c r="Z13" s="14">
        <f t="shared" si="8"/>
        <v>1.682825252698528E-5</v>
      </c>
    </row>
    <row r="14" spans="2:32" x14ac:dyDescent="0.25">
      <c r="E14" s="9">
        <f t="shared" si="9"/>
        <v>9</v>
      </c>
      <c r="F14" s="15">
        <f t="shared" si="10"/>
        <v>0.89999999999999991</v>
      </c>
      <c r="G14" s="9">
        <v>0.90485000000000004</v>
      </c>
      <c r="H14" s="10" t="s">
        <v>13</v>
      </c>
      <c r="I14" s="11">
        <v>0.88600000000000001</v>
      </c>
      <c r="J14" s="12">
        <f>(I14-$C$15)/$C$16</f>
        <v>6.974717464755912</v>
      </c>
      <c r="K14" s="13">
        <f t="shared" si="11"/>
        <v>6.9747174647559118E-3</v>
      </c>
      <c r="L14" s="13">
        <f>$L$18-K14*20/1000</f>
        <v>0.1998605056507049</v>
      </c>
      <c r="M14" s="14">
        <f t="shared" si="2"/>
        <v>0.2208769471743437</v>
      </c>
      <c r="N14" s="13">
        <f>$L$18-L14</f>
        <v>1.3949434929511062E-4</v>
      </c>
      <c r="O14" s="6"/>
      <c r="P14" s="6">
        <f t="shared" si="0"/>
        <v>-1.5101495326512258</v>
      </c>
      <c r="Q14" s="6">
        <f t="shared" si="1"/>
        <v>-4.9654634589401629</v>
      </c>
      <c r="R14" s="13">
        <f t="shared" si="3"/>
        <v>6.97471746475591E-3</v>
      </c>
      <c r="S14" s="6">
        <f>$Q$20*R14^$Q$19</f>
        <v>0.22424151291304328</v>
      </c>
      <c r="T14" s="6"/>
      <c r="U14" s="6">
        <f t="shared" si="4"/>
        <v>4.5274077389827152</v>
      </c>
      <c r="V14" s="6">
        <f t="shared" si="5"/>
        <v>143.37498329546975</v>
      </c>
      <c r="W14" s="6">
        <f>$V$19*V14+$V$18</f>
        <v>4.3919758810463101</v>
      </c>
      <c r="X14" s="13">
        <f t="shared" si="6"/>
        <v>6.9747174647559118E-3</v>
      </c>
      <c r="Y14" s="14">
        <f t="shared" si="7"/>
        <v>0.22768795345974618</v>
      </c>
      <c r="Z14" s="14">
        <f t="shared" si="8"/>
        <v>4.6389806619792192E-5</v>
      </c>
    </row>
    <row r="15" spans="2:32" x14ac:dyDescent="0.25">
      <c r="B15" t="s">
        <v>20</v>
      </c>
      <c r="C15">
        <f>INTERCEPT(C6:C11,B6:B11)</f>
        <v>0.17333333333333345</v>
      </c>
      <c r="E15" s="9">
        <f t="shared" si="9"/>
        <v>10</v>
      </c>
      <c r="F15" s="15">
        <f t="shared" si="10"/>
        <v>0.99999999999999989</v>
      </c>
      <c r="G15" s="9">
        <v>1.00149</v>
      </c>
      <c r="H15" s="10" t="s">
        <v>13</v>
      </c>
      <c r="I15" s="11">
        <v>0.55400000000000005</v>
      </c>
      <c r="J15" s="12">
        <f>(I15-$C$15)/$C$16</f>
        <v>3.7255039030641961</v>
      </c>
      <c r="K15" s="13">
        <f t="shared" si="11"/>
        <v>3.7255039030641961E-3</v>
      </c>
      <c r="L15" s="13">
        <f>$L$18-K15*20/1000</f>
        <v>0.19992548992193873</v>
      </c>
      <c r="M15" s="14">
        <f t="shared" si="2"/>
        <v>0.19962804413617583</v>
      </c>
      <c r="N15" s="13">
        <f>$L$18-L15</f>
        <v>7.4510078061279517E-5</v>
      </c>
      <c r="O15" s="6"/>
      <c r="P15" s="6">
        <f t="shared" si="0"/>
        <v>-1.6112994232899631</v>
      </c>
      <c r="Q15" s="6">
        <f t="shared" si="1"/>
        <v>-5.5925531603091976</v>
      </c>
      <c r="R15" s="13">
        <f t="shared" si="3"/>
        <v>3.7255039030641966E-3</v>
      </c>
      <c r="S15" s="6">
        <f>$Q$20*R15^$Q$19</f>
        <v>0.1983186010107425</v>
      </c>
      <c r="T15" s="6"/>
      <c r="U15" s="6">
        <f t="shared" si="4"/>
        <v>5.0093162227139398</v>
      </c>
      <c r="V15" s="6">
        <f t="shared" si="5"/>
        <v>268.42006504878663</v>
      </c>
      <c r="W15" s="6">
        <f>$V$19*V15+$V$18</f>
        <v>5.0801194578981672</v>
      </c>
      <c r="X15" s="13">
        <f t="shared" si="6"/>
        <v>3.7255039030641961E-3</v>
      </c>
      <c r="Y15" s="14">
        <f t="shared" si="7"/>
        <v>0.19684576480682542</v>
      </c>
      <c r="Z15" s="14">
        <f t="shared" si="8"/>
        <v>7.7410782665305493E-6</v>
      </c>
    </row>
    <row r="16" spans="2:32" x14ac:dyDescent="0.25">
      <c r="B16" t="s">
        <v>21</v>
      </c>
      <c r="C16">
        <f>SLOPE(C6:C11,B6:B11)</f>
        <v>0.10217857142857142</v>
      </c>
    </row>
    <row r="17" spans="2:26" x14ac:dyDescent="0.25">
      <c r="F17" s="3"/>
      <c r="I17" s="2"/>
      <c r="K17" s="1"/>
      <c r="L17" t="s">
        <v>43</v>
      </c>
      <c r="P17" s="24" t="s">
        <v>30</v>
      </c>
      <c r="Q17" s="24"/>
      <c r="U17" s="8" t="s">
        <v>37</v>
      </c>
      <c r="V17" s="8"/>
      <c r="Z17" t="s">
        <v>44</v>
      </c>
    </row>
    <row r="18" spans="2:26" x14ac:dyDescent="0.25">
      <c r="I18" s="2"/>
      <c r="K18" s="1"/>
      <c r="L18">
        <f>10*20/1000</f>
        <v>0.2</v>
      </c>
      <c r="P18" t="s">
        <v>27</v>
      </c>
      <c r="Q18">
        <f>INTERCEPT(P13:P15,Q13:Q15)</f>
        <v>-0.52228191142588942</v>
      </c>
      <c r="U18" t="s">
        <v>35</v>
      </c>
      <c r="V18">
        <v>3.6029598521659678</v>
      </c>
      <c r="Z18" s="3">
        <f>SUM(Z13:Z15)</f>
        <v>7.0959137413308023E-5</v>
      </c>
    </row>
    <row r="19" spans="2:26" x14ac:dyDescent="0.25">
      <c r="E19" s="1"/>
      <c r="F19" s="1"/>
      <c r="K19" s="1"/>
      <c r="L19" s="3"/>
      <c r="P19" t="s">
        <v>26</v>
      </c>
      <c r="Q19">
        <f>SLOPE(P13:P15,Q13:Q15)</f>
        <v>0.19590310590721352</v>
      </c>
      <c r="U19" t="s">
        <v>36</v>
      </c>
      <c r="V19">
        <v>5.5031638766040794E-3</v>
      </c>
    </row>
    <row r="20" spans="2:26" x14ac:dyDescent="0.25">
      <c r="E20" s="1"/>
      <c r="F20" s="1"/>
      <c r="K20" s="1"/>
      <c r="L20" s="3"/>
      <c r="N20" s="1"/>
      <c r="P20" t="s">
        <v>28</v>
      </c>
      <c r="Q20">
        <f>EXP(Q18)</f>
        <v>0.59316545143200439</v>
      </c>
    </row>
    <row r="21" spans="2:26" x14ac:dyDescent="0.25">
      <c r="E21" s="1"/>
      <c r="K21" s="1"/>
      <c r="L21" s="3"/>
      <c r="O21" s="1"/>
    </row>
    <row r="22" spans="2:26" x14ac:dyDescent="0.25">
      <c r="B22" s="22" t="s">
        <v>41</v>
      </c>
      <c r="E22" s="1"/>
      <c r="F22" s="1"/>
      <c r="K22" s="1"/>
      <c r="L22" s="3"/>
      <c r="P22" t="s">
        <v>39</v>
      </c>
      <c r="Q22">
        <f>RSQ(R13:R15,S13:S15)</f>
        <v>0.98416294354323552</v>
      </c>
      <c r="U22" t="s">
        <v>39</v>
      </c>
      <c r="V22">
        <f>RSQ(Y13:Y15,X13:X15)</f>
        <v>0.93857059664294273</v>
      </c>
    </row>
    <row r="23" spans="2:26" x14ac:dyDescent="0.25">
      <c r="B23" s="23" t="s">
        <v>42</v>
      </c>
      <c r="E23" s="1"/>
      <c r="F23" s="1"/>
      <c r="K23" s="1"/>
      <c r="L23" s="3"/>
    </row>
    <row r="24" spans="2:26" x14ac:dyDescent="0.25">
      <c r="E24" s="1"/>
      <c r="F24" s="1"/>
      <c r="K24" s="1"/>
      <c r="L24" s="3"/>
    </row>
    <row r="25" spans="2:26" x14ac:dyDescent="0.25">
      <c r="E25" s="1"/>
      <c r="F25" s="1"/>
      <c r="K25" s="1"/>
      <c r="L25" s="3"/>
    </row>
    <row r="26" spans="2:26" x14ac:dyDescent="0.25">
      <c r="E26" s="1"/>
      <c r="K26" s="1"/>
      <c r="L26" s="3"/>
    </row>
    <row r="27" spans="2:26" x14ac:dyDescent="0.25">
      <c r="E27" s="1"/>
    </row>
    <row r="28" spans="2:26" x14ac:dyDescent="0.25">
      <c r="D28" s="1"/>
    </row>
  </sheetData>
  <sortState xmlns:xlrd2="http://schemas.microsoft.com/office/spreadsheetml/2017/richdata2" ref="K17:K26">
    <sortCondition ref="K17"/>
  </sortState>
  <mergeCells count="6">
    <mergeCell ref="B3:C3"/>
    <mergeCell ref="AC5:AF5"/>
    <mergeCell ref="P17:Q17"/>
    <mergeCell ref="U17:V17"/>
    <mergeCell ref="P3:S3"/>
    <mergeCell ref="U3:Y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4</vt:i4>
      </vt:variant>
    </vt:vector>
  </HeadingPairs>
  <TitlesOfParts>
    <vt:vector size="5" baseType="lpstr">
      <vt:lpstr>Messdaten</vt:lpstr>
      <vt:lpstr>Kalibrierung</vt:lpstr>
      <vt:lpstr>b vs c</vt:lpstr>
      <vt:lpstr>ln b vs ln c</vt:lpstr>
      <vt:lpstr>1_b vs 1_c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2020-08-03T19:46:15Z</dcterms:created>
  <dcterms:modified xsi:type="dcterms:W3CDTF">2020-08-05T09:37:26Z</dcterms:modified>
</cp:coreProperties>
</file>