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PC2_Protokolle\02_Versuch SURF\data\"/>
    </mc:Choice>
  </mc:AlternateContent>
  <xr:revisionPtr revIDLastSave="0" documentId="13_ncr:1_{5F5D55DC-80D1-4943-B0DA-A28489E3CEDC}" xr6:coauthVersionLast="44" xr6:coauthVersionMax="45" xr10:uidLastSave="{00000000-0000-0000-0000-000000000000}"/>
  <bookViews>
    <workbookView xWindow="-120" yWindow="-120" windowWidth="20730" windowHeight="11160" activeTab="1" xr2:uid="{09E9FFC4-CFD6-4C29-84B8-7DE51913CD17}"/>
  </bookViews>
  <sheets>
    <sheet name="Temperaturabhängigkeit" sheetId="2" r:id="rId1"/>
    <sheet name="Daten SURF" sheetId="1" r:id="rId2"/>
    <sheet name="Tabelle3" sheetId="5" r:id="rId3"/>
    <sheet name="Tabelle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7" i="1" l="1"/>
  <c r="P36" i="1"/>
  <c r="J41" i="1"/>
  <c r="F24" i="4"/>
  <c r="F23" i="4"/>
  <c r="E24" i="4"/>
  <c r="E23" i="4"/>
  <c r="F22" i="4"/>
  <c r="E22" i="4"/>
  <c r="E14" i="4"/>
  <c r="F14" i="4"/>
  <c r="G14" i="4"/>
  <c r="H14" i="4"/>
  <c r="I14" i="4"/>
  <c r="D14" i="4"/>
  <c r="C22" i="1"/>
  <c r="I41" i="1"/>
  <c r="M44" i="1"/>
  <c r="J28" i="1"/>
  <c r="J29" i="1"/>
  <c r="J30" i="1"/>
  <c r="J31" i="1"/>
  <c r="J32" i="1"/>
  <c r="J33" i="1"/>
  <c r="J34" i="1"/>
  <c r="J35" i="1"/>
  <c r="J36" i="1"/>
  <c r="J27" i="1"/>
  <c r="H28" i="1"/>
  <c r="H29" i="1"/>
  <c r="H30" i="1"/>
  <c r="H31" i="1"/>
  <c r="H32" i="1"/>
  <c r="H33" i="1"/>
  <c r="H34" i="1"/>
  <c r="H35" i="1"/>
  <c r="H36" i="1"/>
  <c r="H27" i="1"/>
  <c r="I36" i="1"/>
  <c r="I28" i="1"/>
  <c r="I29" i="1"/>
  <c r="I30" i="1"/>
  <c r="I31" i="1"/>
  <c r="I32" i="1"/>
  <c r="I33" i="1"/>
  <c r="I34" i="1"/>
  <c r="I35" i="1"/>
  <c r="I27" i="1"/>
  <c r="C29" i="1"/>
  <c r="E10" i="1"/>
  <c r="C23" i="1" l="1"/>
  <c r="M48" i="1"/>
  <c r="M30" i="1"/>
  <c r="M31" i="1"/>
  <c r="M32" i="1"/>
  <c r="M33" i="1"/>
  <c r="M34" i="1"/>
  <c r="M35" i="1"/>
  <c r="M36" i="1"/>
  <c r="M37" i="1"/>
  <c r="M38" i="1"/>
  <c r="M39" i="1"/>
  <c r="M40" i="1"/>
  <c r="M41" i="1"/>
  <c r="Q30" i="1" s="1"/>
  <c r="M42" i="1"/>
  <c r="M43" i="1"/>
  <c r="M45" i="1"/>
  <c r="Q32" i="1" s="1"/>
  <c r="R32" i="1" s="1"/>
  <c r="M46" i="1"/>
  <c r="M47" i="1"/>
  <c r="M49" i="1"/>
  <c r="Q33" i="1" s="1"/>
  <c r="R33" i="1" s="1"/>
  <c r="M50" i="1"/>
  <c r="M29" i="1"/>
  <c r="P33" i="1"/>
  <c r="O33" i="1"/>
  <c r="P32" i="1"/>
  <c r="O32" i="1"/>
  <c r="Q31" i="1"/>
  <c r="R31" i="1" s="1"/>
  <c r="P31" i="1"/>
  <c r="O31" i="1"/>
  <c r="O30" i="1"/>
  <c r="H37" i="1"/>
  <c r="H40" i="1" s="1"/>
  <c r="H38" i="1"/>
  <c r="H41" i="1" s="1"/>
  <c r="J38" i="1"/>
  <c r="I38" i="1"/>
  <c r="J37" i="1"/>
  <c r="I37" i="1"/>
  <c r="G28" i="1"/>
  <c r="G29" i="1" s="1"/>
  <c r="G30" i="1" s="1"/>
  <c r="G31" i="1" s="1"/>
  <c r="G32" i="1" s="1"/>
  <c r="G33" i="1" s="1"/>
  <c r="G34" i="1" s="1"/>
  <c r="G35" i="1" s="1"/>
  <c r="G36" i="1" s="1"/>
  <c r="H9" i="1"/>
  <c r="T33" i="1" l="1"/>
  <c r="T31" i="1"/>
  <c r="T32" i="1"/>
  <c r="P30" i="1"/>
  <c r="S32" i="1"/>
  <c r="Q29" i="1"/>
  <c r="P29" i="1"/>
  <c r="T29" i="1" s="1"/>
  <c r="S31" i="1"/>
  <c r="S33" i="1"/>
  <c r="I40" i="1"/>
  <c r="J39" i="1"/>
  <c r="H39" i="1"/>
  <c r="I39" i="1"/>
  <c r="J40" i="1"/>
  <c r="T8" i="1"/>
  <c r="T7" i="1"/>
  <c r="T6" i="1"/>
  <c r="T4" i="1"/>
  <c r="T5" i="1"/>
  <c r="S5" i="1"/>
  <c r="S6" i="1"/>
  <c r="S7" i="1"/>
  <c r="S8" i="1"/>
  <c r="S4" i="1"/>
  <c r="R5" i="1"/>
  <c r="R6" i="1"/>
  <c r="R7" i="1"/>
  <c r="R8" i="1"/>
  <c r="R4" i="1"/>
  <c r="I23" i="1"/>
  <c r="J23" i="1"/>
  <c r="Q8" i="1"/>
  <c r="Q7" i="1"/>
  <c r="Q6" i="1"/>
  <c r="Q5" i="1"/>
  <c r="Q4" i="1"/>
  <c r="I22" i="1"/>
  <c r="J22" i="1"/>
  <c r="I21" i="1"/>
  <c r="J21" i="1"/>
  <c r="J20" i="1"/>
  <c r="J19" i="1"/>
  <c r="I20" i="1"/>
  <c r="I19" i="1"/>
  <c r="H19" i="1"/>
  <c r="H20" i="1"/>
  <c r="G10" i="1"/>
  <c r="G11" i="1" s="1"/>
  <c r="G12" i="1" s="1"/>
  <c r="G13" i="1" s="1"/>
  <c r="G14" i="1" s="1"/>
  <c r="G15" i="1" s="1"/>
  <c r="G16" i="1" s="1"/>
  <c r="G17" i="1" s="1"/>
  <c r="G18" i="1" s="1"/>
  <c r="C21" i="1"/>
  <c r="C20" i="1"/>
  <c r="F4" i="1"/>
  <c r="F5" i="1"/>
  <c r="F3" i="1"/>
  <c r="P4" i="1"/>
  <c r="O8" i="1"/>
  <c r="O7" i="1"/>
  <c r="O6" i="1"/>
  <c r="O5" i="1"/>
  <c r="P8" i="1"/>
  <c r="P6" i="1"/>
  <c r="P7" i="1"/>
  <c r="P5" i="1"/>
  <c r="T30" i="1" l="1"/>
  <c r="S30" i="1"/>
  <c r="R30" i="1"/>
  <c r="S29" i="1"/>
  <c r="R29" i="1"/>
  <c r="H23" i="1"/>
  <c r="H22" i="1"/>
  <c r="H21" i="1"/>
</calcChain>
</file>

<file path=xl/sharedStrings.xml><?xml version="1.0" encoding="utf-8"?>
<sst xmlns="http://schemas.openxmlformats.org/spreadsheetml/2006/main" count="85" uniqueCount="35">
  <si>
    <t>T in °C</t>
  </si>
  <si>
    <t>Sigma</t>
  </si>
  <si>
    <t>1. Einwagen</t>
  </si>
  <si>
    <t>Ethanol</t>
  </si>
  <si>
    <t>NaCl</t>
  </si>
  <si>
    <t>NaDDS</t>
  </si>
  <si>
    <t>c in mol/L</t>
  </si>
  <si>
    <t>rho g/cm^3</t>
  </si>
  <si>
    <t>molare Masse g/mol</t>
  </si>
  <si>
    <t>Masse g</t>
  </si>
  <si>
    <t>2. Kkal Bestimmung</t>
  </si>
  <si>
    <t>Mittelwert</t>
  </si>
  <si>
    <t>Standardabweichung</t>
  </si>
  <si>
    <t>Kkal</t>
  </si>
  <si>
    <t>Theoretischer Wert</t>
  </si>
  <si>
    <t>3. Oberflächenspannung verschiedener Lösungsmittel</t>
  </si>
  <si>
    <t>Nr</t>
  </si>
  <si>
    <t>Mitelwert</t>
  </si>
  <si>
    <t>4. Temperaturabhängigkeit</t>
  </si>
  <si>
    <t>Ausreißer+</t>
  </si>
  <si>
    <t>Ausreißer-</t>
  </si>
  <si>
    <t>relativ STAW</t>
  </si>
  <si>
    <t>relat. STABW</t>
  </si>
  <si>
    <t>rel STABW</t>
  </si>
  <si>
    <t>Ausreißer +</t>
  </si>
  <si>
    <t>Ausreißer -</t>
  </si>
  <si>
    <t>K ethanol</t>
  </si>
  <si>
    <t>K Nacl</t>
  </si>
  <si>
    <t>K NaDDS</t>
  </si>
  <si>
    <t xml:space="preserve">NaCl korr </t>
  </si>
  <si>
    <t>K</t>
  </si>
  <si>
    <t>Stoff</t>
  </si>
  <si>
    <t>Dichtefaktor</t>
  </si>
  <si>
    <t>Oberflächenspannung gemessen</t>
  </si>
  <si>
    <t>Sigma korr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</si>
</sst>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2" fillId="0" borderId="1" xfId="0" applyFont="1" applyBorder="1"/>
    <xf numFmtId="164" fontId="0" fillId="0" borderId="0" xfId="0" applyNumberFormat="1" applyBorder="1"/>
    <xf numFmtId="164" fontId="0" fillId="0" borderId="5" xfId="0" applyNumberFormat="1" applyFill="1" applyBorder="1"/>
    <xf numFmtId="164" fontId="0" fillId="0" borderId="5" xfId="0" applyNumberFormat="1" applyBorder="1"/>
    <xf numFmtId="2" fontId="0" fillId="0" borderId="5" xfId="0" applyNumberForma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6" xfId="0" applyFont="1" applyFill="1" applyBorder="1"/>
    <xf numFmtId="2" fontId="0" fillId="0" borderId="0" xfId="0" applyNumberFormat="1" applyBorder="1"/>
    <xf numFmtId="0" fontId="1" fillId="0" borderId="5" xfId="0" applyFont="1" applyFill="1" applyBorder="1"/>
    <xf numFmtId="165" fontId="0" fillId="0" borderId="0" xfId="0" applyNumberFormat="1" applyBorder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Fill="1" applyBorder="1"/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'Daten SURF'!$M$3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'Daten SURF'!$L$4:$L$25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</c:numCache>
            </c:numRef>
          </c:xVal>
          <c:yVal>
            <c:numRef>
              <c:f>'Daten SURF'!$M$4:$M$25</c:f>
              <c:numCache>
                <c:formatCode>General</c:formatCode>
                <c:ptCount val="22"/>
                <c:pt idx="0">
                  <c:v>69.8</c:v>
                </c:pt>
                <c:pt idx="1">
                  <c:v>69.8</c:v>
                </c:pt>
                <c:pt idx="2">
                  <c:v>69.900000000000006</c:v>
                </c:pt>
                <c:pt idx="3">
                  <c:v>69.900000000000006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68.2</c:v>
                </c:pt>
                <c:pt idx="14">
                  <c:v>68.400000000000006</c:v>
                </c:pt>
                <c:pt idx="15">
                  <c:v>68.5</c:v>
                </c:pt>
                <c:pt idx="16">
                  <c:v>67.8</c:v>
                </c:pt>
                <c:pt idx="17">
                  <c:v>67.8</c:v>
                </c:pt>
                <c:pt idx="18">
                  <c:v>68</c:v>
                </c:pt>
                <c:pt idx="19">
                  <c:v>66</c:v>
                </c:pt>
                <c:pt idx="20">
                  <c:v>66.5</c:v>
                </c:pt>
                <c:pt idx="21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E-4F19-9A31-B89911B3E8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'Daten SURF'!$O$4:$O$8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49</c:v>
                </c:pt>
              </c:numCache>
            </c:numRef>
          </c:xVal>
          <c:yVal>
            <c:numRef>
              <c:f>'Daten SURF'!$P$4:$P$8</c:f>
              <c:numCache>
                <c:formatCode>0.00</c:formatCode>
                <c:ptCount val="5"/>
                <c:pt idx="0" formatCode="General">
                  <c:v>69.94</c:v>
                </c:pt>
                <c:pt idx="1">
                  <c:v>69</c:v>
                </c:pt>
                <c:pt idx="2">
                  <c:v>68.366666666666674</c:v>
                </c:pt>
                <c:pt idx="3">
                  <c:v>67.86666666666666</c:v>
                </c:pt>
                <c:pt idx="4">
                  <c:v>66.5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E-4F19-9A31-B89911B3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56031"/>
        <c:axId val="724987903"/>
      </c:scatterChart>
      <c:valAx>
        <c:axId val="834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87903"/>
        <c:crosses val="autoZero"/>
        <c:crossBetween val="midCat"/>
      </c:valAx>
      <c:valAx>
        <c:axId val="7249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E6AD21-8903-4C98-A116-50844A271990}">
  <sheetPr/>
  <sheetViews>
    <sheetView zoomScale="7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C8F992-91BE-4069-A6B7-83897A771C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DF54-4F62-4412-A23F-893180B0009B}">
  <dimension ref="B1:T50"/>
  <sheetViews>
    <sheetView tabSelected="1" topLeftCell="K14" zoomScale="60" zoomScaleNormal="60" workbookViewId="0">
      <selection activeCell="W42" sqref="W42"/>
    </sheetView>
  </sheetViews>
  <sheetFormatPr baseColWidth="10" defaultRowHeight="15" x14ac:dyDescent="0.25"/>
  <cols>
    <col min="2" max="2" width="19.7109375" bestFit="1" customWidth="1"/>
    <col min="5" max="5" width="21.5703125" bestFit="1" customWidth="1"/>
    <col min="6" max="6" width="9.85546875" bestFit="1" customWidth="1"/>
    <col min="7" max="7" width="20.7109375" customWidth="1"/>
    <col min="10" max="10" width="30" customWidth="1"/>
    <col min="17" max="17" width="19.7109375" bestFit="1" customWidth="1"/>
    <col min="19" max="19" width="15.85546875" bestFit="1" customWidth="1"/>
  </cols>
  <sheetData>
    <row r="1" spans="2:20" ht="15.75" thickBot="1" x14ac:dyDescent="0.3"/>
    <row r="2" spans="2:20" ht="15.75" x14ac:dyDescent="0.25">
      <c r="B2" s="10" t="s">
        <v>2</v>
      </c>
      <c r="C2" s="1" t="s">
        <v>6</v>
      </c>
      <c r="D2" s="1" t="s">
        <v>7</v>
      </c>
      <c r="E2" s="1" t="s">
        <v>8</v>
      </c>
      <c r="F2" s="2" t="s">
        <v>9</v>
      </c>
      <c r="L2" s="10" t="s">
        <v>18</v>
      </c>
      <c r="M2" s="1"/>
      <c r="N2" s="1"/>
      <c r="O2" s="1"/>
      <c r="P2" s="1"/>
      <c r="Q2" s="1"/>
      <c r="R2" s="1"/>
      <c r="S2" s="1"/>
      <c r="T2" s="2"/>
    </row>
    <row r="3" spans="2:20" x14ac:dyDescent="0.25">
      <c r="B3" s="3" t="s">
        <v>3</v>
      </c>
      <c r="C3" s="4">
        <v>0.1</v>
      </c>
      <c r="D3" s="4">
        <v>0.79949999999999999</v>
      </c>
      <c r="E3" s="4">
        <v>46.07</v>
      </c>
      <c r="F3" s="5">
        <f>C3*0.1*E3</f>
        <v>0.46070000000000011</v>
      </c>
      <c r="L3" s="3" t="s">
        <v>0</v>
      </c>
      <c r="M3" s="4" t="s">
        <v>1</v>
      </c>
      <c r="N3" s="4"/>
      <c r="O3" s="17" t="s">
        <v>0</v>
      </c>
      <c r="P3" s="17" t="s">
        <v>1</v>
      </c>
      <c r="Q3" s="18" t="s">
        <v>12</v>
      </c>
      <c r="R3" s="18" t="s">
        <v>23</v>
      </c>
      <c r="S3" s="18" t="s">
        <v>24</v>
      </c>
      <c r="T3" s="21" t="s">
        <v>25</v>
      </c>
    </row>
    <row r="4" spans="2:20" x14ac:dyDescent="0.25">
      <c r="B4" s="3" t="s">
        <v>4</v>
      </c>
      <c r="C4" s="4">
        <v>0.1</v>
      </c>
      <c r="D4" s="4">
        <v>1.0024999999999999</v>
      </c>
      <c r="E4" s="4">
        <v>58.44</v>
      </c>
      <c r="F4" s="5">
        <f t="shared" ref="F4:F5" si="0">C4*0.1*E4</f>
        <v>0.58440000000000014</v>
      </c>
      <c r="L4" s="3">
        <v>20</v>
      </c>
      <c r="M4" s="4">
        <v>69.8</v>
      </c>
      <c r="N4" s="4"/>
      <c r="O4" s="4">
        <v>20</v>
      </c>
      <c r="P4" s="4">
        <f>AVERAGE(M4:M13)</f>
        <v>69.94</v>
      </c>
      <c r="Q4" s="4">
        <f>_xlfn.STDEV.S(M4:M13)</f>
        <v>8.4327404271157216E-2</v>
      </c>
      <c r="R4" s="4">
        <f>Q4/P4*100</f>
        <v>0.12057106701623853</v>
      </c>
      <c r="S4" s="20">
        <f>P4+Q4*3</f>
        <v>70.192982212813476</v>
      </c>
      <c r="T4" s="14">
        <f>P4-Q4*3</f>
        <v>69.68701778718652</v>
      </c>
    </row>
    <row r="5" spans="2:20" ht="15.75" thickBot="1" x14ac:dyDescent="0.3">
      <c r="B5" s="6" t="s">
        <v>5</v>
      </c>
      <c r="C5" s="7">
        <v>1E-3</v>
      </c>
      <c r="D5" s="7">
        <v>1.0002</v>
      </c>
      <c r="E5" s="7">
        <v>288.38</v>
      </c>
      <c r="F5" s="8">
        <f t="shared" si="0"/>
        <v>2.8838000000000003E-2</v>
      </c>
      <c r="L5" s="3">
        <v>20</v>
      </c>
      <c r="M5" s="4">
        <v>69.8</v>
      </c>
      <c r="N5" s="4"/>
      <c r="O5" s="4">
        <f>L14</f>
        <v>30</v>
      </c>
      <c r="P5" s="20">
        <f>AVERAGE(M14:M16)</f>
        <v>69</v>
      </c>
      <c r="Q5" s="4">
        <f>_xlfn.STDEV.S(M14:M16)</f>
        <v>0</v>
      </c>
      <c r="R5" s="4">
        <f t="shared" ref="R5:R8" si="1">Q5/P5*100</f>
        <v>0</v>
      </c>
      <c r="S5" s="20">
        <f t="shared" ref="S5:S8" si="2">P5+Q5*3</f>
        <v>69</v>
      </c>
      <c r="T5" s="14">
        <f t="shared" ref="T5" si="3">P5-Q5*3</f>
        <v>69</v>
      </c>
    </row>
    <row r="6" spans="2:20" ht="15.75" thickBot="1" x14ac:dyDescent="0.3">
      <c r="L6" s="3">
        <v>20</v>
      </c>
      <c r="M6" s="4">
        <v>69.900000000000006</v>
      </c>
      <c r="N6" s="4"/>
      <c r="O6" s="4">
        <f>L17</f>
        <v>35</v>
      </c>
      <c r="P6" s="20">
        <f>AVERAGE(M17:M19)</f>
        <v>68.366666666666674</v>
      </c>
      <c r="Q6" s="4">
        <f>_xlfn.STDEV.S(M17:M19)</f>
        <v>0.15275252316519375</v>
      </c>
      <c r="R6" s="4">
        <f t="shared" si="1"/>
        <v>0.22343128693104886</v>
      </c>
      <c r="S6" s="20">
        <f t="shared" si="2"/>
        <v>68.824924236162261</v>
      </c>
      <c r="T6" s="14">
        <f>P6-Q6*3</f>
        <v>67.908409097171088</v>
      </c>
    </row>
    <row r="7" spans="2:20" ht="15.75" x14ac:dyDescent="0.25">
      <c r="B7" s="10" t="s">
        <v>10</v>
      </c>
      <c r="C7" s="1"/>
      <c r="D7" s="1"/>
      <c r="E7" s="2"/>
      <c r="G7" s="10" t="s">
        <v>15</v>
      </c>
      <c r="H7" s="1"/>
      <c r="I7" s="1"/>
      <c r="J7" s="2"/>
      <c r="L7" s="3">
        <v>20</v>
      </c>
      <c r="M7" s="4">
        <v>69.900000000000006</v>
      </c>
      <c r="N7" s="4"/>
      <c r="O7" s="4">
        <f>L20</f>
        <v>40</v>
      </c>
      <c r="P7" s="20">
        <f>AVERAGE(M20:M22)</f>
        <v>67.86666666666666</v>
      </c>
      <c r="Q7" s="4">
        <f>_xlfn.STDEV.S(M20:M22)</f>
        <v>0.1154700538379268</v>
      </c>
      <c r="R7" s="4">
        <f t="shared" si="1"/>
        <v>0.17014251547828116</v>
      </c>
      <c r="S7" s="20">
        <f t="shared" si="2"/>
        <v>68.213076828180434</v>
      </c>
      <c r="T7" s="14">
        <f>P7-Q7*3</f>
        <v>67.520256505152886</v>
      </c>
    </row>
    <row r="8" spans="2:20" x14ac:dyDescent="0.25">
      <c r="B8" s="3"/>
      <c r="C8" s="4"/>
      <c r="D8" s="4"/>
      <c r="E8" s="5"/>
      <c r="G8" s="3" t="s">
        <v>16</v>
      </c>
      <c r="H8" s="4" t="s">
        <v>4</v>
      </c>
      <c r="I8" s="4" t="s">
        <v>3</v>
      </c>
      <c r="J8" s="5" t="s">
        <v>5</v>
      </c>
      <c r="L8" s="3">
        <v>20</v>
      </c>
      <c r="M8" s="4">
        <v>70</v>
      </c>
      <c r="N8" s="4"/>
      <c r="O8" s="4">
        <f>L23</f>
        <v>49</v>
      </c>
      <c r="P8" s="20">
        <f>AVERAGE(M23:M25)</f>
        <v>66.5</v>
      </c>
      <c r="Q8" s="4">
        <f>_xlfn.STDEV.S(M23:M25)</f>
        <v>0.5</v>
      </c>
      <c r="R8" s="4">
        <f t="shared" si="1"/>
        <v>0.75187969924812026</v>
      </c>
      <c r="S8" s="20">
        <f t="shared" si="2"/>
        <v>68</v>
      </c>
      <c r="T8" s="14">
        <f>P8-Q8*3</f>
        <v>65</v>
      </c>
    </row>
    <row r="9" spans="2:20" x14ac:dyDescent="0.25">
      <c r="B9" s="3" t="s">
        <v>0</v>
      </c>
      <c r="C9" s="4" t="s">
        <v>1</v>
      </c>
      <c r="D9" s="4"/>
      <c r="E9" s="9" t="s">
        <v>14</v>
      </c>
      <c r="G9" s="3">
        <v>1</v>
      </c>
      <c r="H9" s="11">
        <f>66.1*$C$23</f>
        <v>68.80297397769516</v>
      </c>
      <c r="I9" s="11">
        <v>65</v>
      </c>
      <c r="J9" s="12">
        <v>39</v>
      </c>
      <c r="L9" s="3">
        <v>20</v>
      </c>
      <c r="M9" s="4">
        <v>70</v>
      </c>
      <c r="N9" s="4"/>
      <c r="O9" s="4"/>
      <c r="P9" s="4"/>
      <c r="Q9" s="4"/>
      <c r="R9" s="4"/>
      <c r="S9" s="4"/>
      <c r="T9" s="5"/>
    </row>
    <row r="10" spans="2:20" x14ac:dyDescent="0.25">
      <c r="B10" s="3">
        <v>20</v>
      </c>
      <c r="C10" s="4">
        <v>69.8</v>
      </c>
      <c r="D10" s="4"/>
      <c r="E10" s="5">
        <f>72.8</f>
        <v>72.8</v>
      </c>
      <c r="G10" s="3">
        <f>G9+1</f>
        <v>2</v>
      </c>
      <c r="H10" s="11">
        <v>68</v>
      </c>
      <c r="I10" s="11">
        <v>64.5</v>
      </c>
      <c r="J10" s="13">
        <v>40</v>
      </c>
      <c r="L10" s="3">
        <v>20</v>
      </c>
      <c r="M10" s="4">
        <v>70</v>
      </c>
      <c r="N10" s="4"/>
      <c r="O10" s="4"/>
      <c r="P10" s="4"/>
      <c r="Q10" s="4"/>
      <c r="R10" s="4"/>
      <c r="S10" s="4"/>
      <c r="T10" s="5"/>
    </row>
    <row r="11" spans="2:20" x14ac:dyDescent="0.25">
      <c r="B11" s="3">
        <v>20</v>
      </c>
      <c r="C11" s="4">
        <v>69.8</v>
      </c>
      <c r="D11" s="4"/>
      <c r="E11" s="5"/>
      <c r="G11" s="3">
        <f t="shared" ref="G11:G18" si="4">G10+1</f>
        <v>3</v>
      </c>
      <c r="H11" s="11">
        <v>68.5</v>
      </c>
      <c r="I11" s="11">
        <v>64.400000000000006</v>
      </c>
      <c r="J11" s="13">
        <v>40.799999999999997</v>
      </c>
      <c r="L11" s="3">
        <v>20</v>
      </c>
      <c r="M11" s="4">
        <v>70</v>
      </c>
      <c r="N11" s="4"/>
      <c r="O11" s="4"/>
      <c r="P11" s="4"/>
      <c r="Q11" s="4"/>
      <c r="R11" s="4"/>
      <c r="S11" s="4"/>
      <c r="T11" s="5"/>
    </row>
    <row r="12" spans="2:20" x14ac:dyDescent="0.25">
      <c r="B12" s="3">
        <v>20</v>
      </c>
      <c r="C12" s="4">
        <v>69.900000000000006</v>
      </c>
      <c r="D12" s="4"/>
      <c r="E12" s="5"/>
      <c r="G12" s="3">
        <f t="shared" si="4"/>
        <v>4</v>
      </c>
      <c r="H12" s="11">
        <v>68.099999999999994</v>
      </c>
      <c r="I12" s="11">
        <v>63.5</v>
      </c>
      <c r="J12" s="13">
        <v>41</v>
      </c>
      <c r="L12" s="3">
        <v>20</v>
      </c>
      <c r="M12" s="4">
        <v>70</v>
      </c>
      <c r="N12" s="4"/>
      <c r="O12" s="4"/>
      <c r="P12" s="4"/>
      <c r="Q12" s="4"/>
      <c r="R12" s="4"/>
      <c r="S12" s="4"/>
      <c r="T12" s="5"/>
    </row>
    <row r="13" spans="2:20" x14ac:dyDescent="0.25">
      <c r="B13" s="3">
        <v>20</v>
      </c>
      <c r="C13" s="4">
        <v>69.900000000000006</v>
      </c>
      <c r="D13" s="4"/>
      <c r="E13" s="5"/>
      <c r="G13" s="3">
        <f t="shared" si="4"/>
        <v>5</v>
      </c>
      <c r="H13" s="11">
        <v>68.5</v>
      </c>
      <c r="I13" s="11">
        <v>64.5</v>
      </c>
      <c r="J13" s="13">
        <v>40.799999999999997</v>
      </c>
      <c r="L13" s="3">
        <v>20</v>
      </c>
      <c r="M13" s="4">
        <v>70</v>
      </c>
      <c r="N13" s="4"/>
      <c r="O13" s="4"/>
      <c r="P13" s="4"/>
      <c r="Q13" s="4"/>
      <c r="R13" s="4"/>
      <c r="S13" s="4"/>
      <c r="T13" s="5"/>
    </row>
    <row r="14" spans="2:20" x14ac:dyDescent="0.25">
      <c r="B14" s="3">
        <v>20</v>
      </c>
      <c r="C14" s="4">
        <v>70</v>
      </c>
      <c r="D14" s="4"/>
      <c r="E14" s="5"/>
      <c r="G14" s="3">
        <f t="shared" si="4"/>
        <v>6</v>
      </c>
      <c r="H14" s="11">
        <v>68</v>
      </c>
      <c r="I14" s="11">
        <v>64.599999999999994</v>
      </c>
      <c r="J14" s="13">
        <v>41</v>
      </c>
      <c r="L14" s="3">
        <v>30</v>
      </c>
      <c r="M14" s="4">
        <v>69</v>
      </c>
      <c r="N14" s="4"/>
      <c r="O14" s="4"/>
      <c r="P14" s="4"/>
      <c r="Q14" s="4"/>
      <c r="R14" s="4"/>
      <c r="S14" s="4"/>
      <c r="T14" s="5"/>
    </row>
    <row r="15" spans="2:20" x14ac:dyDescent="0.25">
      <c r="B15" s="3">
        <v>20</v>
      </c>
      <c r="C15" s="4">
        <v>70</v>
      </c>
      <c r="D15" s="4"/>
      <c r="E15" s="5"/>
      <c r="G15" s="3">
        <f t="shared" si="4"/>
        <v>7</v>
      </c>
      <c r="H15" s="11">
        <v>68</v>
      </c>
      <c r="I15" s="11">
        <v>63.5</v>
      </c>
      <c r="J15" s="13">
        <v>40.799999999999997</v>
      </c>
      <c r="L15" s="3">
        <v>30</v>
      </c>
      <c r="M15" s="4">
        <v>69</v>
      </c>
      <c r="N15" s="4"/>
      <c r="O15" s="4"/>
      <c r="P15" s="4"/>
      <c r="Q15" s="4"/>
      <c r="R15" s="4"/>
      <c r="S15" s="4"/>
      <c r="T15" s="5"/>
    </row>
    <row r="16" spans="2:20" x14ac:dyDescent="0.25">
      <c r="B16" s="3">
        <v>20</v>
      </c>
      <c r="C16" s="4">
        <v>70</v>
      </c>
      <c r="D16" s="4"/>
      <c r="E16" s="5"/>
      <c r="G16" s="3">
        <f t="shared" si="4"/>
        <v>8</v>
      </c>
      <c r="H16" s="11">
        <v>68.5</v>
      </c>
      <c r="I16" s="11">
        <v>64.599999999999994</v>
      </c>
      <c r="J16" s="13">
        <v>39</v>
      </c>
      <c r="L16" s="3">
        <v>30</v>
      </c>
      <c r="M16" s="4">
        <v>69</v>
      </c>
      <c r="N16" s="4"/>
      <c r="O16" s="4"/>
      <c r="P16" s="4"/>
      <c r="Q16" s="4"/>
      <c r="R16" s="4"/>
      <c r="S16" s="4"/>
      <c r="T16" s="5"/>
    </row>
    <row r="17" spans="2:20" x14ac:dyDescent="0.25">
      <c r="B17" s="3">
        <v>20</v>
      </c>
      <c r="C17" s="4">
        <v>70</v>
      </c>
      <c r="D17" s="4"/>
      <c r="E17" s="5"/>
      <c r="G17" s="3">
        <f t="shared" si="4"/>
        <v>9</v>
      </c>
      <c r="H17" s="11">
        <v>67.900000000000006</v>
      </c>
      <c r="I17" s="11">
        <v>64.8</v>
      </c>
      <c r="J17" s="13">
        <v>39</v>
      </c>
      <c r="L17" s="3">
        <v>35</v>
      </c>
      <c r="M17" s="4">
        <v>68.2</v>
      </c>
      <c r="N17" s="4"/>
      <c r="O17" s="4"/>
      <c r="P17" s="4"/>
      <c r="Q17" s="4"/>
      <c r="R17" s="4"/>
      <c r="S17" s="4"/>
      <c r="T17" s="5"/>
    </row>
    <row r="18" spans="2:20" x14ac:dyDescent="0.25">
      <c r="B18" s="3">
        <v>20</v>
      </c>
      <c r="C18" s="4">
        <v>70</v>
      </c>
      <c r="D18" s="4"/>
      <c r="E18" s="5"/>
      <c r="G18" s="3">
        <f t="shared" si="4"/>
        <v>10</v>
      </c>
      <c r="H18" s="11">
        <v>68.2</v>
      </c>
      <c r="I18" s="11">
        <v>64.8</v>
      </c>
      <c r="J18" s="13">
        <v>40</v>
      </c>
      <c r="L18" s="3">
        <v>35</v>
      </c>
      <c r="M18" s="4">
        <v>68.400000000000006</v>
      </c>
      <c r="N18" s="4"/>
      <c r="O18" s="4"/>
      <c r="P18" s="4"/>
      <c r="Q18" s="4"/>
      <c r="R18" s="4"/>
      <c r="S18" s="4"/>
      <c r="T18" s="5"/>
    </row>
    <row r="19" spans="2:20" x14ac:dyDescent="0.25">
      <c r="B19" s="3">
        <v>20</v>
      </c>
      <c r="C19" s="4">
        <v>70</v>
      </c>
      <c r="D19" s="4"/>
      <c r="E19" s="5"/>
      <c r="G19" s="15" t="s">
        <v>17</v>
      </c>
      <c r="H19" s="11">
        <f>AVERAGE(H9:H18)</f>
        <v>68.250297397769515</v>
      </c>
      <c r="I19" s="11">
        <f>AVERAGE(I9:I18)</f>
        <v>64.419999999999987</v>
      </c>
      <c r="J19" s="13">
        <f>AVERAGE(J9:J18)</f>
        <v>40.14</v>
      </c>
      <c r="L19" s="3">
        <v>35</v>
      </c>
      <c r="M19" s="4">
        <v>68.5</v>
      </c>
      <c r="N19" s="4"/>
      <c r="O19" s="4"/>
      <c r="P19" s="4"/>
      <c r="Q19" s="4"/>
      <c r="R19" s="4"/>
      <c r="S19" s="4"/>
      <c r="T19" s="5"/>
    </row>
    <row r="20" spans="2:20" x14ac:dyDescent="0.25">
      <c r="B20" s="15" t="s">
        <v>11</v>
      </c>
      <c r="C20" s="4">
        <f>AVERAGE(C10:C19)</f>
        <v>69.94</v>
      </c>
      <c r="D20" s="4"/>
      <c r="E20" s="5"/>
      <c r="G20" s="15" t="s">
        <v>12</v>
      </c>
      <c r="H20" s="4">
        <f>_xlfn.STDEV.S(H9:H18)</f>
        <v>0.30336617689475753</v>
      </c>
      <c r="I20" s="4">
        <f>_xlfn.STDEV.S(I9:I18)</f>
        <v>0.51596726855704833</v>
      </c>
      <c r="J20" s="5">
        <f>_xlfn.STDEV.S(J9:J18)</f>
        <v>0.8643558937793564</v>
      </c>
      <c r="L20" s="3">
        <v>40</v>
      </c>
      <c r="M20" s="4">
        <v>67.8</v>
      </c>
      <c r="N20" s="4"/>
      <c r="O20" s="4"/>
      <c r="P20" s="4"/>
      <c r="Q20" s="4"/>
      <c r="R20" s="4"/>
      <c r="S20" s="4"/>
      <c r="T20" s="5"/>
    </row>
    <row r="21" spans="2:20" x14ac:dyDescent="0.25">
      <c r="B21" s="15" t="s">
        <v>12</v>
      </c>
      <c r="C21" s="4">
        <f>_xlfn.STDEV.S(C10:C19)</f>
        <v>8.4327404271157216E-2</v>
      </c>
      <c r="D21" s="4"/>
      <c r="E21" s="5"/>
      <c r="G21" s="15" t="s">
        <v>19</v>
      </c>
      <c r="H21" s="11">
        <f>H19+3*H20</f>
        <v>69.160395928453781</v>
      </c>
      <c r="I21" s="11">
        <f t="shared" ref="I21:J21" si="5">I19+3*I20</f>
        <v>65.967901805671133</v>
      </c>
      <c r="J21" s="13">
        <f t="shared" si="5"/>
        <v>42.733067681338071</v>
      </c>
      <c r="L21" s="3">
        <v>40</v>
      </c>
      <c r="M21" s="4">
        <v>67.8</v>
      </c>
      <c r="N21" s="4"/>
      <c r="O21" s="4"/>
      <c r="P21" s="4"/>
      <c r="Q21" s="4"/>
      <c r="R21" s="4"/>
      <c r="S21" s="4"/>
      <c r="T21" s="5"/>
    </row>
    <row r="22" spans="2:20" x14ac:dyDescent="0.25">
      <c r="B22" s="15" t="s">
        <v>21</v>
      </c>
      <c r="C22" s="4">
        <f>C21/C20*100</f>
        <v>0.12057106701623853</v>
      </c>
      <c r="D22" s="4"/>
      <c r="E22" s="5"/>
      <c r="G22" s="15" t="s">
        <v>20</v>
      </c>
      <c r="H22" s="11">
        <f>H19-3*H20</f>
        <v>67.340198867085249</v>
      </c>
      <c r="I22" s="11">
        <f t="shared" ref="I22:J22" si="6">I19-3*I20</f>
        <v>62.872098194328842</v>
      </c>
      <c r="J22" s="13">
        <f t="shared" si="6"/>
        <v>37.546932318661931</v>
      </c>
      <c r="L22" s="3">
        <v>40</v>
      </c>
      <c r="M22" s="4">
        <v>68</v>
      </c>
      <c r="N22" s="4"/>
      <c r="O22" s="4"/>
      <c r="P22" s="4"/>
      <c r="Q22" s="4"/>
      <c r="R22" s="4"/>
      <c r="S22" s="4"/>
      <c r="T22" s="5"/>
    </row>
    <row r="23" spans="2:20" ht="15.75" thickBot="1" x14ac:dyDescent="0.3">
      <c r="B23" s="16" t="s">
        <v>13</v>
      </c>
      <c r="C23" s="7">
        <f>E10/C20</f>
        <v>1.0408921933085502</v>
      </c>
      <c r="D23" s="7"/>
      <c r="E23" s="8"/>
      <c r="G23" s="19" t="s">
        <v>22</v>
      </c>
      <c r="H23" s="7">
        <f>H20/H19*100</f>
        <v>0.44449063002130135</v>
      </c>
      <c r="I23" s="7">
        <f t="shared" ref="I23:J23" si="7">I20/I19*100</f>
        <v>0.8009426708429811</v>
      </c>
      <c r="J23" s="8">
        <f t="shared" si="7"/>
        <v>2.1533529989520588</v>
      </c>
      <c r="L23" s="3">
        <v>49</v>
      </c>
      <c r="M23" s="4">
        <v>66</v>
      </c>
      <c r="N23" s="4"/>
      <c r="O23" s="4"/>
      <c r="P23" s="4"/>
      <c r="Q23" s="4"/>
      <c r="R23" s="4"/>
      <c r="S23" s="4"/>
      <c r="T23" s="5"/>
    </row>
    <row r="24" spans="2:20" ht="15.75" thickBot="1" x14ac:dyDescent="0.3">
      <c r="L24" s="3">
        <v>49</v>
      </c>
      <c r="M24" s="4">
        <v>66.5</v>
      </c>
      <c r="N24" s="4"/>
      <c r="O24" s="4"/>
      <c r="P24" s="4"/>
      <c r="Q24" s="4"/>
      <c r="R24" s="4"/>
      <c r="S24" s="4"/>
      <c r="T24" s="5"/>
    </row>
    <row r="25" spans="2:20" ht="16.5" thickBot="1" x14ac:dyDescent="0.3">
      <c r="G25" s="10" t="s">
        <v>15</v>
      </c>
      <c r="H25" s="1"/>
      <c r="I25" s="1"/>
      <c r="J25" s="2"/>
      <c r="L25" s="6">
        <v>49</v>
      </c>
      <c r="M25" s="7">
        <v>67</v>
      </c>
      <c r="N25" s="7"/>
      <c r="O25" s="7"/>
      <c r="P25" s="7"/>
      <c r="Q25" s="7"/>
      <c r="R25" s="7"/>
      <c r="S25" s="7"/>
      <c r="T25" s="8"/>
    </row>
    <row r="26" spans="2:20" ht="15.75" thickBot="1" x14ac:dyDescent="0.3">
      <c r="G26" s="3" t="s">
        <v>16</v>
      </c>
      <c r="H26" s="4" t="s">
        <v>4</v>
      </c>
      <c r="I26" s="4" t="s">
        <v>3</v>
      </c>
      <c r="J26" s="5" t="s">
        <v>5</v>
      </c>
      <c r="L26" s="4"/>
      <c r="M26" s="4"/>
      <c r="N26" s="4"/>
      <c r="O26" s="4"/>
      <c r="P26" s="4"/>
      <c r="Q26" s="4"/>
      <c r="R26" s="4"/>
    </row>
    <row r="27" spans="2:20" ht="15.75" x14ac:dyDescent="0.25">
      <c r="B27" t="s">
        <v>27</v>
      </c>
      <c r="C27">
        <v>0.99450000000000005</v>
      </c>
      <c r="G27" s="3">
        <v>1</v>
      </c>
      <c r="H27" s="11">
        <f>H9*$C$23*$C$27</f>
        <v>71.222587858100354</v>
      </c>
      <c r="I27" s="11">
        <f>I9*$C$23*$C$28</f>
        <v>68.063940520446096</v>
      </c>
      <c r="J27" s="11">
        <f>J9*$C$23*$C$29</f>
        <v>38.727434944237913</v>
      </c>
      <c r="L27" s="10" t="s">
        <v>18</v>
      </c>
      <c r="M27" s="1"/>
      <c r="N27" s="1"/>
      <c r="O27" s="1"/>
      <c r="P27" s="1"/>
      <c r="Q27" s="1"/>
      <c r="R27" s="1"/>
      <c r="S27" s="1"/>
      <c r="T27" s="2"/>
    </row>
    <row r="28" spans="2:20" x14ac:dyDescent="0.25">
      <c r="B28" t="s">
        <v>26</v>
      </c>
      <c r="C28">
        <v>1.006</v>
      </c>
      <c r="G28" s="3">
        <f>G27+1</f>
        <v>2</v>
      </c>
      <c r="H28" s="11">
        <f t="shared" ref="H28:H36" si="8">H10*$C$23*$C$27</f>
        <v>70.391375464684018</v>
      </c>
      <c r="I28" s="11">
        <f t="shared" ref="I28:I36" si="9">I10*$C$23*$C$28</f>
        <v>67.540371747211893</v>
      </c>
      <c r="J28" s="11">
        <f t="shared" ref="J28:J36" si="10">J10*$C$23*$C$29</f>
        <v>39.720446096654271</v>
      </c>
      <c r="L28" s="3" t="s">
        <v>0</v>
      </c>
      <c r="M28" s="4" t="s">
        <v>1</v>
      </c>
      <c r="N28" s="4"/>
      <c r="O28" s="17" t="s">
        <v>0</v>
      </c>
      <c r="P28" s="17" t="s">
        <v>1</v>
      </c>
      <c r="Q28" s="18" t="s">
        <v>12</v>
      </c>
      <c r="R28" s="18" t="s">
        <v>23</v>
      </c>
      <c r="S28" s="18" t="s">
        <v>24</v>
      </c>
      <c r="T28" s="21" t="s">
        <v>25</v>
      </c>
    </row>
    <row r="29" spans="2:20" x14ac:dyDescent="0.25">
      <c r="B29" t="s">
        <v>28</v>
      </c>
      <c r="C29">
        <f>0.954</f>
        <v>0.95399999999999996</v>
      </c>
      <c r="G29" s="3">
        <f t="shared" ref="G29:G36" si="11">G28+1</f>
        <v>3</v>
      </c>
      <c r="H29" s="11">
        <f t="shared" si="8"/>
        <v>70.908959107806695</v>
      </c>
      <c r="I29" s="11">
        <f t="shared" si="9"/>
        <v>67.435657992565055</v>
      </c>
      <c r="J29" s="11">
        <f t="shared" si="10"/>
        <v>40.514855018587355</v>
      </c>
      <c r="L29" s="3">
        <v>20</v>
      </c>
      <c r="M29" s="20">
        <f>M4*$C$23</f>
        <v>72.6542750929368</v>
      </c>
      <c r="N29" s="4"/>
      <c r="O29" s="4">
        <v>20</v>
      </c>
      <c r="P29" s="4">
        <f>AVERAGE(M29:M38)</f>
        <v>72.8</v>
      </c>
      <c r="Q29" s="20">
        <f>_xlfn.STDEV.S(M29:M38)</f>
        <v>8.777573678782484E-2</v>
      </c>
      <c r="R29" s="22">
        <f>Q29/P29*100</f>
        <v>0.12057106701624293</v>
      </c>
      <c r="S29" s="20">
        <f>P29+Q29*3</f>
        <v>73.063327210363468</v>
      </c>
      <c r="T29" s="14">
        <f>P29-Q29*3</f>
        <v>72.536672789636526</v>
      </c>
    </row>
    <row r="30" spans="2:20" x14ac:dyDescent="0.25">
      <c r="G30" s="3">
        <f t="shared" si="11"/>
        <v>4</v>
      </c>
      <c r="H30" s="11">
        <f t="shared" si="8"/>
        <v>70.494892193308544</v>
      </c>
      <c r="I30" s="11">
        <f t="shared" si="9"/>
        <v>66.493234200743501</v>
      </c>
      <c r="J30" s="11">
        <f t="shared" si="10"/>
        <v>40.713457249070629</v>
      </c>
      <c r="L30" s="3">
        <v>20</v>
      </c>
      <c r="M30" s="20">
        <f t="shared" ref="M30:M50" si="12">M5*$C$23</f>
        <v>72.6542750929368</v>
      </c>
      <c r="N30" s="4"/>
      <c r="O30" s="4">
        <f>L39</f>
        <v>30</v>
      </c>
      <c r="P30" s="20">
        <f>AVERAGE(M39:M41)</f>
        <v>71.821561338289968</v>
      </c>
      <c r="Q30" s="20">
        <f>_xlfn.STDEV.S(M39:M41)</f>
        <v>0</v>
      </c>
      <c r="R30" s="22">
        <f t="shared" ref="R30:R33" si="13">Q30/P30*100</f>
        <v>0</v>
      </c>
      <c r="S30" s="20">
        <f t="shared" ref="S30:S33" si="14">P30+Q30*3</f>
        <v>71.821561338289968</v>
      </c>
      <c r="T30" s="14">
        <f t="shared" ref="T30" si="15">P30-Q30*3</f>
        <v>71.821561338289968</v>
      </c>
    </row>
    <row r="31" spans="2:20" x14ac:dyDescent="0.25">
      <c r="G31" s="3">
        <f t="shared" si="11"/>
        <v>5</v>
      </c>
      <c r="H31" s="11">
        <f t="shared" si="8"/>
        <v>70.908959107806695</v>
      </c>
      <c r="I31" s="11">
        <f t="shared" si="9"/>
        <v>67.540371747211893</v>
      </c>
      <c r="J31" s="11">
        <f t="shared" si="10"/>
        <v>40.514855018587355</v>
      </c>
      <c r="L31" s="3">
        <v>20</v>
      </c>
      <c r="M31" s="20">
        <f t="shared" si="12"/>
        <v>72.758364312267659</v>
      </c>
      <c r="N31" s="4"/>
      <c r="O31" s="4">
        <f>L42</f>
        <v>35</v>
      </c>
      <c r="P31" s="20">
        <f>AVERAGE(M42:M44)</f>
        <v>71.162329615861211</v>
      </c>
      <c r="Q31" s="20">
        <f>_xlfn.STDEV.S(M42:M44)</f>
        <v>0.15899890887083501</v>
      </c>
      <c r="R31" s="22">
        <f t="shared" si="13"/>
        <v>0.22343128693105083</v>
      </c>
      <c r="S31" s="20">
        <f t="shared" si="14"/>
        <v>71.639326342473709</v>
      </c>
      <c r="T31" s="14">
        <f>P31-Q31*3</f>
        <v>70.685332889248713</v>
      </c>
    </row>
    <row r="32" spans="2:20" x14ac:dyDescent="0.25">
      <c r="G32" s="3">
        <f t="shared" si="11"/>
        <v>6</v>
      </c>
      <c r="H32" s="11">
        <f t="shared" si="8"/>
        <v>70.391375464684018</v>
      </c>
      <c r="I32" s="11">
        <f t="shared" si="9"/>
        <v>67.64508550185873</v>
      </c>
      <c r="J32" s="11">
        <f t="shared" si="10"/>
        <v>40.713457249070629</v>
      </c>
      <c r="L32" s="3">
        <v>20</v>
      </c>
      <c r="M32" s="20">
        <f t="shared" si="12"/>
        <v>72.758364312267659</v>
      </c>
      <c r="N32" s="4"/>
      <c r="O32" s="4">
        <f>L45</f>
        <v>40</v>
      </c>
      <c r="P32" s="20">
        <f>AVERAGE(M45:M47)</f>
        <v>70.641883519206942</v>
      </c>
      <c r="Q32" s="20">
        <f>_xlfn.STDEV.S(M45:M47)</f>
        <v>0.12019187760081929</v>
      </c>
      <c r="R32" s="22">
        <f t="shared" si="13"/>
        <v>0.17014251547828579</v>
      </c>
      <c r="S32" s="20">
        <f t="shared" si="14"/>
        <v>71.002459152009394</v>
      </c>
      <c r="T32" s="14">
        <f>P32-Q32*3</f>
        <v>70.281307886404491</v>
      </c>
    </row>
    <row r="33" spans="7:20" x14ac:dyDescent="0.25">
      <c r="G33" s="3">
        <f t="shared" si="11"/>
        <v>7</v>
      </c>
      <c r="H33" s="11">
        <f t="shared" si="8"/>
        <v>70.391375464684018</v>
      </c>
      <c r="I33" s="11">
        <f t="shared" si="9"/>
        <v>66.493234200743501</v>
      </c>
      <c r="J33" s="11">
        <f t="shared" si="10"/>
        <v>40.514855018587355</v>
      </c>
      <c r="L33" s="3">
        <v>20</v>
      </c>
      <c r="M33" s="20">
        <f t="shared" si="12"/>
        <v>72.862453531598518</v>
      </c>
      <c r="N33" s="4"/>
      <c r="O33" s="4">
        <f>L48</f>
        <v>49</v>
      </c>
      <c r="P33" s="20">
        <f>AVERAGE(M48:M50)</f>
        <v>69.219330855018583</v>
      </c>
      <c r="Q33" s="20">
        <f>_xlfn.STDEV.S(M48:M50)</f>
        <v>0.52044609665427544</v>
      </c>
      <c r="R33" s="22">
        <f t="shared" si="13"/>
        <v>0.75187969924812081</v>
      </c>
      <c r="S33" s="20">
        <f t="shared" si="14"/>
        <v>70.780669144981402</v>
      </c>
      <c r="T33" s="14">
        <f>P33-Q33*3</f>
        <v>67.657992565055764</v>
      </c>
    </row>
    <row r="34" spans="7:20" x14ac:dyDescent="0.25">
      <c r="G34" s="3">
        <f t="shared" si="11"/>
        <v>8</v>
      </c>
      <c r="H34" s="11">
        <f t="shared" si="8"/>
        <v>70.908959107806695</v>
      </c>
      <c r="I34" s="11">
        <f t="shared" si="9"/>
        <v>67.64508550185873</v>
      </c>
      <c r="J34" s="11">
        <f t="shared" si="10"/>
        <v>38.727434944237913</v>
      </c>
      <c r="L34" s="3">
        <v>20</v>
      </c>
      <c r="M34" s="20">
        <f t="shared" si="12"/>
        <v>72.862453531598518</v>
      </c>
      <c r="N34" s="4"/>
      <c r="O34" s="4"/>
      <c r="P34" s="4"/>
      <c r="Q34" s="4"/>
      <c r="R34" s="4"/>
      <c r="S34" s="4"/>
      <c r="T34" s="5"/>
    </row>
    <row r="35" spans="7:20" x14ac:dyDescent="0.25">
      <c r="G35" s="3">
        <f t="shared" si="11"/>
        <v>9</v>
      </c>
      <c r="H35" s="11">
        <f t="shared" si="8"/>
        <v>70.287858736059491</v>
      </c>
      <c r="I35" s="11">
        <f t="shared" si="9"/>
        <v>67.854513011152406</v>
      </c>
      <c r="J35" s="11">
        <f t="shared" si="10"/>
        <v>38.727434944237913</v>
      </c>
      <c r="L35" s="3">
        <v>20</v>
      </c>
      <c r="M35" s="20">
        <f t="shared" si="12"/>
        <v>72.862453531598518</v>
      </c>
      <c r="N35" s="4"/>
      <c r="O35" s="4"/>
      <c r="P35" s="4"/>
      <c r="Q35" s="4"/>
      <c r="R35" s="4"/>
      <c r="S35" s="4"/>
      <c r="T35" s="5"/>
    </row>
    <row r="36" spans="7:20" x14ac:dyDescent="0.25">
      <c r="G36" s="3">
        <f t="shared" si="11"/>
        <v>10</v>
      </c>
      <c r="H36" s="11">
        <f t="shared" si="8"/>
        <v>70.598408921933085</v>
      </c>
      <c r="I36" s="11">
        <f>I18*$C$23*$C$28</f>
        <v>67.854513011152406</v>
      </c>
      <c r="J36" s="11">
        <f t="shared" si="10"/>
        <v>39.720446096654271</v>
      </c>
      <c r="L36" s="3">
        <v>20</v>
      </c>
      <c r="M36" s="20">
        <f t="shared" si="12"/>
        <v>72.862453531598518</v>
      </c>
      <c r="N36" s="4"/>
      <c r="O36" s="4"/>
      <c r="P36" s="4">
        <f>INTERCEPT(P29:P33,O29:O33)</f>
        <v>75.393923391227361</v>
      </c>
      <c r="Q36" s="4"/>
      <c r="R36" s="4"/>
      <c r="S36" s="4"/>
      <c r="T36" s="5"/>
    </row>
    <row r="37" spans="7:20" x14ac:dyDescent="0.25">
      <c r="G37" s="15" t="s">
        <v>17</v>
      </c>
      <c r="H37" s="11">
        <f>AVERAGE(H27:H36)</f>
        <v>70.65047514268737</v>
      </c>
      <c r="I37" s="11">
        <f>AVERAGE(I27:I36)</f>
        <v>67.45660074349442</v>
      </c>
      <c r="J37" s="13">
        <f>AVERAGE(J27:J36)</f>
        <v>39.859467657992568</v>
      </c>
      <c r="L37" s="3">
        <v>20</v>
      </c>
      <c r="M37" s="20">
        <f t="shared" si="12"/>
        <v>72.862453531598518</v>
      </c>
      <c r="N37" s="4"/>
      <c r="O37" s="4"/>
      <c r="P37" s="4">
        <f>SLOPE(P29:P33,O29:O33)</f>
        <v>-0.1225546645273568</v>
      </c>
      <c r="Q37" s="4"/>
      <c r="R37" s="4"/>
      <c r="S37" s="4"/>
      <c r="T37" s="5"/>
    </row>
    <row r="38" spans="7:20" x14ac:dyDescent="0.25">
      <c r="G38" s="15" t="s">
        <v>12</v>
      </c>
      <c r="H38" s="4">
        <f>_xlfn.STDEV.S(H27:H36)</f>
        <v>0.31403474207477416</v>
      </c>
      <c r="I38" s="4">
        <f>_xlfn.STDEV.S(I27:I36)</f>
        <v>0.5402886996548264</v>
      </c>
      <c r="J38" s="5">
        <f>_xlfn.STDEV.S(J27:J36)</f>
        <v>0.85831504217970955</v>
      </c>
      <c r="L38" s="3">
        <v>20</v>
      </c>
      <c r="M38" s="20">
        <f t="shared" si="12"/>
        <v>72.862453531598518</v>
      </c>
      <c r="N38" s="4"/>
      <c r="O38" s="4"/>
      <c r="P38" s="4"/>
      <c r="Q38" s="4"/>
      <c r="R38" s="4"/>
      <c r="S38" s="4"/>
      <c r="T38" s="5"/>
    </row>
    <row r="39" spans="7:20" x14ac:dyDescent="0.25">
      <c r="G39" s="15" t="s">
        <v>19</v>
      </c>
      <c r="H39" s="11">
        <f>H37+3*H38</f>
        <v>71.592579368911686</v>
      </c>
      <c r="I39" s="11">
        <f t="shared" ref="I39:J39" si="16">I37+3*I38</f>
        <v>69.077466842458904</v>
      </c>
      <c r="J39" s="13">
        <f t="shared" si="16"/>
        <v>42.434412784531695</v>
      </c>
      <c r="L39" s="3">
        <v>30</v>
      </c>
      <c r="M39" s="20">
        <f t="shared" si="12"/>
        <v>71.821561338289968</v>
      </c>
      <c r="N39" s="4"/>
      <c r="O39" s="4"/>
      <c r="P39" s="4"/>
      <c r="Q39" s="4"/>
      <c r="R39" s="4"/>
      <c r="S39" s="4"/>
      <c r="T39" s="5"/>
    </row>
    <row r="40" spans="7:20" x14ac:dyDescent="0.25">
      <c r="G40" s="15" t="s">
        <v>20</v>
      </c>
      <c r="H40" s="11">
        <f>H37-3*H38</f>
        <v>69.708370916463053</v>
      </c>
      <c r="I40" s="11">
        <f t="shared" ref="I40:J40" si="17">I37-3*I38</f>
        <v>65.835734644529936</v>
      </c>
      <c r="J40" s="13">
        <f t="shared" si="17"/>
        <v>37.28452253145344</v>
      </c>
      <c r="L40" s="3">
        <v>30</v>
      </c>
      <c r="M40" s="20">
        <f t="shared" si="12"/>
        <v>71.821561338289968</v>
      </c>
      <c r="N40" s="4"/>
      <c r="O40" s="4"/>
      <c r="P40" s="4"/>
      <c r="Q40" s="4"/>
      <c r="R40" s="4"/>
      <c r="S40" s="4"/>
      <c r="T40" s="5"/>
    </row>
    <row r="41" spans="7:20" ht="15.75" thickBot="1" x14ac:dyDescent="0.3">
      <c r="G41" s="19" t="s">
        <v>22</v>
      </c>
      <c r="H41" s="7">
        <f>H38/H37*100</f>
        <v>0.44449063002130162</v>
      </c>
      <c r="I41" s="7">
        <f>I38/I37*100</f>
        <v>0.8009426708429751</v>
      </c>
      <c r="J41" s="8">
        <f>J38/J37*100</f>
        <v>2.1533529989520606</v>
      </c>
      <c r="L41" s="3">
        <v>30</v>
      </c>
      <c r="M41" s="20">
        <f t="shared" si="12"/>
        <v>71.821561338289968</v>
      </c>
      <c r="N41" s="4"/>
      <c r="O41" s="4"/>
      <c r="P41" s="4"/>
      <c r="Q41" s="4"/>
      <c r="R41" s="4"/>
      <c r="S41" s="4"/>
      <c r="T41" s="5"/>
    </row>
    <row r="42" spans="7:20" x14ac:dyDescent="0.25">
      <c r="L42" s="3">
        <v>35</v>
      </c>
      <c r="M42" s="20">
        <f t="shared" si="12"/>
        <v>70.988847583643121</v>
      </c>
      <c r="N42" s="4"/>
      <c r="O42" s="4"/>
      <c r="P42" s="4"/>
      <c r="Q42" s="4"/>
      <c r="R42" s="4"/>
      <c r="S42" s="4"/>
      <c r="T42" s="5"/>
    </row>
    <row r="43" spans="7:20" x14ac:dyDescent="0.25">
      <c r="L43" s="3">
        <v>35</v>
      </c>
      <c r="M43" s="20">
        <f t="shared" si="12"/>
        <v>71.19702602230484</v>
      </c>
      <c r="N43" s="4"/>
      <c r="O43" s="4"/>
      <c r="P43" s="4"/>
      <c r="Q43" s="4"/>
      <c r="R43" s="4"/>
      <c r="S43" s="4"/>
      <c r="T43" s="5"/>
    </row>
    <row r="44" spans="7:20" x14ac:dyDescent="0.25">
      <c r="L44" s="3">
        <v>35</v>
      </c>
      <c r="M44" s="20">
        <f t="shared" si="12"/>
        <v>71.301115241635685</v>
      </c>
      <c r="N44" s="4"/>
      <c r="O44" s="4"/>
      <c r="P44" s="4"/>
      <c r="Q44" s="4"/>
      <c r="R44" s="4"/>
      <c r="S44" s="4"/>
      <c r="T44" s="5"/>
    </row>
    <row r="45" spans="7:20" x14ac:dyDescent="0.25">
      <c r="L45" s="3">
        <v>40</v>
      </c>
      <c r="M45" s="20">
        <f t="shared" si="12"/>
        <v>70.572490706319698</v>
      </c>
      <c r="N45" s="4"/>
      <c r="O45" s="4"/>
      <c r="P45" s="4"/>
      <c r="Q45" s="4"/>
      <c r="R45" s="4"/>
      <c r="S45" s="4"/>
      <c r="T45" s="5"/>
    </row>
    <row r="46" spans="7:20" x14ac:dyDescent="0.25">
      <c r="L46" s="3">
        <v>40</v>
      </c>
      <c r="M46" s="20">
        <f t="shared" si="12"/>
        <v>70.572490706319698</v>
      </c>
      <c r="N46" s="4"/>
      <c r="O46" s="4"/>
      <c r="P46" s="4"/>
      <c r="Q46" s="4"/>
      <c r="R46" s="4"/>
      <c r="S46" s="4"/>
      <c r="T46" s="5"/>
    </row>
    <row r="47" spans="7:20" x14ac:dyDescent="0.25">
      <c r="L47" s="3">
        <v>40</v>
      </c>
      <c r="M47" s="20">
        <f t="shared" si="12"/>
        <v>70.780669144981417</v>
      </c>
      <c r="N47" s="4"/>
      <c r="O47" s="4"/>
      <c r="P47" s="4"/>
      <c r="Q47" s="4"/>
      <c r="R47" s="4"/>
      <c r="S47" s="4"/>
      <c r="T47" s="5"/>
    </row>
    <row r="48" spans="7:20" x14ac:dyDescent="0.25">
      <c r="L48" s="3">
        <v>49</v>
      </c>
      <c r="M48" s="20">
        <f>M23*$C$23</f>
        <v>68.698884758364315</v>
      </c>
      <c r="N48" s="4"/>
      <c r="O48" s="4"/>
      <c r="P48" s="4"/>
      <c r="Q48" s="4"/>
      <c r="R48" s="4"/>
      <c r="S48" s="4"/>
      <c r="T48" s="5"/>
    </row>
    <row r="49" spans="12:20" x14ac:dyDescent="0.25">
      <c r="L49" s="3">
        <v>49</v>
      </c>
      <c r="M49" s="20">
        <f t="shared" si="12"/>
        <v>69.219330855018583</v>
      </c>
      <c r="N49" s="4"/>
      <c r="O49" s="4"/>
      <c r="P49" s="4"/>
      <c r="Q49" s="4"/>
      <c r="R49" s="4"/>
      <c r="S49" s="4"/>
      <c r="T49" s="5"/>
    </row>
    <row r="50" spans="12:20" ht="15.75" thickBot="1" x14ac:dyDescent="0.3">
      <c r="L50" s="6">
        <v>49</v>
      </c>
      <c r="M50" s="20">
        <f t="shared" si="12"/>
        <v>69.739776951672866</v>
      </c>
      <c r="N50" s="7"/>
      <c r="O50" s="7"/>
      <c r="P50" s="7"/>
      <c r="Q50" s="7"/>
      <c r="R50" s="7"/>
      <c r="S50" s="7"/>
      <c r="T50" s="8"/>
    </row>
  </sheetData>
  <sortState xmlns:xlrd2="http://schemas.microsoft.com/office/spreadsheetml/2017/richdata2" ref="M4:M13">
    <sortCondition ref="M4"/>
  </sortState>
  <conditionalFormatting sqref="H9:H18">
    <cfRule type="cellIs" dxfId="5" priority="3" operator="lessThan">
      <formula>$H$19-$H$20*3</formula>
    </cfRule>
    <cfRule type="cellIs" dxfId="4" priority="4" operator="greaterThan">
      <formula>$H$19+$H$20*3</formula>
    </cfRule>
  </conditionalFormatting>
  <conditionalFormatting sqref="H27:H36">
    <cfRule type="cellIs" dxfId="3" priority="1" operator="lessThan">
      <formula>$H$37-$H$38*3</formula>
    </cfRule>
    <cfRule type="cellIs" dxfId="2" priority="2" operator="greaterThan">
      <formula>$H$37+$H$38*3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7E49E-EFE3-4D15-A052-22D31E5679B2}">
  <dimension ref="B2:K24"/>
  <sheetViews>
    <sheetView zoomScale="80" zoomScaleNormal="80" workbookViewId="0">
      <selection activeCell="F3" sqref="F3:G7"/>
    </sheetView>
  </sheetViews>
  <sheetFormatPr baseColWidth="10" defaultRowHeight="15" x14ac:dyDescent="0.25"/>
  <sheetData>
    <row r="2" spans="2:11" x14ac:dyDescent="0.25">
      <c r="B2" s="3" t="s">
        <v>0</v>
      </c>
      <c r="C2" s="4" t="s">
        <v>1</v>
      </c>
      <c r="D2" t="s">
        <v>34</v>
      </c>
      <c r="F2" t="s">
        <v>0</v>
      </c>
      <c r="G2" t="s">
        <v>1</v>
      </c>
      <c r="H2" t="s">
        <v>12</v>
      </c>
      <c r="I2" t="s">
        <v>23</v>
      </c>
      <c r="J2" t="s">
        <v>24</v>
      </c>
      <c r="K2" t="s">
        <v>25</v>
      </c>
    </row>
    <row r="3" spans="2:11" x14ac:dyDescent="0.25">
      <c r="B3" s="3">
        <v>20</v>
      </c>
      <c r="C3" s="4">
        <v>69.8</v>
      </c>
      <c r="D3">
        <v>72.6542750929368</v>
      </c>
      <c r="F3">
        <v>20</v>
      </c>
      <c r="G3">
        <v>72.8</v>
      </c>
      <c r="H3">
        <v>8.777573678782484E-2</v>
      </c>
      <c r="I3">
        <v>0.12057106701624293</v>
      </c>
      <c r="J3">
        <v>73.063327210363468</v>
      </c>
      <c r="K3">
        <v>72.536672789636526</v>
      </c>
    </row>
    <row r="4" spans="2:11" x14ac:dyDescent="0.25">
      <c r="B4" s="3">
        <v>20</v>
      </c>
      <c r="C4" s="4">
        <v>69.8</v>
      </c>
      <c r="D4">
        <v>72.6542750929368</v>
      </c>
      <c r="F4">
        <v>30</v>
      </c>
      <c r="G4">
        <v>71.821561338289968</v>
      </c>
      <c r="H4">
        <v>0</v>
      </c>
      <c r="I4">
        <v>0</v>
      </c>
      <c r="J4">
        <v>71.821561338289968</v>
      </c>
      <c r="K4">
        <v>71.821561338289968</v>
      </c>
    </row>
    <row r="5" spans="2:11" x14ac:dyDescent="0.25">
      <c r="B5" s="3">
        <v>20</v>
      </c>
      <c r="C5" s="4">
        <v>69.900000000000006</v>
      </c>
      <c r="D5">
        <v>72.758364312267659</v>
      </c>
      <c r="F5">
        <v>35</v>
      </c>
      <c r="G5">
        <v>71.162329615861211</v>
      </c>
      <c r="H5">
        <v>0.15899890887083501</v>
      </c>
      <c r="I5">
        <v>0.22343128693105083</v>
      </c>
      <c r="J5">
        <v>71.639326342473709</v>
      </c>
      <c r="K5">
        <v>70.685332889248713</v>
      </c>
    </row>
    <row r="6" spans="2:11" x14ac:dyDescent="0.25">
      <c r="B6" s="3">
        <v>20</v>
      </c>
      <c r="C6" s="4">
        <v>69.900000000000006</v>
      </c>
      <c r="D6">
        <v>72.758364312267659</v>
      </c>
      <c r="F6">
        <v>40</v>
      </c>
      <c r="G6">
        <v>70.641883519206942</v>
      </c>
      <c r="H6">
        <v>0.12019187760081929</v>
      </c>
      <c r="I6">
        <v>0.17014251547828579</v>
      </c>
      <c r="J6">
        <v>71.002459152009394</v>
      </c>
      <c r="K6">
        <v>70.281307886404491</v>
      </c>
    </row>
    <row r="7" spans="2:11" x14ac:dyDescent="0.25">
      <c r="B7" s="3">
        <v>20</v>
      </c>
      <c r="C7" s="4">
        <v>70</v>
      </c>
      <c r="D7">
        <v>72.862453531598518</v>
      </c>
      <c r="F7">
        <v>49</v>
      </c>
      <c r="G7">
        <v>69.219330855018583</v>
      </c>
      <c r="H7">
        <v>0.52044609665427544</v>
      </c>
      <c r="I7">
        <v>0.75187969924812081</v>
      </c>
      <c r="J7">
        <v>70.780669144981402</v>
      </c>
      <c r="K7">
        <v>67.657992565055764</v>
      </c>
    </row>
    <row r="8" spans="2:11" x14ac:dyDescent="0.25">
      <c r="B8" s="3">
        <v>20</v>
      </c>
      <c r="C8" s="4">
        <v>70</v>
      </c>
      <c r="D8">
        <v>72.862453531598518</v>
      </c>
    </row>
    <row r="9" spans="2:11" x14ac:dyDescent="0.25">
      <c r="B9" s="3">
        <v>20</v>
      </c>
      <c r="C9" s="4">
        <v>70</v>
      </c>
      <c r="D9">
        <v>72.862453531598518</v>
      </c>
    </row>
    <row r="10" spans="2:11" x14ac:dyDescent="0.25">
      <c r="B10" s="3">
        <v>20</v>
      </c>
      <c r="C10" s="4">
        <v>70</v>
      </c>
      <c r="D10">
        <v>72.862453531598518</v>
      </c>
    </row>
    <row r="11" spans="2:11" x14ac:dyDescent="0.25">
      <c r="B11" s="3">
        <v>20</v>
      </c>
      <c r="C11" s="4">
        <v>70</v>
      </c>
      <c r="D11">
        <v>72.862453531598518</v>
      </c>
    </row>
    <row r="12" spans="2:11" x14ac:dyDescent="0.25">
      <c r="B12" s="3">
        <v>20</v>
      </c>
      <c r="C12" s="4">
        <v>70</v>
      </c>
      <c r="D12">
        <v>72.862453531598518</v>
      </c>
    </row>
    <row r="13" spans="2:11" x14ac:dyDescent="0.25">
      <c r="B13" s="3">
        <v>30</v>
      </c>
      <c r="C13" s="4">
        <v>69</v>
      </c>
      <c r="D13">
        <v>71.821561338289968</v>
      </c>
    </row>
    <row r="14" spans="2:11" x14ac:dyDescent="0.25">
      <c r="B14" s="3">
        <v>30</v>
      </c>
      <c r="C14" s="4">
        <v>69</v>
      </c>
      <c r="D14">
        <v>71.821561338289968</v>
      </c>
    </row>
    <row r="15" spans="2:11" x14ac:dyDescent="0.25">
      <c r="B15" s="3">
        <v>30</v>
      </c>
      <c r="C15" s="4">
        <v>69</v>
      </c>
      <c r="D15">
        <v>71.821561338289968</v>
      </c>
    </row>
    <row r="16" spans="2:11" x14ac:dyDescent="0.25">
      <c r="B16" s="3">
        <v>35</v>
      </c>
      <c r="C16" s="4">
        <v>68.2</v>
      </c>
      <c r="D16">
        <v>70.988847583643121</v>
      </c>
    </row>
    <row r="17" spans="2:4" x14ac:dyDescent="0.25">
      <c r="B17" s="3">
        <v>35</v>
      </c>
      <c r="C17" s="4">
        <v>68.400000000000006</v>
      </c>
      <c r="D17">
        <v>71.19702602230484</v>
      </c>
    </row>
    <row r="18" spans="2:4" x14ac:dyDescent="0.25">
      <c r="B18" s="3">
        <v>35</v>
      </c>
      <c r="C18" s="4">
        <v>68.5</v>
      </c>
      <c r="D18">
        <v>71.301115241635685</v>
      </c>
    </row>
    <row r="19" spans="2:4" x14ac:dyDescent="0.25">
      <c r="B19" s="3">
        <v>40</v>
      </c>
      <c r="C19" s="4">
        <v>67.8</v>
      </c>
      <c r="D19">
        <v>70.572490706319698</v>
      </c>
    </row>
    <row r="20" spans="2:4" x14ac:dyDescent="0.25">
      <c r="B20" s="3">
        <v>40</v>
      </c>
      <c r="C20" s="4">
        <v>67.8</v>
      </c>
      <c r="D20">
        <v>70.572490706319698</v>
      </c>
    </row>
    <row r="21" spans="2:4" x14ac:dyDescent="0.25">
      <c r="B21" s="3">
        <v>40</v>
      </c>
      <c r="C21" s="4">
        <v>68</v>
      </c>
      <c r="D21">
        <v>70.780669144981417</v>
      </c>
    </row>
    <row r="22" spans="2:4" x14ac:dyDescent="0.25">
      <c r="B22" s="3">
        <v>49</v>
      </c>
      <c r="C22" s="4">
        <v>66</v>
      </c>
      <c r="D22">
        <v>68.698884758364315</v>
      </c>
    </row>
    <row r="23" spans="2:4" x14ac:dyDescent="0.25">
      <c r="B23" s="3">
        <v>49</v>
      </c>
      <c r="C23" s="4">
        <v>66.5</v>
      </c>
      <c r="D23">
        <v>69.219330855018583</v>
      </c>
    </row>
    <row r="24" spans="2:4" ht="15.75" thickBot="1" x14ac:dyDescent="0.3">
      <c r="B24" s="6">
        <v>49</v>
      </c>
      <c r="C24" s="7">
        <v>67</v>
      </c>
      <c r="D24">
        <v>69.739776951672866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010C-5649-40B0-AF60-C9728FAC25B9}">
  <dimension ref="A3:P24"/>
  <sheetViews>
    <sheetView zoomScale="50" zoomScaleNormal="50" workbookViewId="0">
      <selection activeCell="C27" sqref="C27"/>
    </sheetView>
  </sheetViews>
  <sheetFormatPr baseColWidth="10" defaultRowHeight="15" x14ac:dyDescent="0.25"/>
  <cols>
    <col min="3" max="3" width="19.7109375" bestFit="1" customWidth="1"/>
    <col min="5" max="5" width="30.42578125" bestFit="1" customWidth="1"/>
  </cols>
  <sheetData>
    <row r="3" spans="1:16" ht="15.75" thickBot="1" x14ac:dyDescent="0.3">
      <c r="A3" s="4"/>
      <c r="C3" s="25" t="s">
        <v>16</v>
      </c>
      <c r="D3" s="25" t="s">
        <v>4</v>
      </c>
      <c r="E3" t="s">
        <v>29</v>
      </c>
      <c r="F3" s="25" t="s">
        <v>3</v>
      </c>
      <c r="G3" t="s">
        <v>3</v>
      </c>
      <c r="H3" s="25" t="s">
        <v>5</v>
      </c>
      <c r="I3" s="11" t="s">
        <v>5</v>
      </c>
      <c r="J3" s="11"/>
      <c r="K3" s="11"/>
      <c r="L3" s="11"/>
      <c r="M3" s="4"/>
      <c r="N3" s="11"/>
      <c r="O3" s="11"/>
      <c r="P3" s="7"/>
    </row>
    <row r="4" spans="1:16" x14ac:dyDescent="0.25">
      <c r="C4" s="26">
        <v>1</v>
      </c>
      <c r="D4" s="27">
        <v>68.80297397769516</v>
      </c>
      <c r="E4" s="24">
        <v>71.222587858100354</v>
      </c>
      <c r="F4" s="27">
        <v>65</v>
      </c>
      <c r="G4" s="24">
        <v>68.063940520446096</v>
      </c>
      <c r="H4" s="27">
        <v>39</v>
      </c>
      <c r="I4" s="24">
        <v>38.727434944237913</v>
      </c>
    </row>
    <row r="5" spans="1:16" x14ac:dyDescent="0.25">
      <c r="C5" s="26">
        <v>2</v>
      </c>
      <c r="D5" s="27">
        <v>68</v>
      </c>
      <c r="E5" s="24">
        <v>70.391375464684018</v>
      </c>
      <c r="F5" s="27">
        <v>64.5</v>
      </c>
      <c r="G5" s="24">
        <v>67.540371747211893</v>
      </c>
      <c r="H5" s="27">
        <v>40</v>
      </c>
      <c r="I5" s="24">
        <v>39.720446096654271</v>
      </c>
    </row>
    <row r="6" spans="1:16" x14ac:dyDescent="0.25">
      <c r="C6" s="26">
        <v>3</v>
      </c>
      <c r="D6" s="27">
        <v>68.5</v>
      </c>
      <c r="E6" s="24">
        <v>70.908959107806695</v>
      </c>
      <c r="F6" s="27">
        <v>64.400000000000006</v>
      </c>
      <c r="G6" s="24">
        <v>67.435657992565055</v>
      </c>
      <c r="H6" s="27">
        <v>40.799999999999997</v>
      </c>
      <c r="I6" s="24">
        <v>40.514855018587355</v>
      </c>
    </row>
    <row r="7" spans="1:16" x14ac:dyDescent="0.25">
      <c r="C7" s="26">
        <v>4</v>
      </c>
      <c r="D7" s="27">
        <v>68.099999999999994</v>
      </c>
      <c r="E7" s="24">
        <v>70.494892193308544</v>
      </c>
      <c r="F7" s="27">
        <v>63.5</v>
      </c>
      <c r="G7" s="24">
        <v>66.493234200743501</v>
      </c>
      <c r="H7" s="27">
        <v>41</v>
      </c>
      <c r="I7" s="24">
        <v>40.713457249070629</v>
      </c>
    </row>
    <row r="8" spans="1:16" x14ac:dyDescent="0.25">
      <c r="C8" s="26">
        <v>5</v>
      </c>
      <c r="D8" s="27">
        <v>68.5</v>
      </c>
      <c r="E8" s="24">
        <v>70.908959107806695</v>
      </c>
      <c r="F8" s="27">
        <v>64.5</v>
      </c>
      <c r="G8" s="24">
        <v>67.540371747211893</v>
      </c>
      <c r="H8" s="27">
        <v>40.799999999999997</v>
      </c>
      <c r="I8" s="24">
        <v>40.514855018587355</v>
      </c>
    </row>
    <row r="9" spans="1:16" x14ac:dyDescent="0.25">
      <c r="C9" s="26">
        <v>6</v>
      </c>
      <c r="D9" s="27">
        <v>68</v>
      </c>
      <c r="E9" s="24">
        <v>70.391375464684018</v>
      </c>
      <c r="F9" s="27">
        <v>64.599999999999994</v>
      </c>
      <c r="G9" s="24">
        <v>67.64508550185873</v>
      </c>
      <c r="H9" s="27">
        <v>41</v>
      </c>
      <c r="I9" s="24">
        <v>40.713457249070629</v>
      </c>
    </row>
    <row r="10" spans="1:16" x14ac:dyDescent="0.25">
      <c r="C10" s="26">
        <v>7</v>
      </c>
      <c r="D10" s="27">
        <v>68</v>
      </c>
      <c r="E10" s="24">
        <v>70.391375464684018</v>
      </c>
      <c r="F10" s="27">
        <v>63.5</v>
      </c>
      <c r="G10" s="24">
        <v>66.493234200743501</v>
      </c>
      <c r="H10" s="27">
        <v>40.799999999999997</v>
      </c>
      <c r="I10" s="24">
        <v>40.514855018587355</v>
      </c>
    </row>
    <row r="11" spans="1:16" x14ac:dyDescent="0.25">
      <c r="C11" s="26">
        <v>8</v>
      </c>
      <c r="D11" s="27">
        <v>68.5</v>
      </c>
      <c r="E11" s="24">
        <v>70.908959107806695</v>
      </c>
      <c r="F11" s="27">
        <v>64.599999999999994</v>
      </c>
      <c r="G11" s="24">
        <v>67.64508550185873</v>
      </c>
      <c r="H11" s="27">
        <v>39</v>
      </c>
      <c r="I11" s="24">
        <v>38.727434944237913</v>
      </c>
    </row>
    <row r="12" spans="1:16" x14ac:dyDescent="0.25">
      <c r="C12" s="26">
        <v>9</v>
      </c>
      <c r="D12" s="27">
        <v>67.900000000000006</v>
      </c>
      <c r="E12" s="24">
        <v>70.287858736059491</v>
      </c>
      <c r="F12" s="27">
        <v>64.8</v>
      </c>
      <c r="G12" s="24">
        <v>67.854513011152406</v>
      </c>
      <c r="H12" s="27">
        <v>39</v>
      </c>
      <c r="I12" s="24">
        <v>38.727434944237913</v>
      </c>
    </row>
    <row r="13" spans="1:16" x14ac:dyDescent="0.25">
      <c r="C13" s="26">
        <v>10</v>
      </c>
      <c r="D13" s="27">
        <v>68.2</v>
      </c>
      <c r="E13" s="24">
        <v>70.598408921933085</v>
      </c>
      <c r="F13" s="27">
        <v>64.8</v>
      </c>
      <c r="G13" s="24">
        <v>67.854513011152406</v>
      </c>
      <c r="H13" s="27">
        <v>40</v>
      </c>
      <c r="I13" s="24">
        <v>39.720446096654271</v>
      </c>
    </row>
    <row r="14" spans="1:16" x14ac:dyDescent="0.25">
      <c r="C14" s="15" t="s">
        <v>17</v>
      </c>
      <c r="D14" s="27">
        <f>AVERAGE(D4:D13)</f>
        <v>68.250297397769515</v>
      </c>
      <c r="E14" s="27">
        <f t="shared" ref="E14:I14" si="0">AVERAGE(E4:E13)</f>
        <v>70.65047514268737</v>
      </c>
      <c r="F14" s="27">
        <f t="shared" si="0"/>
        <v>64.419999999999987</v>
      </c>
      <c r="G14" s="27">
        <f t="shared" si="0"/>
        <v>67.45660074349442</v>
      </c>
      <c r="H14" s="27">
        <f t="shared" si="0"/>
        <v>40.14</v>
      </c>
      <c r="I14" s="27">
        <f t="shared" si="0"/>
        <v>39.859467657992568</v>
      </c>
    </row>
    <row r="15" spans="1:16" x14ac:dyDescent="0.25">
      <c r="C15" s="15" t="s">
        <v>12</v>
      </c>
      <c r="D15" s="24"/>
      <c r="E15" s="24">
        <v>0.31403474207477416</v>
      </c>
      <c r="F15" s="24"/>
      <c r="G15" s="24">
        <v>0.5402886996548264</v>
      </c>
      <c r="H15" s="24"/>
      <c r="I15" s="24">
        <v>0.85831504217970955</v>
      </c>
    </row>
    <row r="16" spans="1:16" x14ac:dyDescent="0.25">
      <c r="C16" s="15" t="s">
        <v>19</v>
      </c>
      <c r="D16" s="24"/>
      <c r="E16" s="24">
        <v>71.592579368911686</v>
      </c>
      <c r="F16" s="24"/>
      <c r="G16" s="24">
        <v>69.077466842458904</v>
      </c>
      <c r="H16" s="24"/>
      <c r="I16" s="24">
        <v>42.434412784531695</v>
      </c>
    </row>
    <row r="17" spans="3:9" x14ac:dyDescent="0.25">
      <c r="C17" s="15" t="s">
        <v>20</v>
      </c>
      <c r="D17" s="24"/>
      <c r="E17" s="24">
        <v>69.708370916463053</v>
      </c>
      <c r="F17" s="24"/>
      <c r="G17" s="24">
        <v>65.835734644529936</v>
      </c>
      <c r="H17" s="24"/>
      <c r="I17" s="24">
        <v>37.28452253145344</v>
      </c>
    </row>
    <row r="18" spans="3:9" ht="15.75" thickBot="1" x14ac:dyDescent="0.3">
      <c r="C18" s="19" t="s">
        <v>22</v>
      </c>
      <c r="D18" s="24"/>
      <c r="E18" s="24">
        <v>0.44449063002130162</v>
      </c>
      <c r="F18" s="24"/>
      <c r="G18" s="24">
        <v>0.8009426708429751</v>
      </c>
      <c r="H18" s="24"/>
      <c r="I18" s="24">
        <v>2.1533529989520601</v>
      </c>
    </row>
    <row r="19" spans="3:9" x14ac:dyDescent="0.25">
      <c r="C19" s="28"/>
    </row>
    <row r="21" spans="3:9" x14ac:dyDescent="0.25">
      <c r="C21" s="18" t="s">
        <v>31</v>
      </c>
      <c r="D21" t="s">
        <v>32</v>
      </c>
      <c r="E21" t="s">
        <v>33</v>
      </c>
      <c r="F21" t="s">
        <v>30</v>
      </c>
    </row>
    <row r="22" spans="3:9" x14ac:dyDescent="0.25">
      <c r="C22" s="18" t="s">
        <v>4</v>
      </c>
      <c r="D22" s="23">
        <v>1</v>
      </c>
      <c r="E22" s="24">
        <f>D14</f>
        <v>68.250297397769515</v>
      </c>
      <c r="F22">
        <f>'Daten SURF'!C27</f>
        <v>0.99450000000000005</v>
      </c>
    </row>
    <row r="23" spans="3:9" x14ac:dyDescent="0.25">
      <c r="C23" s="18" t="s">
        <v>3</v>
      </c>
      <c r="D23">
        <v>0.8</v>
      </c>
      <c r="E23" s="24">
        <f>F14</f>
        <v>64.419999999999987</v>
      </c>
      <c r="F23">
        <f>'Daten SURF'!C28</f>
        <v>1.006</v>
      </c>
    </row>
    <row r="24" spans="3:9" x14ac:dyDescent="0.25">
      <c r="C24" s="18" t="s">
        <v>5</v>
      </c>
      <c r="D24">
        <v>1</v>
      </c>
      <c r="E24" s="24">
        <f>H14</f>
        <v>40.14</v>
      </c>
      <c r="F24">
        <f>'Daten SURF'!C29</f>
        <v>0.95399999999999996</v>
      </c>
    </row>
  </sheetData>
  <conditionalFormatting sqref="J3:K3">
    <cfRule type="cellIs" dxfId="1" priority="1" operator="lessThan">
      <formula>$H$19-$H$20*3</formula>
    </cfRule>
    <cfRule type="cellIs" dxfId="0" priority="2" operator="greaterThan">
      <formula>$H$19+$H$20*3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Daten SURF</vt:lpstr>
      <vt:lpstr>Tabelle3</vt:lpstr>
      <vt:lpstr>Tabelle2</vt:lpstr>
      <vt:lpstr>Temperaturabhängigkeit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2020-06-12T20:08:53Z</dcterms:created>
  <dcterms:modified xsi:type="dcterms:W3CDTF">2020-06-22T16:07:24Z</dcterms:modified>
</cp:coreProperties>
</file>