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"/>
    </mc:Choice>
  </mc:AlternateContent>
  <xr:revisionPtr revIDLastSave="0" documentId="8_{D6C3A252-9E76-4743-908B-6A468F7EB03A}" xr6:coauthVersionLast="44" xr6:coauthVersionMax="44" xr10:uidLastSave="{00000000-0000-0000-0000-000000000000}"/>
  <bookViews>
    <workbookView xWindow="-120" yWindow="-120" windowWidth="20730" windowHeight="11160" xr2:uid="{58BCA4A6-BCE1-4993-87CE-0F8FC528FC19}"/>
  </bookViews>
  <sheets>
    <sheet name="Kinetik 20°C" sheetId="1" r:id="rId1"/>
    <sheet name="Dia 20°C" sheetId="7" r:id="rId2"/>
    <sheet name="Kinetik 30°C" sheetId="5" r:id="rId3"/>
    <sheet name="Dia 30°C" sheetId="8" r:id="rId4"/>
    <sheet name="Kinetik 40°C" sheetId="6" r:id="rId5"/>
    <sheet name="Dia 40°C" sheetId="9" r:id="rId6"/>
    <sheet name="Dia ln(r)_ln(c)" sheetId="10" r:id="rId7"/>
    <sheet name="Kinetik Konstanten" sheetId="3" r:id="rId8"/>
    <sheet name="Dia Arrheniu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K7" i="1" s="1"/>
  <c r="M3" i="3"/>
  <c r="J3" i="3"/>
  <c r="L3" i="3" s="1"/>
  <c r="I3" i="3"/>
  <c r="H3" i="3"/>
  <c r="Q4" i="1"/>
  <c r="Q8" i="1"/>
  <c r="Q9" i="1"/>
  <c r="Q10" i="1"/>
  <c r="Q11" i="1"/>
  <c r="Q12" i="1"/>
  <c r="Q13" i="1"/>
  <c r="Q14" i="1"/>
  <c r="Q15" i="1"/>
  <c r="Q7" i="1"/>
  <c r="M8" i="1"/>
  <c r="M9" i="1"/>
  <c r="M10" i="1"/>
  <c r="M11" i="1"/>
  <c r="M12" i="1"/>
  <c r="M13" i="1"/>
  <c r="M14" i="1"/>
  <c r="M15" i="1"/>
  <c r="N15" i="1" s="1"/>
  <c r="M7" i="1"/>
  <c r="J16" i="1"/>
  <c r="N9" i="1"/>
  <c r="N13" i="1"/>
  <c r="J7" i="1"/>
  <c r="G7" i="1"/>
  <c r="H7" i="1" s="1"/>
  <c r="J8" i="1"/>
  <c r="J9" i="1"/>
  <c r="J10" i="1"/>
  <c r="J11" i="1"/>
  <c r="J12" i="1"/>
  <c r="J13" i="1"/>
  <c r="J14" i="1"/>
  <c r="J15" i="1"/>
  <c r="D4" i="3"/>
  <c r="I15" i="6"/>
  <c r="G15" i="6"/>
  <c r="H15" i="6" s="1"/>
  <c r="I14" i="6"/>
  <c r="G14" i="6"/>
  <c r="H14" i="6" s="1"/>
  <c r="I13" i="6"/>
  <c r="G13" i="6"/>
  <c r="H13" i="6" s="1"/>
  <c r="I12" i="6"/>
  <c r="G12" i="6"/>
  <c r="H12" i="6" s="1"/>
  <c r="I11" i="6"/>
  <c r="G11" i="6"/>
  <c r="H11" i="6" s="1"/>
  <c r="I10" i="6"/>
  <c r="G10" i="6"/>
  <c r="H10" i="6" s="1"/>
  <c r="I9" i="6"/>
  <c r="G9" i="6"/>
  <c r="H9" i="6" s="1"/>
  <c r="I8" i="6"/>
  <c r="G8" i="6"/>
  <c r="H8" i="6" s="1"/>
  <c r="I7" i="6"/>
  <c r="G7" i="6"/>
  <c r="H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I15" i="5"/>
  <c r="G15" i="5"/>
  <c r="H15" i="5" s="1"/>
  <c r="I14" i="5"/>
  <c r="G14" i="5"/>
  <c r="H14" i="5" s="1"/>
  <c r="I13" i="5"/>
  <c r="G13" i="5"/>
  <c r="H13" i="5" s="1"/>
  <c r="I12" i="5"/>
  <c r="G12" i="5"/>
  <c r="H12" i="5" s="1"/>
  <c r="I11" i="5"/>
  <c r="G11" i="5"/>
  <c r="H11" i="5" s="1"/>
  <c r="I10" i="5"/>
  <c r="G10" i="5"/>
  <c r="H10" i="5" s="1"/>
  <c r="I9" i="5"/>
  <c r="G9" i="5"/>
  <c r="H9" i="5" s="1"/>
  <c r="I8" i="5"/>
  <c r="G8" i="5"/>
  <c r="H8" i="5" s="1"/>
  <c r="I7" i="5"/>
  <c r="G7" i="5"/>
  <c r="H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G4" i="3"/>
  <c r="G5" i="3"/>
  <c r="G3" i="3"/>
  <c r="I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K3" i="3" l="1"/>
  <c r="L7" i="1"/>
  <c r="K13" i="1"/>
  <c r="N7" i="1"/>
  <c r="L12" i="1"/>
  <c r="L14" i="1"/>
  <c r="L10" i="1"/>
  <c r="N12" i="1"/>
  <c r="L8" i="1"/>
  <c r="L11" i="1"/>
  <c r="K14" i="1"/>
  <c r="K10" i="1"/>
  <c r="N8" i="1"/>
  <c r="N11" i="1"/>
  <c r="L9" i="1"/>
  <c r="L15" i="1"/>
  <c r="N10" i="1"/>
  <c r="N14" i="1"/>
  <c r="L13" i="1"/>
  <c r="K15" i="1"/>
  <c r="K11" i="1"/>
  <c r="K9" i="1"/>
  <c r="K12" i="1"/>
  <c r="K8" i="1"/>
  <c r="D5" i="3"/>
  <c r="F5" i="3" s="1"/>
  <c r="E4" i="3"/>
  <c r="F4" i="3"/>
  <c r="E5" i="3"/>
  <c r="I8" i="1"/>
  <c r="I9" i="1"/>
  <c r="I10" i="1"/>
  <c r="I11" i="1"/>
  <c r="I12" i="1"/>
  <c r="I13" i="1"/>
  <c r="I14" i="1"/>
  <c r="I1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N4" i="1" l="1"/>
  <c r="D3" i="3"/>
  <c r="E3" i="3"/>
  <c r="F3" i="3" l="1"/>
  <c r="O7" i="1"/>
  <c r="P7" i="1" s="1"/>
  <c r="O11" i="1"/>
  <c r="P11" i="1" s="1"/>
  <c r="O15" i="1"/>
  <c r="P15" i="1" s="1"/>
  <c r="O8" i="1"/>
  <c r="P8" i="1" s="1"/>
  <c r="O12" i="1"/>
  <c r="P12" i="1" s="1"/>
  <c r="O16" i="1"/>
  <c r="O9" i="1"/>
  <c r="P9" i="1" s="1"/>
  <c r="O13" i="1"/>
  <c r="P13" i="1" s="1"/>
  <c r="O6" i="1"/>
  <c r="O10" i="1"/>
  <c r="P10" i="1" s="1"/>
  <c r="O14" i="1"/>
  <c r="P14" i="1" s="1"/>
  <c r="C7" i="3"/>
  <c r="C8" i="3"/>
  <c r="P4" i="1" l="1"/>
</calcChain>
</file>

<file path=xl/sharedStrings.xml><?xml version="1.0" encoding="utf-8"?>
<sst xmlns="http://schemas.openxmlformats.org/spreadsheetml/2006/main" count="57" uniqueCount="38">
  <si>
    <t>t in s</t>
  </si>
  <si>
    <t>c(NaOH) in mmol/l</t>
  </si>
  <si>
    <t>c(EEE) in mmol/l</t>
  </si>
  <si>
    <t>c(NA) in mmol/l</t>
  </si>
  <si>
    <t>c(EtOH) in mmol/l</t>
  </si>
  <si>
    <t>Nr.</t>
  </si>
  <si>
    <t>ln(c(NaOH))</t>
  </si>
  <si>
    <t>ln(r(NA)</t>
  </si>
  <si>
    <t>R(NA)=r in mmol/(l*min)</t>
  </si>
  <si>
    <t>Tabelle 1:</t>
  </si>
  <si>
    <t>k</t>
  </si>
  <si>
    <t>Tabelle 2:</t>
  </si>
  <si>
    <t>Tabelle 3:</t>
  </si>
  <si>
    <t>k0=</t>
  </si>
  <si>
    <t>n</t>
  </si>
  <si>
    <t>Kennwert</t>
  </si>
  <si>
    <t>Messreihe 1 (20°C)</t>
  </si>
  <si>
    <t>Messreihe 3 (40°C)</t>
  </si>
  <si>
    <t>Messreihe 2 (30°C)</t>
  </si>
  <si>
    <t>ln(k)</t>
  </si>
  <si>
    <t>T in °C</t>
  </si>
  <si>
    <t>1/T in 1/K</t>
  </si>
  <si>
    <t>R [J/(mol*K)]=</t>
  </si>
  <si>
    <t>EA [kJ/mol]=</t>
  </si>
  <si>
    <t>VWZ Sum (real) Verdrängung</t>
  </si>
  <si>
    <t>VWZ Dichte (real) Verdrängung</t>
  </si>
  <si>
    <t>Verweilzeit t=</t>
  </si>
  <si>
    <t>VWZ Sum (real) impuls</t>
  </si>
  <si>
    <t>mittlere Verweilzeit</t>
  </si>
  <si>
    <t>VWZ dicht (real) impuls</t>
  </si>
  <si>
    <t>Umsatzgrad</t>
  </si>
  <si>
    <t>mittlerer Umsatzgrad</t>
  </si>
  <si>
    <t>Varianz</t>
  </si>
  <si>
    <t>mittlere VWZ</t>
  </si>
  <si>
    <t>Norm STANDABW</t>
  </si>
  <si>
    <t>Kesselzahl K</t>
  </si>
  <si>
    <t>Bodensteinzahl Bo</t>
  </si>
  <si>
    <t>X analystisch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</si>
</sst>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°\C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1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#\°\C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Konzentrationsverlauf bei</a:t>
            </a:r>
            <a:r>
              <a:rPr lang="en-GB" sz="2000" baseline="0"/>
              <a:t> 20°C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c(NaOH) - 20°C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'Kinetik 20°C'!$B$6:$B$16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20°C'!$C$6:$C$16</c:f>
              <c:numCache>
                <c:formatCode>General</c:formatCode>
                <c:ptCount val="11"/>
                <c:pt idx="0">
                  <c:v>1</c:v>
                </c:pt>
                <c:pt idx="1">
                  <c:v>0.82</c:v>
                </c:pt>
                <c:pt idx="2">
                  <c:v>0.69</c:v>
                </c:pt>
                <c:pt idx="3">
                  <c:v>0.57999999999999996</c:v>
                </c:pt>
                <c:pt idx="4">
                  <c:v>0.5</c:v>
                </c:pt>
                <c:pt idx="5">
                  <c:v>0.43</c:v>
                </c:pt>
                <c:pt idx="6">
                  <c:v>0.37</c:v>
                </c:pt>
                <c:pt idx="7">
                  <c:v>0.33</c:v>
                </c:pt>
                <c:pt idx="8">
                  <c:v>0.28999999999999998</c:v>
                </c:pt>
                <c:pt idx="9">
                  <c:v>0.25</c:v>
                </c:pt>
                <c:pt idx="10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1-4788-B0F6-223868EDFB81}"/>
            </c:ext>
          </c:extLst>
        </c:ser>
        <c:ser>
          <c:idx val="1"/>
          <c:order val="1"/>
          <c:tx>
            <c:v>c(EEE) - 20°C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'Kinetik 20°C'!$B$6:$B$16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20°C'!$D$6:$D$16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1-4788-B0F6-223868EDFB81}"/>
            </c:ext>
          </c:extLst>
        </c:ser>
        <c:ser>
          <c:idx val="2"/>
          <c:order val="2"/>
          <c:tx>
            <c:v>c(NA) - 20°C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'Kinetik 20°C'!$B$6:$B$16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20°C'!$E$6:$E$16</c:f>
              <c:numCache>
                <c:formatCode>General</c:formatCode>
                <c:ptCount val="11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0.33</c:v>
                </c:pt>
                <c:pt idx="6">
                  <c:v>0.37</c:v>
                </c:pt>
                <c:pt idx="7">
                  <c:v>0.41</c:v>
                </c:pt>
                <c:pt idx="8">
                  <c:v>0.44</c:v>
                </c:pt>
                <c:pt idx="9">
                  <c:v>0.47</c:v>
                </c:pt>
                <c:pt idx="1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1-4788-B0F6-223868EDFB81}"/>
            </c:ext>
          </c:extLst>
        </c:ser>
        <c:ser>
          <c:idx val="3"/>
          <c:order val="3"/>
          <c:tx>
            <c:v>c(EtOH) - 20°C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'Kinetik 20°C'!$B$6:$B$16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20°C'!$F$6:$F$16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1-4788-B0F6-223868EDF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39647"/>
        <c:axId val="758445935"/>
      </c:scatterChart>
      <c:valAx>
        <c:axId val="8822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Zeit 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45935"/>
        <c:crosses val="autoZero"/>
        <c:crossBetween val="midCat"/>
      </c:valAx>
      <c:valAx>
        <c:axId val="7584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Konzentration 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3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Konzentrationsverlauf bei</a:t>
            </a:r>
            <a:r>
              <a:rPr lang="en-GB" sz="2000" baseline="0"/>
              <a:t> 20°C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c(NaOH) - 30°C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'Kinetik 30°C'!$B$6:$B$16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30°C'!$C$6:$C$16</c:f>
              <c:numCache>
                <c:formatCode>General</c:formatCode>
                <c:ptCount val="11"/>
                <c:pt idx="0">
                  <c:v>1</c:v>
                </c:pt>
                <c:pt idx="1">
                  <c:v>0.92</c:v>
                </c:pt>
                <c:pt idx="2">
                  <c:v>0.71</c:v>
                </c:pt>
                <c:pt idx="3">
                  <c:v>0.55000000000000004</c:v>
                </c:pt>
                <c:pt idx="4">
                  <c:v>0.5</c:v>
                </c:pt>
                <c:pt idx="5">
                  <c:v>0.42</c:v>
                </c:pt>
                <c:pt idx="6">
                  <c:v>0.33</c:v>
                </c:pt>
                <c:pt idx="7">
                  <c:v>0.31</c:v>
                </c:pt>
                <c:pt idx="8">
                  <c:v>0.3</c:v>
                </c:pt>
                <c:pt idx="9">
                  <c:v>0.25</c:v>
                </c:pt>
                <c:pt idx="10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D-4BE1-9CC4-6DCB1CC98574}"/>
            </c:ext>
          </c:extLst>
        </c:ser>
        <c:ser>
          <c:idx val="1"/>
          <c:order val="1"/>
          <c:tx>
            <c:v>c(EEE) - 30°C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'Kinetik 30°C'!$B$6:$B$16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30°C'!$D$6:$D$16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D-4BE1-9CC4-6DCB1CC98574}"/>
            </c:ext>
          </c:extLst>
        </c:ser>
        <c:ser>
          <c:idx val="2"/>
          <c:order val="2"/>
          <c:tx>
            <c:v>c(NA) - 30°C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'Kinetik 30°C'!$B$6:$B$16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30°C'!$E$6:$E$16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0.34</c:v>
                </c:pt>
                <c:pt idx="5">
                  <c:v>0.33</c:v>
                </c:pt>
                <c:pt idx="6">
                  <c:v>0.37</c:v>
                </c:pt>
                <c:pt idx="7">
                  <c:v>0.41</c:v>
                </c:pt>
                <c:pt idx="8">
                  <c:v>0.44</c:v>
                </c:pt>
                <c:pt idx="9">
                  <c:v>0.47</c:v>
                </c:pt>
                <c:pt idx="1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D-4BE1-9CC4-6DCB1CC98574}"/>
            </c:ext>
          </c:extLst>
        </c:ser>
        <c:ser>
          <c:idx val="3"/>
          <c:order val="3"/>
          <c:tx>
            <c:v>c(EtOH) - 30°C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'Kinetik 30°C'!$B$6:$B$16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30°C'!$F$6:$F$16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D-4BE1-9CC4-6DCB1CC9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39647"/>
        <c:axId val="758445935"/>
      </c:scatterChart>
      <c:valAx>
        <c:axId val="8822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Zeit 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45935"/>
        <c:crosses val="autoZero"/>
        <c:crossBetween val="midCat"/>
      </c:valAx>
      <c:valAx>
        <c:axId val="7584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Konzentration 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3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Konzentrationsverlauf bei</a:t>
            </a:r>
            <a:r>
              <a:rPr lang="en-GB" sz="2000" baseline="0"/>
              <a:t> 20°C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c(NaOH) - 40°C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'Kinetik 40°C'!$B$6:$B$16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40°C'!$C$6:$C$16</c:f>
              <c:numCache>
                <c:formatCode>General</c:formatCode>
                <c:ptCount val="11"/>
                <c:pt idx="0">
                  <c:v>2</c:v>
                </c:pt>
                <c:pt idx="1">
                  <c:v>1.8</c:v>
                </c:pt>
                <c:pt idx="2">
                  <c:v>1.4</c:v>
                </c:pt>
                <c:pt idx="3">
                  <c:v>1.2</c:v>
                </c:pt>
                <c:pt idx="4">
                  <c:v>1</c:v>
                </c:pt>
                <c:pt idx="5">
                  <c:v>0.8</c:v>
                </c:pt>
                <c:pt idx="6">
                  <c:v>0.66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F-4952-A802-54CFF3710D19}"/>
            </c:ext>
          </c:extLst>
        </c:ser>
        <c:ser>
          <c:idx val="1"/>
          <c:order val="1"/>
          <c:tx>
            <c:v>c(EEE) - 40°C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'Kinetik 40°C'!$B$6:$B$16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40°C'!$D$6:$D$16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F-4952-A802-54CFF3710D19}"/>
            </c:ext>
          </c:extLst>
        </c:ser>
        <c:ser>
          <c:idx val="2"/>
          <c:order val="2"/>
          <c:tx>
            <c:v>c(NA) - 40°C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'Kinetik 40°C'!$B$6:$B$16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40°C'!$E$6:$E$16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0.34</c:v>
                </c:pt>
                <c:pt idx="5">
                  <c:v>0.33</c:v>
                </c:pt>
                <c:pt idx="6">
                  <c:v>0.37</c:v>
                </c:pt>
                <c:pt idx="7">
                  <c:v>0.41</c:v>
                </c:pt>
                <c:pt idx="8">
                  <c:v>0.44</c:v>
                </c:pt>
                <c:pt idx="9">
                  <c:v>0.47</c:v>
                </c:pt>
                <c:pt idx="1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F-4952-A802-54CFF3710D19}"/>
            </c:ext>
          </c:extLst>
        </c:ser>
        <c:ser>
          <c:idx val="3"/>
          <c:order val="3"/>
          <c:tx>
            <c:v>c(EtOH) - 40°C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'Kinetik 40°C'!$B$6:$B$16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'Kinetik 40°C'!$F$6:$F$16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EF-4952-A802-54CFF371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39647"/>
        <c:axId val="758445935"/>
      </c:scatterChart>
      <c:valAx>
        <c:axId val="8822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Zeit 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45935"/>
        <c:crosses val="autoZero"/>
        <c:crossBetween val="midCat"/>
      </c:valAx>
      <c:valAx>
        <c:axId val="7584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Konzentration 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3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ln(r) zu ln(c)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'Kinetik 20°C'!$H$7:$H$15</c:f>
              <c:numCache>
                <c:formatCode>General</c:formatCode>
                <c:ptCount val="9"/>
                <c:pt idx="0">
                  <c:v>-2.4651040224918206</c:v>
                </c:pt>
                <c:pt idx="1">
                  <c:v>-2.6592600369327779</c:v>
                </c:pt>
                <c:pt idx="2">
                  <c:v>-2.8134107167600368</c:v>
                </c:pt>
                <c:pt idx="3">
                  <c:v>-2.9957322735539909</c:v>
                </c:pt>
                <c:pt idx="4">
                  <c:v>-3.2188758248682006</c:v>
                </c:pt>
                <c:pt idx="5">
                  <c:v>-3.2188758248682015</c:v>
                </c:pt>
                <c:pt idx="6">
                  <c:v>-3.3524072174927233</c:v>
                </c:pt>
                <c:pt idx="7">
                  <c:v>-3.5065578973199818</c:v>
                </c:pt>
                <c:pt idx="8">
                  <c:v>-3.6888794541139367</c:v>
                </c:pt>
              </c:numCache>
            </c:numRef>
          </c:xVal>
          <c:yVal>
            <c:numRef>
              <c:f>'Kinetik 20°C'!$I$7:$I$15</c:f>
              <c:numCache>
                <c:formatCode>General</c:formatCode>
                <c:ptCount val="9"/>
                <c:pt idx="0">
                  <c:v>-0.19845093872383832</c:v>
                </c:pt>
                <c:pt idx="1">
                  <c:v>-0.37106368139083207</c:v>
                </c:pt>
                <c:pt idx="2">
                  <c:v>-0.54472717544167215</c:v>
                </c:pt>
                <c:pt idx="3">
                  <c:v>-0.69314718055994529</c:v>
                </c:pt>
                <c:pt idx="4">
                  <c:v>-0.84397007029452897</c:v>
                </c:pt>
                <c:pt idx="5">
                  <c:v>-0.9942522733438669</c:v>
                </c:pt>
                <c:pt idx="6">
                  <c:v>-1.1086626245216111</c:v>
                </c:pt>
                <c:pt idx="7">
                  <c:v>-1.2378743560016174</c:v>
                </c:pt>
                <c:pt idx="8">
                  <c:v>-1.3862943611198906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E-4A78-99D3-999EC1C72B54}"/>
            </c:ext>
          </c:extLst>
        </c:ser>
        <c:ser>
          <c:idx val="1"/>
          <c:order val="1"/>
          <c:tx>
            <c:v>30°C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'Kinetik 30°C'!$I$7:$I$15</c:f>
              <c:numCache>
                <c:formatCode>General</c:formatCode>
                <c:ptCount val="9"/>
                <c:pt idx="0">
                  <c:v>-8.3381608939051013E-2</c:v>
                </c:pt>
                <c:pt idx="1">
                  <c:v>-0.34249030894677601</c:v>
                </c:pt>
                <c:pt idx="2">
                  <c:v>-0.59783700075562041</c:v>
                </c:pt>
                <c:pt idx="3">
                  <c:v>-0.69314718055994529</c:v>
                </c:pt>
                <c:pt idx="4">
                  <c:v>-0.86750056770472306</c:v>
                </c:pt>
                <c:pt idx="5">
                  <c:v>-1.1086626245216111</c:v>
                </c:pt>
                <c:pt idx="6">
                  <c:v>-1.1711829815029451</c:v>
                </c:pt>
                <c:pt idx="7">
                  <c:v>-1.2039728043259361</c:v>
                </c:pt>
                <c:pt idx="8">
                  <c:v>-1.3862943611198906</c:v>
                </c:pt>
              </c:numCache>
            </c:numRef>
          </c:xVal>
          <c:yVal>
            <c:numRef>
              <c:f>'Kinetik 30°C'!$H$7:$H$15</c:f>
              <c:numCache>
                <c:formatCode>General</c:formatCode>
                <c:ptCount val="9"/>
                <c:pt idx="0">
                  <c:v>-2.3025850929940455</c:v>
                </c:pt>
                <c:pt idx="1">
                  <c:v>-2.5902671654458267</c:v>
                </c:pt>
                <c:pt idx="2">
                  <c:v>-2.6592600369327779</c:v>
                </c:pt>
                <c:pt idx="3">
                  <c:v>-3.2188758248682006</c:v>
                </c:pt>
                <c:pt idx="4">
                  <c:v>-4.1997050778799281</c:v>
                </c:pt>
                <c:pt idx="5">
                  <c:v>-3.2188758248682015</c:v>
                </c:pt>
                <c:pt idx="6">
                  <c:v>-3.3524072174927233</c:v>
                </c:pt>
                <c:pt idx="7">
                  <c:v>-3.5065578973199818</c:v>
                </c:pt>
                <c:pt idx="8">
                  <c:v>-3.6888794541139367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E-4A78-99D3-999EC1C72B54}"/>
            </c:ext>
          </c:extLst>
        </c:ser>
        <c:ser>
          <c:idx val="2"/>
          <c:order val="2"/>
          <c:tx>
            <c:v>40°C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'Kinetik 40°C'!$I$7:$I$15</c:f>
              <c:numCache>
                <c:formatCode>General</c:formatCode>
                <c:ptCount val="9"/>
                <c:pt idx="0">
                  <c:v>0.58778666490211906</c:v>
                </c:pt>
                <c:pt idx="1">
                  <c:v>0.33647223662121289</c:v>
                </c:pt>
                <c:pt idx="2">
                  <c:v>0.18232155679395459</c:v>
                </c:pt>
                <c:pt idx="3">
                  <c:v>0</c:v>
                </c:pt>
                <c:pt idx="4">
                  <c:v>-0.22314355131420971</c:v>
                </c:pt>
                <c:pt idx="5">
                  <c:v>-0.41551544396166579</c:v>
                </c:pt>
                <c:pt idx="6">
                  <c:v>-0.51082562376599072</c:v>
                </c:pt>
                <c:pt idx="7">
                  <c:v>-0.51082562376599072</c:v>
                </c:pt>
                <c:pt idx="8">
                  <c:v>-0.916290731874155</c:v>
                </c:pt>
              </c:numCache>
            </c:numRef>
          </c:xVal>
          <c:yVal>
            <c:numRef>
              <c:f>'Kinetik 40°C'!$H$7:$H$15</c:f>
              <c:numCache>
                <c:formatCode>General</c:formatCode>
                <c:ptCount val="9"/>
                <c:pt idx="0">
                  <c:v>-2.3025850929940455</c:v>
                </c:pt>
                <c:pt idx="1">
                  <c:v>-2.5902671654458267</c:v>
                </c:pt>
                <c:pt idx="2">
                  <c:v>-2.6592600369327779</c:v>
                </c:pt>
                <c:pt idx="3">
                  <c:v>-3.2188758248682006</c:v>
                </c:pt>
                <c:pt idx="4">
                  <c:v>-4.1997050778799281</c:v>
                </c:pt>
                <c:pt idx="5">
                  <c:v>-3.2188758248682015</c:v>
                </c:pt>
                <c:pt idx="6">
                  <c:v>-3.3524072174927233</c:v>
                </c:pt>
                <c:pt idx="7">
                  <c:v>-3.5065578973199818</c:v>
                </c:pt>
                <c:pt idx="8">
                  <c:v>-3.6888794541139367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E-4A78-99D3-999EC1C72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744543"/>
        <c:axId val="880671791"/>
      </c:scatterChart>
      <c:valAx>
        <c:axId val="103274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ln(c)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71791"/>
        <c:crosses val="autoZero"/>
        <c:crossBetween val="midCat"/>
      </c:valAx>
      <c:valAx>
        <c:axId val="8806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ln(r)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4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Arrehnius Gerade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Arrehnius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'Kinetik Konstanten'!$F$3:$F$5</c:f>
              <c:numCache>
                <c:formatCode>0.0000</c:formatCode>
                <c:ptCount val="3"/>
                <c:pt idx="0">
                  <c:v>-2.285417331006685</c:v>
                </c:pt>
                <c:pt idx="1">
                  <c:v>-2.3324679205904495</c:v>
                </c:pt>
                <c:pt idx="2">
                  <c:v>-3.0369151273969694</c:v>
                </c:pt>
              </c:numCache>
            </c:numRef>
          </c:xVal>
          <c:yVal>
            <c:numRef>
              <c:f>'Kinetik Konstanten'!$F$3:$F$5</c:f>
              <c:numCache>
                <c:formatCode>0.0000</c:formatCode>
                <c:ptCount val="3"/>
                <c:pt idx="0">
                  <c:v>-2.285417331006685</c:v>
                </c:pt>
                <c:pt idx="1">
                  <c:v>-2.3324679205904495</c:v>
                </c:pt>
                <c:pt idx="2">
                  <c:v>-3.0369151273969694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5-4219-A2B4-970DB01B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57727"/>
        <c:axId val="1061573679"/>
      </c:scatterChart>
      <c:valAx>
        <c:axId val="10615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1/T</a:t>
                </a:r>
                <a:r>
                  <a:rPr lang="en-GB" sz="2000" baseline="0"/>
                  <a:t> in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73679"/>
        <c:crosses val="autoZero"/>
        <c:crossBetween val="midCat"/>
      </c:valAx>
      <c:valAx>
        <c:axId val="10615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5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F3F7E3-6570-456E-ABB8-E869C5AC93CE}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91F54C-7B43-4134-B799-8329D137E203}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6EEC61-6007-452B-B5C7-ED1F0B78D869}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DA8A9B-FEDA-4C6A-8BD8-3C5D5B49B743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0B719A-F08A-4AB2-921E-38BDDC4F378D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63C470-9A39-4579-8D29-23D066B1C5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0BCD07-5591-4E71-A612-95B73476F0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FD28C0-DD24-4E02-AEB3-C42CB19114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729F0B-0981-4ADA-83D8-F3E1549F7A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080153-2B4B-4861-A068-4D38774F7D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8A6FB-F2A8-4AAE-A72A-6373960B6303}" name="Tabelle1" displayName="Tabelle1" ref="A5:Q16" totalsRowShown="0">
  <autoFilter ref="A5:Q16" xr:uid="{FFA5FBF7-E578-4A0E-935E-D01E9D578E4C}"/>
  <tableColumns count="17">
    <tableColumn id="1" xr3:uid="{8D98AECD-35BB-445B-BD72-4649BA41DBD7}" name="Nr." dataDxfId="20">
      <calculatedColumnFormula>A5+1</calculatedColumnFormula>
    </tableColumn>
    <tableColumn id="2" xr3:uid="{0CBBED52-13F9-42F5-81AA-5D310F72814C}" name="t in s"/>
    <tableColumn id="3" xr3:uid="{E7CAF303-E04F-40B1-B873-A3D98B19A5E6}" name="c(NaOH) in mmol/l"/>
    <tableColumn id="4" xr3:uid="{F8DC1BBB-482D-49CB-A680-C3C370A935E8}" name="c(EEE) in mmol/l"/>
    <tableColumn id="5" xr3:uid="{9D45897E-66CC-4DAC-B49C-52A88B90AFDA}" name="c(NA) in mmol/l"/>
    <tableColumn id="6" xr3:uid="{1ACA21CA-F882-49A6-882F-D528549E8293}" name="c(EtOH) in mmol/l"/>
    <tableColumn id="7" xr3:uid="{107EF68F-0058-4CB1-9BE1-77C649282BDE}" name="R(NA)=r in mmol/(l*min)"/>
    <tableColumn id="11" xr3:uid="{358384CA-F456-467C-A02E-E7A8BAC3481A}" name="ln(r(NA)" dataDxfId="19">
      <calculatedColumnFormula>LN(#REF!)</calculatedColumnFormula>
    </tableColumn>
    <tableColumn id="9" xr3:uid="{560D2736-B0E8-4142-A379-028493184FC2}" name="ln(c(NaOH))" dataDxfId="18">
      <calculatedColumnFormula>LN(Tabelle1[[#This Row],[c(NaOH) in mmol/l]])</calculatedColumnFormula>
    </tableColumn>
    <tableColumn id="12" xr3:uid="{63DB5D01-C7F1-4229-A441-C30284EC079D}" name="VWZ Sum (real) Verdrängung"/>
    <tableColumn id="13" xr3:uid="{442DCE21-1E28-498D-BFA6-BBD11FBF4319}" name="VWZ Dichte (real) Verdrängung"/>
    <tableColumn id="15" xr3:uid="{530914B7-CCCE-4CD5-ABC3-6A6F2392175A}" name="VWZ Sum (real) impuls">
      <calculatedColumnFormula>Tabelle1[[#This Row],[VWZ dicht (real) impuls]]/SUM(Tabelle1[VWZ dicht (real) impuls])</calculatedColumnFormula>
    </tableColumn>
    <tableColumn id="14" xr3:uid="{1296A691-B803-4359-90E7-3B508768415A}" name="VWZ dicht (real) impuls">
      <calculatedColumnFormula>C6/SUM(Tabelle1[c(NaOH) in mmol/l])*$E$3</calculatedColumnFormula>
    </tableColumn>
    <tableColumn id="16" xr3:uid="{BEBEE4EC-C680-4F91-866A-327FF455CC9D}" name="mittlere Verweilzeit"/>
    <tableColumn id="17" xr3:uid="{B4AF990C-977F-4E5D-A2EB-3A843E4B9826}" name="Umsatzgrad">
      <calculatedColumnFormula>1-EXP(-'Kinetik Konstanten'!$D$3*Tabelle1[[#This Row],[t in s]])</calculatedColumnFormula>
    </tableColumn>
    <tableColumn id="18" xr3:uid="{C2890A33-0D18-4376-BEEB-5CADADC3D0C4}" name="mittlerer Umsatzgrad"/>
    <tableColumn id="19" xr3:uid="{AF6486A5-65BB-4AAD-9E59-7F157B23EE55}" name="Varianz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4C2DE-8E34-4D85-9624-89870A5F38CE}" name="Tabelle13" displayName="Tabelle13" ref="A5:I16" totalsRowShown="0">
  <autoFilter ref="A5:I16" xr:uid="{79239058-2F2A-4ADB-BCA8-DDBEA6B56725}"/>
  <tableColumns count="9">
    <tableColumn id="1" xr3:uid="{D84C7AA6-3E9E-4128-BD23-4C2B9AF5CFCC}" name="Nr." dataDxfId="17">
      <calculatedColumnFormula>A5+1</calculatedColumnFormula>
    </tableColumn>
    <tableColumn id="2" xr3:uid="{2193A2DC-74C0-4CDF-B9A0-84553340D363}" name="t in s"/>
    <tableColumn id="3" xr3:uid="{BB454890-0C85-474B-BC1D-F64C37C85C33}" name="c(NaOH) in mmol/l"/>
    <tableColumn id="4" xr3:uid="{7FEDBCDC-A869-403B-97B1-3BA42B8C8AF7}" name="c(EEE) in mmol/l"/>
    <tableColumn id="5" xr3:uid="{50A522C9-B475-46AC-867A-D3D32A757DDE}" name="c(NA) in mmol/l"/>
    <tableColumn id="6" xr3:uid="{A27347D9-F26F-4E69-A30F-4E7302734015}" name="c(EtOH) in mmol/l"/>
    <tableColumn id="7" xr3:uid="{9373DC46-7B54-443F-9A5A-AA2BAEDE4674}" name="R(NA)=r in mmol/(l*min)"/>
    <tableColumn id="11" xr3:uid="{0796147C-23AD-49AC-A13B-16D684F52B62}" name="ln(r(NA)" dataDxfId="16">
      <calculatedColumnFormula>LN(#REF!)</calculatedColumnFormula>
    </tableColumn>
    <tableColumn id="9" xr3:uid="{53B4DC5A-3A3A-4CF3-8EF1-8F918CEF48A9}" name="ln(c(NaOH))" dataDxfId="15">
      <calculatedColumnFormula>LN(Tabelle13[[#This Row],[c(NaOH) in mmol/l]])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78816D-2503-42C9-8874-A4E96B386A82}" name="Tabelle134" displayName="Tabelle134" ref="A5:I16" totalsRowShown="0">
  <autoFilter ref="A5:I16" xr:uid="{93BEDD77-9BA3-4685-8297-E39B51540DFA}"/>
  <tableColumns count="9">
    <tableColumn id="1" xr3:uid="{6FB1958C-EC5F-410B-BBB6-9D10A858F894}" name="Nr." dataDxfId="14">
      <calculatedColumnFormula>A5+1</calculatedColumnFormula>
    </tableColumn>
    <tableColumn id="2" xr3:uid="{CB711544-AD03-4C87-B298-95CF1528E4E1}" name="t in s"/>
    <tableColumn id="3" xr3:uid="{369A3D4E-8B74-47F5-9D8C-E81528555D28}" name="c(NaOH) in mmol/l"/>
    <tableColumn id="4" xr3:uid="{5511FB0D-9861-4B75-83EA-B6BF0E887191}" name="c(EEE) in mmol/l"/>
    <tableColumn id="5" xr3:uid="{525033F2-6E2A-447D-A201-C8CDAE67A303}" name="c(NA) in mmol/l"/>
    <tableColumn id="6" xr3:uid="{78C2A1F8-19B3-4C7F-ACC4-55EC1165D7A8}" name="c(EtOH) in mmol/l"/>
    <tableColumn id="7" xr3:uid="{41A76ADC-AD11-48F8-A723-A01C288C098F}" name="R(NA)=r in mmol/(l*min)"/>
    <tableColumn id="11" xr3:uid="{0DD862C0-FCD1-4131-B36E-E34AC8C4D954}" name="ln(r(NA)" dataDxfId="13">
      <calculatedColumnFormula>LN(#REF!)</calculatedColumnFormula>
    </tableColumn>
    <tableColumn id="9" xr3:uid="{98EFDD44-A1A9-487B-97CB-CCAFD1840B21}" name="ln(c(NaOH))" dataDxfId="12">
      <calculatedColumnFormula>LN(Tabelle134[[#This Row],[c(NaOH) in mmol/l]])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B1DC5-90A2-4710-B5F3-62A9E30618CB}" name="Tabelle4" displayName="Tabelle4" ref="B2:M5" totalsRowShown="0">
  <autoFilter ref="B2:M5" xr:uid="{E9B8D8C6-930B-4415-B343-F321FB302357}"/>
  <tableColumns count="12">
    <tableColumn id="1" xr3:uid="{8B1D3FB7-4D93-469A-A845-8914ECF11697}" name="Kennwert" dataDxfId="11"/>
    <tableColumn id="6" xr3:uid="{59180CF2-3A3A-451E-B602-A719B0EBD44D}" name="T in °C" dataDxfId="10"/>
    <tableColumn id="2" xr3:uid="{5A6437B9-7700-415E-A418-10819199FA82}" name="k" dataDxfId="9">
      <calculatedColumnFormula>EXP(INTERCEPT('Kinetik 20°C'!H7:H16,'Kinetik 20°C'!I7:I16))</calculatedColumnFormula>
    </tableColumn>
    <tableColumn id="3" xr3:uid="{063A89EE-0530-49E8-907E-86F600D509DE}" name="n" dataDxfId="8">
      <calculatedColumnFormula>1</calculatedColumnFormula>
    </tableColumn>
    <tableColumn id="5" xr3:uid="{5A9D0E0E-FCE4-4996-88F0-0FA4617D06A6}" name="ln(k)" dataDxfId="7">
      <calculatedColumnFormula>LN(Tabelle4[[#This Row],[k]])</calculatedColumnFormula>
    </tableColumn>
    <tableColumn id="7" xr3:uid="{610FA18B-E8BC-491E-A370-97F53C151F01}" name="1/T in 1/K" dataDxfId="6">
      <calculatedColumnFormula>1/(Tabelle4[[#This Row],[T in °C]]+273.15)</calculatedColumnFormula>
    </tableColumn>
    <tableColumn id="8" xr3:uid="{4B310A51-5E9C-4E21-9B06-774CCBF7A85F}" name="Varianz" dataDxfId="5"/>
    <tableColumn id="9" xr3:uid="{90E09AEB-D331-4274-93C5-986644CE0AC7}" name="mittlere VWZ" dataDxfId="4"/>
    <tableColumn id="10" xr3:uid="{66FE0C3B-C506-410C-9F0E-BBC577976353}" name="Norm STANDABW" dataDxfId="3"/>
    <tableColumn id="11" xr3:uid="{295AB987-959A-4CA7-9968-4398154DAE84}" name="Bodensteinzahl Bo" dataDxfId="2"/>
    <tableColumn id="12" xr3:uid="{24CF82DD-1F10-47D4-A0B2-F77BD9354E27}" name="Kesselzahl K" dataDxfId="1"/>
    <tableColumn id="13" xr3:uid="{843F136B-6ADA-4461-A489-BB32DFCF70B8}" name="X analystisc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8FF8-61EB-46FA-8846-8780A710DD34}">
  <dimension ref="A3:Q16"/>
  <sheetViews>
    <sheetView tabSelected="1" zoomScale="70" zoomScaleNormal="70" workbookViewId="0">
      <selection activeCell="D5" sqref="D5:F16"/>
    </sheetView>
  </sheetViews>
  <sheetFormatPr baseColWidth="10" defaultRowHeight="15" x14ac:dyDescent="0.25"/>
  <cols>
    <col min="1" max="1" width="11.42578125" style="1"/>
    <col min="2" max="2" width="14.28515625" bestFit="1" customWidth="1"/>
    <col min="3" max="3" width="19.7109375" customWidth="1"/>
    <col min="4" max="4" width="17.5703125" customWidth="1"/>
    <col min="5" max="5" width="17.28515625" customWidth="1"/>
    <col min="6" max="6" width="19" customWidth="1"/>
    <col min="7" max="7" width="25.5703125" bestFit="1" customWidth="1"/>
    <col min="8" max="8" width="16.28515625" customWidth="1"/>
    <col min="9" max="9" width="13.85546875" bestFit="1" customWidth="1"/>
    <col min="10" max="10" width="37.85546875" bestFit="1" customWidth="1"/>
    <col min="11" max="11" width="40.28515625" bestFit="1" customWidth="1"/>
    <col min="12" max="12" width="30.28515625" bestFit="1" customWidth="1"/>
    <col min="13" max="13" width="25.7109375" bestFit="1" customWidth="1"/>
    <col min="14" max="14" width="21.5703125" bestFit="1" customWidth="1"/>
    <col min="15" max="15" width="18.28515625" bestFit="1" customWidth="1"/>
    <col min="16" max="16" width="28.28515625" bestFit="1" customWidth="1"/>
    <col min="17" max="17" width="14.85546875" bestFit="1" customWidth="1"/>
  </cols>
  <sheetData>
    <row r="3" spans="1:17" ht="15.75" x14ac:dyDescent="0.25">
      <c r="A3" s="4" t="s">
        <v>9</v>
      </c>
      <c r="B3" s="6">
        <v>20</v>
      </c>
      <c r="C3" s="1"/>
      <c r="D3" t="s">
        <v>26</v>
      </c>
      <c r="F3" s="5"/>
      <c r="G3" s="3"/>
      <c r="H3" s="5"/>
      <c r="I3" s="3"/>
    </row>
    <row r="4" spans="1:17" x14ac:dyDescent="0.25">
      <c r="N4">
        <f>SUM(Tabelle1[mittlere Verweilzeit])</f>
        <v>12.547445255474454</v>
      </c>
      <c r="P4">
        <f>SUM(Tabelle1[mittlerer Umsatzgrad])</f>
        <v>0.98251632375650655</v>
      </c>
      <c r="Q4">
        <f>SUM(Q7:Q15)</f>
        <v>69.963503649635044</v>
      </c>
    </row>
    <row r="5" spans="1:17" x14ac:dyDescent="0.25">
      <c r="A5" s="1" t="s">
        <v>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8</v>
      </c>
      <c r="H5" t="s">
        <v>7</v>
      </c>
      <c r="I5" t="s">
        <v>6</v>
      </c>
      <c r="J5" s="8" t="s">
        <v>24</v>
      </c>
      <c r="K5" s="8" t="s">
        <v>25</v>
      </c>
      <c r="L5" s="8" t="s">
        <v>27</v>
      </c>
      <c r="M5" s="8" t="s">
        <v>29</v>
      </c>
      <c r="N5" s="8" t="s">
        <v>28</v>
      </c>
      <c r="O5" s="8" t="s">
        <v>30</v>
      </c>
      <c r="P5" s="8" t="s">
        <v>31</v>
      </c>
      <c r="Q5" s="8" t="s">
        <v>32</v>
      </c>
    </row>
    <row r="6" spans="1:17" x14ac:dyDescent="0.25">
      <c r="A6" s="1">
        <v>0</v>
      </c>
      <c r="B6">
        <v>0</v>
      </c>
      <c r="C6">
        <v>1</v>
      </c>
      <c r="E6">
        <v>0</v>
      </c>
      <c r="H6" s="2"/>
      <c r="J6">
        <f>Tabelle1[[#This Row],[c(NaOH) in mmol/l]]/$C$6</f>
        <v>1</v>
      </c>
      <c r="O6">
        <f>1-EXP(-'Kinetik Konstanten'!$D$3*Tabelle1[[#This Row],[t in s]])</f>
        <v>0</v>
      </c>
    </row>
    <row r="7" spans="1:17" x14ac:dyDescent="0.25">
      <c r="A7" s="1">
        <f t="shared" ref="A7:A16" si="0">A6+1</f>
        <v>1</v>
      </c>
      <c r="B7">
        <v>1</v>
      </c>
      <c r="C7">
        <v>0.82</v>
      </c>
      <c r="E7">
        <v>0.09</v>
      </c>
      <c r="G7">
        <f t="shared" ref="G7:G15" si="1">(E8-E6)/(B8-B6)</f>
        <v>8.5000000000000006E-2</v>
      </c>
      <c r="H7" s="2">
        <f t="shared" ref="H7:H15" si="2">LN(G7)</f>
        <v>-2.4651040224918206</v>
      </c>
      <c r="I7">
        <f>LN(Tabelle1[[#This Row],[c(NaOH) in mmol/l]])</f>
        <v>-0.19845093872383832</v>
      </c>
      <c r="J7" s="10">
        <f>Tabelle1[[#This Row],[c(NaOH) in mmol/l]]/$C$6</f>
        <v>0.82</v>
      </c>
      <c r="K7" s="10">
        <f>(J8-J6)/(B8-B6)</f>
        <v>-0.15500000000000003</v>
      </c>
      <c r="L7" s="10">
        <f>Tabelle1[[#This Row],[VWZ dicht (real) impuls]]/SUM(Tabelle1[VWZ dicht (real) impuls])</f>
        <v>0.19248826291079812</v>
      </c>
      <c r="M7" s="10">
        <f>C7/SUM(Tabelle1[c(NaOH) in mmol/l])*(B8-B6)</f>
        <v>0.29927007299270075</v>
      </c>
      <c r="N7" s="10">
        <f t="shared" ref="N7:N15" si="3">B7*M7*(B8-B6)</f>
        <v>0.59854014598540151</v>
      </c>
      <c r="O7" s="10">
        <f>1-EXP(-'Kinetik Konstanten'!$D$3*Tabelle1[[#This Row],[t in s]])</f>
        <v>9.6728040408283311E-2</v>
      </c>
      <c r="P7" s="10">
        <f>Tabelle1[[#This Row],[Umsatzgrad]]*Tabelle1[[#This Row],[VWZ dicht (real) impuls]]*(B8-B6)</f>
        <v>5.7895615426855708E-2</v>
      </c>
      <c r="Q7" s="10">
        <f>Tabelle1[[#This Row],[VWZ dicht (real) impuls]]*Tabelle1[[#This Row],[t in s]]^2*(B8-B6)</f>
        <v>0.59854014598540151</v>
      </c>
    </row>
    <row r="8" spans="1:17" x14ac:dyDescent="0.25">
      <c r="A8" s="1">
        <f t="shared" si="0"/>
        <v>2</v>
      </c>
      <c r="B8">
        <v>2</v>
      </c>
      <c r="C8">
        <v>0.69</v>
      </c>
      <c r="E8">
        <v>0.17</v>
      </c>
      <c r="G8">
        <f t="shared" si="1"/>
        <v>7.0000000000000007E-2</v>
      </c>
      <c r="H8" s="2">
        <f t="shared" si="2"/>
        <v>-2.6592600369327779</v>
      </c>
      <c r="I8">
        <f>LN(Tabelle1[[#This Row],[c(NaOH) in mmol/l]])</f>
        <v>-0.37106368139083207</v>
      </c>
      <c r="J8" s="10">
        <f>Tabelle1[[#This Row],[c(NaOH) in mmol/l]]/$C$6</f>
        <v>0.69</v>
      </c>
      <c r="K8" s="10">
        <f>(J9-J7)/(B9-B7)</f>
        <v>-0.12</v>
      </c>
      <c r="L8" s="10">
        <f>Tabelle1[[#This Row],[VWZ dicht (real) impuls]]/SUM(Tabelle1[VWZ dicht (real) impuls])</f>
        <v>0.1619718309859155</v>
      </c>
      <c r="M8" s="10">
        <f>C8/SUM(Tabelle1[c(NaOH) in mmol/l])*(B9-B7)</f>
        <v>0.2518248175182482</v>
      </c>
      <c r="N8" s="10">
        <f t="shared" si="3"/>
        <v>1.0072992700729928</v>
      </c>
      <c r="O8" s="10">
        <f>1-EXP(-'Kinetik Konstanten'!$D$3*Tabelle1[[#This Row],[t in s]])</f>
        <v>0.18409976701534003</v>
      </c>
      <c r="P8" s="10">
        <f>Tabelle1[[#This Row],[Umsatzgrad]]*Tabelle1[[#This Row],[VWZ dicht (real) impuls]]*(B9-B7)</f>
        <v>9.272178046758002E-2</v>
      </c>
      <c r="Q8" s="10">
        <f>Tabelle1[[#This Row],[VWZ dicht (real) impuls]]*Tabelle1[[#This Row],[t in s]]^2*(B9-B7)</f>
        <v>2.0145985401459856</v>
      </c>
    </row>
    <row r="9" spans="1:17" x14ac:dyDescent="0.25">
      <c r="A9" s="1">
        <f t="shared" si="0"/>
        <v>3</v>
      </c>
      <c r="B9">
        <v>3</v>
      </c>
      <c r="C9">
        <v>0.57999999999999996</v>
      </c>
      <c r="E9">
        <v>0.23</v>
      </c>
      <c r="G9">
        <f t="shared" si="1"/>
        <v>5.9999999999999984E-2</v>
      </c>
      <c r="H9" s="2">
        <f t="shared" si="2"/>
        <v>-2.8134107167600368</v>
      </c>
      <c r="I9">
        <f>LN(Tabelle1[[#This Row],[c(NaOH) in mmol/l]])</f>
        <v>-0.54472717544167215</v>
      </c>
      <c r="J9" s="10">
        <f>Tabelle1[[#This Row],[c(NaOH) in mmol/l]]/$C$6</f>
        <v>0.57999999999999996</v>
      </c>
      <c r="K9" s="10">
        <f t="shared" ref="K9:K13" si="4">(J10-J8)/(B10-B8)</f>
        <v>-9.4999999999999973E-2</v>
      </c>
      <c r="L9" s="10">
        <f>Tabelle1[[#This Row],[VWZ dicht (real) impuls]]/SUM(Tabelle1[VWZ dicht (real) impuls])</f>
        <v>0.136150234741784</v>
      </c>
      <c r="M9" s="10">
        <f>C9/SUM(Tabelle1[c(NaOH) in mmol/l])*(B10-B8)</f>
        <v>0.21167883211678831</v>
      </c>
      <c r="N9" s="10">
        <f t="shared" si="3"/>
        <v>1.2700729927007299</v>
      </c>
      <c r="O9" s="10">
        <f>1-EXP(-'Kinetik Konstanten'!$D$3*Tabelle1[[#This Row],[t in s]])</f>
        <v>0.26302019772060803</v>
      </c>
      <c r="P9" s="10">
        <f>Tabelle1[[#This Row],[Umsatzgrad]]*Tabelle1[[#This Row],[VWZ dicht (real) impuls]]*(B10-B8)</f>
        <v>0.11135161655325011</v>
      </c>
      <c r="Q9" s="10">
        <f>Tabelle1[[#This Row],[VWZ dicht (real) impuls]]*Tabelle1[[#This Row],[t in s]]^2*(B10-B8)</f>
        <v>3.8102189781021898</v>
      </c>
    </row>
    <row r="10" spans="1:17" x14ac:dyDescent="0.25">
      <c r="A10" s="1">
        <f t="shared" si="0"/>
        <v>4</v>
      </c>
      <c r="B10">
        <v>4</v>
      </c>
      <c r="C10">
        <v>0.5</v>
      </c>
      <c r="E10">
        <v>0.28999999999999998</v>
      </c>
      <c r="G10">
        <f t="shared" si="1"/>
        <v>0.05</v>
      </c>
      <c r="H10" s="2">
        <f t="shared" si="2"/>
        <v>-2.9957322735539909</v>
      </c>
      <c r="I10">
        <f>LN(Tabelle1[[#This Row],[c(NaOH) in mmol/l]])</f>
        <v>-0.69314718055994529</v>
      </c>
      <c r="J10" s="10">
        <f>Tabelle1[[#This Row],[c(NaOH) in mmol/l]]/$C$6</f>
        <v>0.5</v>
      </c>
      <c r="K10" s="10">
        <f t="shared" si="4"/>
        <v>-7.4999999999999983E-2</v>
      </c>
      <c r="L10" s="10">
        <f>Tabelle1[[#This Row],[VWZ dicht (real) impuls]]/SUM(Tabelle1[VWZ dicht (real) impuls])</f>
        <v>0.11737089201877934</v>
      </c>
      <c r="M10" s="10">
        <f>C10/SUM(Tabelle1[c(NaOH) in mmol/l])*(B11-B9)</f>
        <v>0.18248175182481755</v>
      </c>
      <c r="N10" s="10">
        <f t="shared" si="3"/>
        <v>1.4598540145985404</v>
      </c>
      <c r="O10" s="10">
        <f>1-EXP(-'Kinetik Konstanten'!$D$3*Tabelle1[[#This Row],[t in s]])</f>
        <v>0.3343068098155777</v>
      </c>
      <c r="P10" s="10">
        <f>Tabelle1[[#This Row],[Umsatzgrad]]*Tabelle1[[#This Row],[VWZ dicht (real) impuls]]*(B11-B9)</f>
        <v>0.12200978460422546</v>
      </c>
      <c r="Q10" s="10">
        <f>Tabelle1[[#This Row],[VWZ dicht (real) impuls]]*Tabelle1[[#This Row],[t in s]]^2*(B11-B9)</f>
        <v>5.8394160583941614</v>
      </c>
    </row>
    <row r="11" spans="1:17" x14ac:dyDescent="0.25">
      <c r="A11" s="1">
        <f t="shared" si="0"/>
        <v>5</v>
      </c>
      <c r="B11">
        <v>5</v>
      </c>
      <c r="C11">
        <v>0.43</v>
      </c>
      <c r="E11">
        <v>0.33</v>
      </c>
      <c r="G11">
        <f t="shared" si="1"/>
        <v>4.0000000000000008E-2</v>
      </c>
      <c r="H11" s="2">
        <f t="shared" si="2"/>
        <v>-3.2188758248682006</v>
      </c>
      <c r="I11">
        <f>LN(Tabelle1[[#This Row],[c(NaOH) in mmol/l]])</f>
        <v>-0.84397007029452897</v>
      </c>
      <c r="J11" s="10">
        <f>Tabelle1[[#This Row],[c(NaOH) in mmol/l]]/$C$6</f>
        <v>0.43</v>
      </c>
      <c r="K11" s="10">
        <f t="shared" si="4"/>
        <v>-6.5000000000000002E-2</v>
      </c>
      <c r="L11" s="10">
        <f>Tabelle1[[#This Row],[VWZ dicht (real) impuls]]/SUM(Tabelle1[VWZ dicht (real) impuls])</f>
        <v>0.10093896713615022</v>
      </c>
      <c r="M11" s="10">
        <f>C11/SUM(Tabelle1[c(NaOH) in mmol/l])*(B12-B10)</f>
        <v>0.15693430656934307</v>
      </c>
      <c r="N11" s="10">
        <f t="shared" si="3"/>
        <v>1.5693430656934306</v>
      </c>
      <c r="O11" s="10">
        <f>1-EXP(-'Kinetik Konstanten'!$D$3*Tabelle1[[#This Row],[t in s]])</f>
        <v>0.39869800761525553</v>
      </c>
      <c r="P11" s="10">
        <f>Tabelle1[[#This Row],[Umsatzgrad]]*Tabelle1[[#This Row],[VWZ dicht (real) impuls]]*(B12-B10)</f>
        <v>0.12513879071135758</v>
      </c>
      <c r="Q11" s="10">
        <f>Tabelle1[[#This Row],[VWZ dicht (real) impuls]]*Tabelle1[[#This Row],[t in s]]^2*(B12-B10)</f>
        <v>7.8467153284671536</v>
      </c>
    </row>
    <row r="12" spans="1:17" x14ac:dyDescent="0.25">
      <c r="A12" s="1">
        <f t="shared" si="0"/>
        <v>6</v>
      </c>
      <c r="B12">
        <v>6</v>
      </c>
      <c r="C12">
        <v>0.37</v>
      </c>
      <c r="E12">
        <v>0.37</v>
      </c>
      <c r="G12">
        <f t="shared" si="1"/>
        <v>3.999999999999998E-2</v>
      </c>
      <c r="H12" s="2">
        <f t="shared" si="2"/>
        <v>-3.2188758248682015</v>
      </c>
      <c r="I12">
        <f>LN(Tabelle1[[#This Row],[c(NaOH) in mmol/l]])</f>
        <v>-0.9942522733438669</v>
      </c>
      <c r="J12" s="10">
        <f>Tabelle1[[#This Row],[c(NaOH) in mmol/l]]/$C$6</f>
        <v>0.37</v>
      </c>
      <c r="K12" s="10">
        <f t="shared" si="4"/>
        <v>-4.9999999999999989E-2</v>
      </c>
      <c r="L12" s="10">
        <f>Tabelle1[[#This Row],[VWZ dicht (real) impuls]]/SUM(Tabelle1[VWZ dicht (real) impuls])</f>
        <v>8.6854460093896704E-2</v>
      </c>
      <c r="M12" s="10">
        <f>C12/SUM(Tabelle1[c(NaOH) in mmol/l])*(B13-B11)</f>
        <v>0.13503649635036497</v>
      </c>
      <c r="N12" s="10">
        <f t="shared" si="3"/>
        <v>1.6204379562043796</v>
      </c>
      <c r="O12" s="10">
        <f>1-EXP(-'Kinetik Konstanten'!$D$3*Tabelle1[[#This Row],[t in s]])</f>
        <v>0.45686077103222822</v>
      </c>
      <c r="P12" s="10">
        <f>Tabelle1[[#This Row],[Umsatzgrad]]*Tabelle1[[#This Row],[VWZ dicht (real) impuls]]*(B13-B11)</f>
        <v>0.12338575568023682</v>
      </c>
      <c r="Q12" s="10">
        <f>Tabelle1[[#This Row],[VWZ dicht (real) impuls]]*Tabelle1[[#This Row],[t in s]]^2*(B13-B11)</f>
        <v>9.7226277372262775</v>
      </c>
    </row>
    <row r="13" spans="1:17" x14ac:dyDescent="0.25">
      <c r="A13" s="1">
        <f t="shared" si="0"/>
        <v>7</v>
      </c>
      <c r="B13">
        <v>7</v>
      </c>
      <c r="C13">
        <v>0.33</v>
      </c>
      <c r="E13">
        <v>0.41</v>
      </c>
      <c r="G13">
        <f t="shared" si="1"/>
        <v>3.5000000000000003E-2</v>
      </c>
      <c r="H13" s="2">
        <f t="shared" si="2"/>
        <v>-3.3524072174927233</v>
      </c>
      <c r="I13">
        <f>LN(Tabelle1[[#This Row],[c(NaOH) in mmol/l]])</f>
        <v>-1.1086626245216111</v>
      </c>
      <c r="J13" s="10">
        <f>Tabelle1[[#This Row],[c(NaOH) in mmol/l]]/$C$6</f>
        <v>0.33</v>
      </c>
      <c r="K13" s="10">
        <f t="shared" si="4"/>
        <v>-4.0000000000000008E-2</v>
      </c>
      <c r="L13" s="10">
        <f>Tabelle1[[#This Row],[VWZ dicht (real) impuls]]/SUM(Tabelle1[VWZ dicht (real) impuls])</f>
        <v>7.7464788732394374E-2</v>
      </c>
      <c r="M13" s="10">
        <f>C13/SUM(Tabelle1[c(NaOH) in mmol/l])*(B14-B12)</f>
        <v>0.12043795620437958</v>
      </c>
      <c r="N13" s="10">
        <f t="shared" si="3"/>
        <v>1.6861313868613141</v>
      </c>
      <c r="O13" s="10">
        <f>1-EXP(-'Kinetik Konstanten'!$D$3*Tabelle1[[#This Row],[t in s]])</f>
        <v>0.50939756431914673</v>
      </c>
      <c r="P13" s="10">
        <f>Tabelle1[[#This Row],[Umsatzgrad]]*Tabelle1[[#This Row],[VWZ dicht (real) impuls]]*(B14-B12)</f>
        <v>0.12270160308417405</v>
      </c>
      <c r="Q13" s="10">
        <f>Tabelle1[[#This Row],[VWZ dicht (real) impuls]]*Tabelle1[[#This Row],[t in s]]^2*(B14-B12)</f>
        <v>11.802919708029199</v>
      </c>
    </row>
    <row r="14" spans="1:17" x14ac:dyDescent="0.25">
      <c r="A14" s="1">
        <f t="shared" si="0"/>
        <v>8</v>
      </c>
      <c r="B14">
        <v>8</v>
      </c>
      <c r="C14">
        <v>0.28999999999999998</v>
      </c>
      <c r="E14">
        <v>0.44</v>
      </c>
      <c r="G14">
        <f t="shared" si="1"/>
        <v>0.03</v>
      </c>
      <c r="H14" s="2">
        <f t="shared" si="2"/>
        <v>-3.5065578973199818</v>
      </c>
      <c r="I14">
        <f>LN(Tabelle1[[#This Row],[c(NaOH) in mmol/l]])</f>
        <v>-1.2378743560016174</v>
      </c>
      <c r="J14" s="10">
        <f>Tabelle1[[#This Row],[c(NaOH) in mmol/l]]/$C$6</f>
        <v>0.28999999999999998</v>
      </c>
      <c r="K14" s="10">
        <f>(J15-J13)/(B15-B13)</f>
        <v>-4.0000000000000008E-2</v>
      </c>
      <c r="L14" s="10">
        <f>Tabelle1[[#This Row],[VWZ dicht (real) impuls]]/SUM(Tabelle1[VWZ dicht (real) impuls])</f>
        <v>6.8075117370892002E-2</v>
      </c>
      <c r="M14" s="10">
        <f>C14/SUM(Tabelle1[c(NaOH) in mmol/l])*(B15-B13)</f>
        <v>0.10583941605839416</v>
      </c>
      <c r="N14" s="10">
        <f t="shared" si="3"/>
        <v>1.6934306569343065</v>
      </c>
      <c r="O14" s="10">
        <f>1-EXP(-'Kinetik Konstanten'!$D$3*Tabelle1[[#This Row],[t in s]])</f>
        <v>0.55685257654208653</v>
      </c>
      <c r="P14" s="10">
        <f>Tabelle1[[#This Row],[Umsatzgrad]]*Tabelle1[[#This Row],[VWZ dicht (real) impuls]]*(B15-B13)</f>
        <v>0.11787390306365335</v>
      </c>
      <c r="Q14" s="10">
        <f>Tabelle1[[#This Row],[VWZ dicht (real) impuls]]*Tabelle1[[#This Row],[t in s]]^2*(B15-B13)</f>
        <v>13.547445255474452</v>
      </c>
    </row>
    <row r="15" spans="1:17" x14ac:dyDescent="0.25">
      <c r="A15" s="1">
        <f t="shared" si="0"/>
        <v>9</v>
      </c>
      <c r="B15">
        <v>9</v>
      </c>
      <c r="C15">
        <v>0.25</v>
      </c>
      <c r="E15">
        <v>0.47</v>
      </c>
      <c r="G15">
        <f t="shared" si="1"/>
        <v>2.4999999999999994E-2</v>
      </c>
      <c r="H15" s="2">
        <f t="shared" si="2"/>
        <v>-3.6888794541139367</v>
      </c>
      <c r="I15">
        <f>LN(Tabelle1[[#This Row],[c(NaOH) in mmol/l]])</f>
        <v>-1.3862943611198906</v>
      </c>
      <c r="J15" s="10">
        <f>Tabelle1[[#This Row],[c(NaOH) in mmol/l]]/$C$6</f>
        <v>0.25</v>
      </c>
      <c r="K15" s="10">
        <f>(J16-J14)/(B16-B14)</f>
        <v>-3.4999999999999989E-2</v>
      </c>
      <c r="L15" s="10">
        <f>Tabelle1[[#This Row],[VWZ dicht (real) impuls]]/SUM(Tabelle1[VWZ dicht (real) impuls])</f>
        <v>5.8685446009389672E-2</v>
      </c>
      <c r="M15" s="10">
        <f>C15/SUM(Tabelle1[c(NaOH) in mmol/l])*(B16-B14)</f>
        <v>9.1240875912408773E-2</v>
      </c>
      <c r="N15" s="10">
        <f t="shared" si="3"/>
        <v>1.642335766423358</v>
      </c>
      <c r="O15" s="10">
        <f>1-EXP(-'Kinetik Konstanten'!$D$3*Tabelle1[[#This Row],[t in s]])</f>
        <v>0.59971735842515028</v>
      </c>
      <c r="P15" s="10">
        <f>Tabelle1[[#This Row],[Umsatzgrad]]*Tabelle1[[#This Row],[VWZ dicht (real) impuls]]*(B16-B14)</f>
        <v>0.10943747416517342</v>
      </c>
      <c r="Q15" s="10">
        <f>Tabelle1[[#This Row],[VWZ dicht (real) impuls]]*Tabelle1[[#This Row],[t in s]]^2*(B16-B14)</f>
        <v>14.781021897810222</v>
      </c>
    </row>
    <row r="16" spans="1:17" x14ac:dyDescent="0.25">
      <c r="A16" s="1">
        <f t="shared" si="0"/>
        <v>10</v>
      </c>
      <c r="B16">
        <v>10</v>
      </c>
      <c r="C16">
        <v>0.22</v>
      </c>
      <c r="E16">
        <v>0.49</v>
      </c>
      <c r="H16" s="2"/>
      <c r="J16">
        <f>Tabelle1[[#This Row],[c(NaOH) in mmol/l]]/$C$6</f>
        <v>0.22</v>
      </c>
      <c r="O16">
        <f>1-EXP(-'Kinetik Konstanten'!$D$3*Tabelle1[[#This Row],[t in s]])</f>
        <v>0.63843591395413668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93D8-3667-475A-830D-FF90047F2F50}">
  <dimension ref="A3:I16"/>
  <sheetViews>
    <sheetView workbookViewId="0">
      <selection activeCell="F21" sqref="F21"/>
    </sheetView>
  </sheetViews>
  <sheetFormatPr baseColWidth="10" defaultRowHeight="15" x14ac:dyDescent="0.25"/>
  <sheetData>
    <row r="3" spans="1:9" ht="15.75" x14ac:dyDescent="0.25">
      <c r="A3" s="4" t="s">
        <v>11</v>
      </c>
      <c r="B3" s="6">
        <v>30</v>
      </c>
      <c r="F3" s="5"/>
      <c r="G3" s="3"/>
      <c r="H3" s="5"/>
      <c r="I3" s="3"/>
    </row>
    <row r="4" spans="1:9" x14ac:dyDescent="0.25">
      <c r="A4" s="1"/>
    </row>
    <row r="5" spans="1:9" x14ac:dyDescent="0.25">
      <c r="A5" s="1" t="s">
        <v>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8</v>
      </c>
      <c r="H5" t="s">
        <v>7</v>
      </c>
      <c r="I5" t="s">
        <v>6</v>
      </c>
    </row>
    <row r="6" spans="1:9" x14ac:dyDescent="0.25">
      <c r="A6" s="1">
        <v>0</v>
      </c>
      <c r="B6">
        <v>0</v>
      </c>
      <c r="C6">
        <v>1</v>
      </c>
      <c r="E6">
        <v>0</v>
      </c>
      <c r="H6" s="2"/>
    </row>
    <row r="7" spans="1:9" x14ac:dyDescent="0.25">
      <c r="A7" s="1">
        <f t="shared" ref="A7:A16" si="0">A6+1</f>
        <v>1</v>
      </c>
      <c r="B7">
        <v>1</v>
      </c>
      <c r="C7">
        <v>0.92</v>
      </c>
      <c r="E7">
        <v>0.1</v>
      </c>
      <c r="G7">
        <f t="shared" ref="G7:G15" si="1">(E8-E6)/(B8-B6)</f>
        <v>0.1</v>
      </c>
      <c r="H7" s="2">
        <f t="shared" ref="H7:H15" si="2">LN(G7)</f>
        <v>-2.3025850929940455</v>
      </c>
      <c r="I7">
        <f>LN(Tabelle13[[#This Row],[c(NaOH) in mmol/l]])</f>
        <v>-8.3381608939051013E-2</v>
      </c>
    </row>
    <row r="8" spans="1:9" x14ac:dyDescent="0.25">
      <c r="A8" s="1">
        <f t="shared" si="0"/>
        <v>2</v>
      </c>
      <c r="B8">
        <v>2</v>
      </c>
      <c r="C8">
        <v>0.71</v>
      </c>
      <c r="E8">
        <v>0.2</v>
      </c>
      <c r="G8">
        <f t="shared" si="1"/>
        <v>7.4999999999999997E-2</v>
      </c>
      <c r="H8" s="2">
        <f t="shared" si="2"/>
        <v>-2.5902671654458267</v>
      </c>
      <c r="I8">
        <f>LN(Tabelle13[[#This Row],[c(NaOH) in mmol/l]])</f>
        <v>-0.34249030894677601</v>
      </c>
    </row>
    <row r="9" spans="1:9" x14ac:dyDescent="0.25">
      <c r="A9" s="1">
        <f t="shared" si="0"/>
        <v>3</v>
      </c>
      <c r="B9">
        <v>3</v>
      </c>
      <c r="C9">
        <v>0.55000000000000004</v>
      </c>
      <c r="E9">
        <v>0.25</v>
      </c>
      <c r="G9">
        <f t="shared" si="1"/>
        <v>7.0000000000000007E-2</v>
      </c>
      <c r="H9" s="2">
        <f t="shared" si="2"/>
        <v>-2.6592600369327779</v>
      </c>
      <c r="I9">
        <f>LN(Tabelle13[[#This Row],[c(NaOH) in mmol/l]])</f>
        <v>-0.59783700075562041</v>
      </c>
    </row>
    <row r="10" spans="1:9" x14ac:dyDescent="0.25">
      <c r="A10" s="1">
        <f t="shared" si="0"/>
        <v>4</v>
      </c>
      <c r="B10">
        <v>4</v>
      </c>
      <c r="C10">
        <v>0.5</v>
      </c>
      <c r="E10">
        <v>0.34</v>
      </c>
      <c r="G10">
        <f t="shared" si="1"/>
        <v>4.0000000000000008E-2</v>
      </c>
      <c r="H10" s="2">
        <f t="shared" si="2"/>
        <v>-3.2188758248682006</v>
      </c>
      <c r="I10">
        <f>LN(Tabelle13[[#This Row],[c(NaOH) in mmol/l]])</f>
        <v>-0.69314718055994529</v>
      </c>
    </row>
    <row r="11" spans="1:9" x14ac:dyDescent="0.25">
      <c r="A11" s="1">
        <f t="shared" si="0"/>
        <v>5</v>
      </c>
      <c r="B11">
        <v>5</v>
      </c>
      <c r="C11">
        <v>0.42</v>
      </c>
      <c r="E11">
        <v>0.33</v>
      </c>
      <c r="G11">
        <f t="shared" si="1"/>
        <v>1.4999999999999986E-2</v>
      </c>
      <c r="H11" s="2">
        <f t="shared" si="2"/>
        <v>-4.1997050778799281</v>
      </c>
      <c r="I11">
        <f>LN(Tabelle13[[#This Row],[c(NaOH) in mmol/l]])</f>
        <v>-0.86750056770472306</v>
      </c>
    </row>
    <row r="12" spans="1:9" x14ac:dyDescent="0.25">
      <c r="A12" s="1">
        <f t="shared" si="0"/>
        <v>6</v>
      </c>
      <c r="B12">
        <v>6</v>
      </c>
      <c r="C12">
        <v>0.33</v>
      </c>
      <c r="E12">
        <v>0.37</v>
      </c>
      <c r="G12">
        <f t="shared" si="1"/>
        <v>3.999999999999998E-2</v>
      </c>
      <c r="H12" s="2">
        <f t="shared" si="2"/>
        <v>-3.2188758248682015</v>
      </c>
      <c r="I12">
        <f>LN(Tabelle13[[#This Row],[c(NaOH) in mmol/l]])</f>
        <v>-1.1086626245216111</v>
      </c>
    </row>
    <row r="13" spans="1:9" x14ac:dyDescent="0.25">
      <c r="A13" s="1">
        <f t="shared" si="0"/>
        <v>7</v>
      </c>
      <c r="B13">
        <v>7</v>
      </c>
      <c r="C13">
        <v>0.31</v>
      </c>
      <c r="E13">
        <v>0.41</v>
      </c>
      <c r="G13">
        <f t="shared" si="1"/>
        <v>3.5000000000000003E-2</v>
      </c>
      <c r="H13" s="2">
        <f t="shared" si="2"/>
        <v>-3.3524072174927233</v>
      </c>
      <c r="I13">
        <f>LN(Tabelle13[[#This Row],[c(NaOH) in mmol/l]])</f>
        <v>-1.1711829815029451</v>
      </c>
    </row>
    <row r="14" spans="1:9" x14ac:dyDescent="0.25">
      <c r="A14" s="1">
        <f t="shared" si="0"/>
        <v>8</v>
      </c>
      <c r="B14">
        <v>8</v>
      </c>
      <c r="C14">
        <v>0.3</v>
      </c>
      <c r="E14">
        <v>0.44</v>
      </c>
      <c r="G14">
        <f t="shared" si="1"/>
        <v>0.03</v>
      </c>
      <c r="H14" s="2">
        <f t="shared" si="2"/>
        <v>-3.5065578973199818</v>
      </c>
      <c r="I14">
        <f>LN(Tabelle13[[#This Row],[c(NaOH) in mmol/l]])</f>
        <v>-1.2039728043259361</v>
      </c>
    </row>
    <row r="15" spans="1:9" x14ac:dyDescent="0.25">
      <c r="A15" s="1">
        <f t="shared" si="0"/>
        <v>9</v>
      </c>
      <c r="B15">
        <v>9</v>
      </c>
      <c r="C15">
        <v>0.25</v>
      </c>
      <c r="E15">
        <v>0.47</v>
      </c>
      <c r="G15">
        <f t="shared" si="1"/>
        <v>2.4999999999999994E-2</v>
      </c>
      <c r="H15" s="2">
        <f t="shared" si="2"/>
        <v>-3.6888794541139367</v>
      </c>
      <c r="I15">
        <f>LN(Tabelle13[[#This Row],[c(NaOH) in mmol/l]])</f>
        <v>-1.3862943611198906</v>
      </c>
    </row>
    <row r="16" spans="1:9" x14ac:dyDescent="0.25">
      <c r="A16" s="1">
        <f t="shared" si="0"/>
        <v>10</v>
      </c>
      <c r="B16">
        <v>10</v>
      </c>
      <c r="C16">
        <v>0.22</v>
      </c>
      <c r="E16">
        <v>0.49</v>
      </c>
      <c r="H16" s="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E364-FBA4-42F6-846E-69A35A4FFB98}">
  <dimension ref="A3:I16"/>
  <sheetViews>
    <sheetView workbookViewId="0">
      <selection activeCell="E23" sqref="E23"/>
    </sheetView>
  </sheetViews>
  <sheetFormatPr baseColWidth="10" defaultRowHeight="15" x14ac:dyDescent="0.25"/>
  <sheetData>
    <row r="3" spans="1:9" ht="15.75" x14ac:dyDescent="0.25">
      <c r="A3" s="4" t="s">
        <v>12</v>
      </c>
      <c r="B3" s="6">
        <v>40</v>
      </c>
      <c r="D3" s="5"/>
      <c r="E3" s="3"/>
      <c r="F3" s="5"/>
      <c r="G3" s="3"/>
    </row>
    <row r="4" spans="1:9" x14ac:dyDescent="0.25">
      <c r="A4" s="1"/>
    </row>
    <row r="5" spans="1:9" x14ac:dyDescent="0.25">
      <c r="A5" s="1" t="s">
        <v>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8</v>
      </c>
      <c r="H5" t="s">
        <v>7</v>
      </c>
      <c r="I5" t="s">
        <v>6</v>
      </c>
    </row>
    <row r="6" spans="1:9" x14ac:dyDescent="0.25">
      <c r="A6" s="1">
        <v>0</v>
      </c>
      <c r="B6">
        <v>0</v>
      </c>
      <c r="C6">
        <v>2</v>
      </c>
      <c r="E6">
        <v>0</v>
      </c>
      <c r="H6" s="2"/>
    </row>
    <row r="7" spans="1:9" x14ac:dyDescent="0.25">
      <c r="A7" s="1">
        <f t="shared" ref="A7:A16" si="0">A6+1</f>
        <v>1</v>
      </c>
      <c r="B7">
        <v>1</v>
      </c>
      <c r="C7">
        <v>1.8</v>
      </c>
      <c r="E7">
        <v>0.1</v>
      </c>
      <c r="G7">
        <f t="shared" ref="G7:G15" si="1">(E8-E6)/(B8-B6)</f>
        <v>0.1</v>
      </c>
      <c r="H7" s="2">
        <f t="shared" ref="H7:H15" si="2">LN(G7)</f>
        <v>-2.3025850929940455</v>
      </c>
      <c r="I7">
        <f>LN(Tabelle134[[#This Row],[c(NaOH) in mmol/l]])</f>
        <v>0.58778666490211906</v>
      </c>
    </row>
    <row r="8" spans="1:9" x14ac:dyDescent="0.25">
      <c r="A8" s="1">
        <f t="shared" si="0"/>
        <v>2</v>
      </c>
      <c r="B8">
        <v>2</v>
      </c>
      <c r="C8">
        <v>1.4</v>
      </c>
      <c r="E8">
        <v>0.2</v>
      </c>
      <c r="G8">
        <f t="shared" si="1"/>
        <v>7.4999999999999997E-2</v>
      </c>
      <c r="H8" s="2">
        <f t="shared" si="2"/>
        <v>-2.5902671654458267</v>
      </c>
      <c r="I8">
        <f>LN(Tabelle134[[#This Row],[c(NaOH) in mmol/l]])</f>
        <v>0.33647223662121289</v>
      </c>
    </row>
    <row r="9" spans="1:9" x14ac:dyDescent="0.25">
      <c r="A9" s="1">
        <f t="shared" si="0"/>
        <v>3</v>
      </c>
      <c r="B9">
        <v>3</v>
      </c>
      <c r="C9">
        <v>1.2</v>
      </c>
      <c r="E9">
        <v>0.25</v>
      </c>
      <c r="G9">
        <f t="shared" si="1"/>
        <v>7.0000000000000007E-2</v>
      </c>
      <c r="H9" s="2">
        <f t="shared" si="2"/>
        <v>-2.6592600369327779</v>
      </c>
      <c r="I9">
        <f>LN(Tabelle134[[#This Row],[c(NaOH) in mmol/l]])</f>
        <v>0.18232155679395459</v>
      </c>
    </row>
    <row r="10" spans="1:9" x14ac:dyDescent="0.25">
      <c r="A10" s="1">
        <f t="shared" si="0"/>
        <v>4</v>
      </c>
      <c r="B10">
        <v>4</v>
      </c>
      <c r="C10">
        <v>1</v>
      </c>
      <c r="E10">
        <v>0.34</v>
      </c>
      <c r="G10">
        <f t="shared" si="1"/>
        <v>4.0000000000000008E-2</v>
      </c>
      <c r="H10" s="2">
        <f t="shared" si="2"/>
        <v>-3.2188758248682006</v>
      </c>
      <c r="I10">
        <f>LN(Tabelle134[[#This Row],[c(NaOH) in mmol/l]])</f>
        <v>0</v>
      </c>
    </row>
    <row r="11" spans="1:9" x14ac:dyDescent="0.25">
      <c r="A11" s="1">
        <f t="shared" si="0"/>
        <v>5</v>
      </c>
      <c r="B11">
        <v>5</v>
      </c>
      <c r="C11">
        <v>0.8</v>
      </c>
      <c r="E11">
        <v>0.33</v>
      </c>
      <c r="G11">
        <f t="shared" si="1"/>
        <v>1.4999999999999986E-2</v>
      </c>
      <c r="H11" s="2">
        <f t="shared" si="2"/>
        <v>-4.1997050778799281</v>
      </c>
      <c r="I11">
        <f>LN(Tabelle134[[#This Row],[c(NaOH) in mmol/l]])</f>
        <v>-0.22314355131420971</v>
      </c>
    </row>
    <row r="12" spans="1:9" x14ac:dyDescent="0.25">
      <c r="A12" s="1">
        <f t="shared" si="0"/>
        <v>6</v>
      </c>
      <c r="B12">
        <v>6</v>
      </c>
      <c r="C12">
        <v>0.66</v>
      </c>
      <c r="E12">
        <v>0.37</v>
      </c>
      <c r="G12">
        <f t="shared" si="1"/>
        <v>3.999999999999998E-2</v>
      </c>
      <c r="H12" s="2">
        <f t="shared" si="2"/>
        <v>-3.2188758248682015</v>
      </c>
      <c r="I12">
        <f>LN(Tabelle134[[#This Row],[c(NaOH) in mmol/l]])</f>
        <v>-0.41551544396166579</v>
      </c>
    </row>
    <row r="13" spans="1:9" x14ac:dyDescent="0.25">
      <c r="A13" s="1">
        <f t="shared" si="0"/>
        <v>7</v>
      </c>
      <c r="B13">
        <v>7</v>
      </c>
      <c r="C13">
        <v>0.6</v>
      </c>
      <c r="E13">
        <v>0.41</v>
      </c>
      <c r="G13">
        <f t="shared" si="1"/>
        <v>3.5000000000000003E-2</v>
      </c>
      <c r="H13" s="2">
        <f t="shared" si="2"/>
        <v>-3.3524072174927233</v>
      </c>
      <c r="I13">
        <f>LN(Tabelle134[[#This Row],[c(NaOH) in mmol/l]])</f>
        <v>-0.51082562376599072</v>
      </c>
    </row>
    <row r="14" spans="1:9" x14ac:dyDescent="0.25">
      <c r="A14" s="1">
        <f t="shared" si="0"/>
        <v>8</v>
      </c>
      <c r="B14">
        <v>8</v>
      </c>
      <c r="C14">
        <v>0.6</v>
      </c>
      <c r="E14">
        <v>0.44</v>
      </c>
      <c r="G14">
        <f t="shared" si="1"/>
        <v>0.03</v>
      </c>
      <c r="H14" s="2">
        <f t="shared" si="2"/>
        <v>-3.5065578973199818</v>
      </c>
      <c r="I14">
        <f>LN(Tabelle134[[#This Row],[c(NaOH) in mmol/l]])</f>
        <v>-0.51082562376599072</v>
      </c>
    </row>
    <row r="15" spans="1:9" x14ac:dyDescent="0.25">
      <c r="A15" s="1">
        <f t="shared" si="0"/>
        <v>9</v>
      </c>
      <c r="B15">
        <v>9</v>
      </c>
      <c r="C15">
        <v>0.4</v>
      </c>
      <c r="E15">
        <v>0.47</v>
      </c>
      <c r="G15">
        <f t="shared" si="1"/>
        <v>2.4999999999999994E-2</v>
      </c>
      <c r="H15" s="2">
        <f t="shared" si="2"/>
        <v>-3.6888794541139367</v>
      </c>
      <c r="I15">
        <f>LN(Tabelle134[[#This Row],[c(NaOH) in mmol/l]])</f>
        <v>-0.916290731874155</v>
      </c>
    </row>
    <row r="16" spans="1:9" x14ac:dyDescent="0.25">
      <c r="A16" s="1">
        <f t="shared" si="0"/>
        <v>10</v>
      </c>
      <c r="B16">
        <v>10</v>
      </c>
      <c r="C16">
        <v>0.31</v>
      </c>
      <c r="E16">
        <v>0.49</v>
      </c>
      <c r="H16" s="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C263-F324-4BD2-B848-FF5BC7F3E428}">
  <dimension ref="B2:M8"/>
  <sheetViews>
    <sheetView topLeftCell="C1" workbookViewId="0">
      <selection activeCell="M4" sqref="M4"/>
    </sheetView>
  </sheetViews>
  <sheetFormatPr baseColWidth="10" defaultRowHeight="15" x14ac:dyDescent="0.25"/>
  <cols>
    <col min="2" max="2" width="17.5703125" bestFit="1" customWidth="1"/>
    <col min="3" max="3" width="17.5703125" customWidth="1"/>
    <col min="4" max="4" width="14.42578125" customWidth="1"/>
    <col min="5" max="5" width="13.85546875" customWidth="1"/>
    <col min="6" max="6" width="14.42578125" customWidth="1"/>
    <col min="7" max="7" width="13.28515625" customWidth="1"/>
    <col min="8" max="8" width="13.5703125" bestFit="1" customWidth="1"/>
    <col min="9" max="9" width="15.42578125" bestFit="1" customWidth="1"/>
    <col min="10" max="10" width="19.42578125" bestFit="1" customWidth="1"/>
    <col min="11" max="11" width="20.140625" bestFit="1" customWidth="1"/>
    <col min="12" max="12" width="14.7109375" bestFit="1" customWidth="1"/>
    <col min="13" max="13" width="14.5703125" bestFit="1" customWidth="1"/>
  </cols>
  <sheetData>
    <row r="2" spans="2:13" x14ac:dyDescent="0.25">
      <c r="B2" t="s">
        <v>15</v>
      </c>
      <c r="C2" s="1" t="s">
        <v>20</v>
      </c>
      <c r="D2" s="1" t="s">
        <v>10</v>
      </c>
      <c r="E2" s="1" t="s">
        <v>14</v>
      </c>
      <c r="F2" s="1" t="s">
        <v>19</v>
      </c>
      <c r="G2" t="s">
        <v>21</v>
      </c>
      <c r="H2" s="8" t="s">
        <v>32</v>
      </c>
      <c r="I2" s="8" t="s">
        <v>33</v>
      </c>
      <c r="J2" s="8" t="s">
        <v>34</v>
      </c>
      <c r="K2" s="8" t="s">
        <v>36</v>
      </c>
      <c r="L2" s="8" t="s">
        <v>35</v>
      </c>
      <c r="M2" s="8" t="s">
        <v>37</v>
      </c>
    </row>
    <row r="3" spans="2:13" x14ac:dyDescent="0.25">
      <c r="B3" s="1" t="s">
        <v>16</v>
      </c>
      <c r="C3" s="7">
        <v>20</v>
      </c>
      <c r="D3" s="11">
        <f>EXP(INTERCEPT('Kinetik 20°C'!H7:H16,'Kinetik 20°C'!I7:I16))</f>
        <v>0.1017315974960061</v>
      </c>
      <c r="E3" s="11">
        <f>SLOPE('Kinetik 20°C'!H7:H15,'Kinetik 20°C'!I7:I15)</f>
        <v>0.99619223549661984</v>
      </c>
      <c r="F3" s="11">
        <f>LN(Tabelle4[[#This Row],[k]])</f>
        <v>-2.285417331006685</v>
      </c>
      <c r="G3" s="11">
        <f>1/(Tabelle4[[#This Row],[T in °C]]+273.15)</f>
        <v>3.4112229234180458E-3</v>
      </c>
      <c r="H3" s="9">
        <f>'Kinetik 20°C'!Q4</f>
        <v>69.963503649635044</v>
      </c>
      <c r="I3" s="9">
        <f>'Kinetik 20°C'!N4</f>
        <v>12.547445255474454</v>
      </c>
      <c r="J3" s="9">
        <f>Tabelle4[[#This Row],[Varianz]]/Tabelle4[[#This Row],[mittlere VWZ]]^2</f>
        <v>0.44438657566038936</v>
      </c>
      <c r="K3" s="9">
        <f>2/Tabelle4[[#This Row],[Norm STANDABW]]</f>
        <v>4.5005859977382547</v>
      </c>
      <c r="L3" s="9">
        <f>1/Tabelle4[[#This Row],[Norm STANDABW]]</f>
        <v>2.2502929988691274</v>
      </c>
      <c r="M3" s="9">
        <f>1-(1+Tabelle4[[#This Row],[k]]*(Tabelle4[[#This Row],[n]]-1)*'Kinetik 20°C'!C6^(Tabelle4[[#This Row],[n]]-1)*Tabelle4[[#This Row],[mittlere VWZ]])^(1/(1-Tabelle4[[#This Row],[n]]))</f>
        <v>0.72184698040975026</v>
      </c>
    </row>
    <row r="4" spans="2:13" x14ac:dyDescent="0.25">
      <c r="B4" s="1" t="s">
        <v>18</v>
      </c>
      <c r="C4" s="7">
        <v>30</v>
      </c>
      <c r="D4" s="11">
        <f>EXP(INTERCEPT('Kinetik 30°C'!H7:H15,'Kinetik 30°C'!I7:I15))</f>
        <v>9.7055924964629739E-2</v>
      </c>
      <c r="E4" s="11">
        <f>SLOPE('Kinetik 30°C'!H7:H15,'Kinetik 30°C'!I7:I15)</f>
        <v>1.0390011483216168</v>
      </c>
      <c r="F4" s="11">
        <f>LN(Tabelle4[[#This Row],[k]])</f>
        <v>-2.3324679205904495</v>
      </c>
      <c r="G4" s="11">
        <f>1/(Tabelle4[[#This Row],[T in °C]]+273.15)</f>
        <v>3.298697014679202E-3</v>
      </c>
      <c r="H4" s="9"/>
      <c r="I4" s="9"/>
      <c r="J4" s="9"/>
      <c r="K4" s="9"/>
      <c r="L4" s="9"/>
      <c r="M4" s="9"/>
    </row>
    <row r="5" spans="2:13" x14ac:dyDescent="0.25">
      <c r="B5" s="1" t="s">
        <v>17</v>
      </c>
      <c r="C5" s="7">
        <v>40</v>
      </c>
      <c r="D5" s="11">
        <f>EXP(INTERCEPT('Kinetik 40°C'!H7:H15,'Kinetik 40°C'!I7:I15))</f>
        <v>4.7982681877400207E-2</v>
      </c>
      <c r="E5" s="11">
        <f>SLOPE('Kinetik 40°C'!H7:H15,'Kinetik 40°C'!I7:I15)</f>
        <v>0.95588968296702514</v>
      </c>
      <c r="F5" s="11">
        <f>LN(Tabelle4[[#This Row],[k]])</f>
        <v>-3.0369151273969694</v>
      </c>
      <c r="G5" s="11">
        <f>1/(Tabelle4[[#This Row],[T in °C]]+273.15)</f>
        <v>3.1933578157432542E-3</v>
      </c>
      <c r="H5" s="9"/>
      <c r="I5" s="9"/>
      <c r="J5" s="9"/>
      <c r="K5" s="9"/>
      <c r="L5" s="9"/>
      <c r="M5" s="9"/>
    </row>
    <row r="7" spans="2:13" x14ac:dyDescent="0.25">
      <c r="B7" s="5" t="s">
        <v>13</v>
      </c>
      <c r="C7" s="5">
        <f>EXP(INTERCEPT(Tabelle4[ln(k)],Tabelle4[1/T in 1/K]))</f>
        <v>9.9087136931641839E-7</v>
      </c>
      <c r="E7" s="5" t="s">
        <v>22</v>
      </c>
      <c r="F7">
        <v>8.3140000000000001</v>
      </c>
    </row>
    <row r="8" spans="2:13" x14ac:dyDescent="0.25">
      <c r="B8" s="5" t="s">
        <v>23</v>
      </c>
      <c r="C8" s="5">
        <f>SLOPE(Tabelle4[ln(k)],Tabelle4[1/T in 1/K])*(-1)*F7/1000</f>
        <v>-28.391931730228453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5</vt:i4>
      </vt:variant>
    </vt:vector>
  </HeadingPairs>
  <TitlesOfParts>
    <vt:vector size="9" baseType="lpstr">
      <vt:lpstr>Kinetik 20°C</vt:lpstr>
      <vt:lpstr>Kinetik 30°C</vt:lpstr>
      <vt:lpstr>Kinetik 40°C</vt:lpstr>
      <vt:lpstr>Kinetik Konstanten</vt:lpstr>
      <vt:lpstr>Dia 20°C</vt:lpstr>
      <vt:lpstr>Dia 30°C</vt:lpstr>
      <vt:lpstr>Dia 40°C</vt:lpstr>
      <vt:lpstr>Dia ln(r)_ln(c)</vt:lpstr>
      <vt:lpstr>Dia Arrhenius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2020-05-14T09:06:32Z</dcterms:created>
  <dcterms:modified xsi:type="dcterms:W3CDTF">2020-05-15T09:26:45Z</dcterms:modified>
</cp:coreProperties>
</file>