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at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<sst xmlns="http://schemas.openxmlformats.org/spreadsheetml/2006/main" count="68" uniqueCount="28">
  <si>
    <t xml:space="preserve">Wasser-Standard</t>
  </si>
  <si>
    <t xml:space="preserve">Titerbestimmung</t>
  </si>
  <si>
    <t xml:space="preserve">Probengröße</t>
  </si>
  <si>
    <t xml:space="preserve">Konzentration PC</t>
  </si>
  <si>
    <t xml:space="preserve">Korrekturfaktor PC</t>
  </si>
  <si>
    <t xml:space="preserve">Drift</t>
  </si>
  <si>
    <t xml:space="preserve">Drift v</t>
  </si>
  <si>
    <t xml:space="preserve">VEQ</t>
  </si>
  <si>
    <t xml:space="preserve">Zeit</t>
  </si>
  <si>
    <t xml:space="preserve">Korrekturkonzentration manuell</t>
  </si>
  <si>
    <t xml:space="preserve">Korrekturfaktor manuell</t>
  </si>
  <si>
    <t xml:space="preserve">Mittelwert</t>
  </si>
  <si>
    <t xml:space="preserve">Standardabweichung</t>
  </si>
  <si>
    <t xml:space="preserve">rel. Standardabweichung</t>
  </si>
  <si>
    <t xml:space="preserve">Isopropanol</t>
  </si>
  <si>
    <t xml:space="preserve">Massenprozent H20</t>
  </si>
  <si>
    <t xml:space="preserve">Masse H20</t>
  </si>
  <si>
    <t xml:space="preserve">Massenprozent H2O manuell</t>
  </si>
  <si>
    <t xml:space="preserve">Masse H2O manuell</t>
  </si>
  <si>
    <t xml:space="preserve">Kann nicht sein</t>
  </si>
  <si>
    <t xml:space="preserve">Standardabweiung</t>
  </si>
  <si>
    <t xml:space="preserve">rel. Standabweichung</t>
  </si>
  <si>
    <t xml:space="preserve">liegt über 50 %</t>
  </si>
  <si>
    <t xml:space="preserve">Ethanol</t>
  </si>
  <si>
    <t xml:space="preserve">Konzentration H2O</t>
  </si>
  <si>
    <t xml:space="preserve">sind die selben Werte wie für die Kalibrierung ??? Warum Konzentrationen?</t>
  </si>
  <si>
    <t xml:space="preserve">2-Propanol</t>
  </si>
  <si>
    <t xml:space="preserve">Polyamid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</si>
</sst>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0.000&quot; g&quot;"/>
    <numFmt numFmtId="166" formatCode="0.00000&quot; mg/mL&quot;"/>
    <numFmt numFmtId="167" formatCode="0.000000"/>
    <numFmt numFmtId="168" formatCode="0.0&quot; micro g/min&quot;"/>
    <numFmt numFmtId="169" formatCode="0.0&quot; micro L&quot;"/>
    <numFmt numFmtId="170" formatCode="0.000000&quot; mL&quot;"/>
    <numFmt numFmtId="171" formatCode="0.00&quot; min&quot;"/>
    <numFmt numFmtId="172" formatCode="0.000"/>
    <numFmt numFmtId="173" formatCode="0%"/>
    <numFmt numFmtId="174" formatCode="0.000%"/>
    <numFmt numFmtId="175" formatCode="0.0000&quot; g&quot;"/>
    <numFmt numFmtId="176" formatCode="0.0000%"/>
    <numFmt numFmtId="177" formatCode="0.0000&quot; mg&quot;"/>
    <numFmt numFmtId="178" formatCode="0.00000000&quot; mg&quot;"/>
    <numFmt numFmtId="179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1" displayName="Tabelle1" ref="A3:I6" headerRowCount="1" totalsRowCount="0" totalsRowShown="0">
  <autoFilter ref="A3:I6"/>
  <tableColumns count="9">
    <tableColumn id="1" name="Probengröße"/>
    <tableColumn id="2" name="Konzentration PC"/>
    <tableColumn id="3" name="Korrekturfaktor PC"/>
    <tableColumn id="4" name="Drift"/>
    <tableColumn id="5" name="Drift v"/>
    <tableColumn id="6" name="VEQ"/>
    <tableColumn id="7" name="Zeit"/>
    <tableColumn id="8" name="Korrekturkonzentration manuell"/>
    <tableColumn id="9" name="Korrekturfaktor manuell"/>
  </tableColumns>
</table>
</file>

<file path=xl/tables/table2.xml><?xml version="1.0" encoding="utf-8"?>
<table xmlns="http://schemas.openxmlformats.org/spreadsheetml/2006/main" id="2" name="Tabelle13" displayName="Tabelle13" ref="A16:I18" headerRowCount="1" totalsRowCount="0" totalsRowShown="0">
  <autoFilter ref="A16:I18"/>
  <tableColumns count="9">
    <tableColumn id="1" name="Probengröße"/>
    <tableColumn id="2" name="Massenprozent H20"/>
    <tableColumn id="3" name="Masse H20"/>
    <tableColumn id="4" name="Drift"/>
    <tableColumn id="5" name="Drift v"/>
    <tableColumn id="6" name="VEQ"/>
    <tableColumn id="7" name="Zeit"/>
    <tableColumn id="8" name="Massenprozent H2O manuell"/>
    <tableColumn id="9" name="Masse H2O manuell"/>
  </tableColumns>
</table>
</file>

<file path=xl/tables/table3.xml><?xml version="1.0" encoding="utf-8"?>
<table xmlns="http://schemas.openxmlformats.org/spreadsheetml/2006/main" id="3" name="Tabelle134" displayName="Tabelle134" ref="A29:B32" headerRowCount="1" totalsRowCount="0" totalsRowShown="0">
  <autoFilter ref="A29:B32"/>
  <tableColumns count="2">
    <tableColumn id="1" name="Probengröße"/>
    <tableColumn id="2" name="Konzentration H2O"/>
  </tableColumns>
</table>
</file>

<file path=xl/tables/table4.xml><?xml version="1.0" encoding="utf-8"?>
<table xmlns="http://schemas.openxmlformats.org/spreadsheetml/2006/main" id="4" name="Tabelle4" displayName="Tabelle4" ref="A38:C42" headerRowCount="1" totalsRowCount="0" totalsRowShown="0">
  <autoFilter ref="A38:C42"/>
  <tableColumns count="3">
    <tableColumn id="1" name="Probengröße"/>
    <tableColumn id="2" name="Massenprozent H20"/>
    <tableColumn id="3" name="Masse H20"/>
  </tableColumns>
</table>
</file>

<file path=xl/tables/table5.xml><?xml version="1.0" encoding="utf-8"?>
<table xmlns="http://schemas.openxmlformats.org/spreadsheetml/2006/main" id="5" name="Tabelle46" displayName="Tabelle46" ref="A46:C48" headerRowCount="1" totalsRowCount="0" totalsRowShown="0">
  <autoFilter ref="A46:C48"/>
  <tableColumns count="3">
    <tableColumn id="1" name="Probengröße"/>
    <tableColumn id="2" name="Massenprozent H20"/>
    <tableColumn id="3" name="Masse H20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"/>
  <sheetViews>
    <sheetView windowProtection="false" showFormulas="false" showGridLines="true" showRowColHeaders="true" showZeros="true" rightToLeft="false" tabSelected="true" showOutlineSymbols="true" defaultGridColor="true" view="normal" topLeftCell="A23" colorId="64" zoomScale="90" zoomScaleNormal="90" zoomScalePageLayoutView="100" workbookViewId="0">
      <selection pane="topLeft" activeCell="A27" activeCellId="0" sqref="A27:E34"/>
    </sheetView>
  </sheetViews>
  <sheetFormatPr defaultRowHeight="15"/>
  <cols>
    <col collapsed="false" hidden="false" max="1" min="1" style="0" width="20.25"/>
    <col collapsed="false" hidden="false" max="3" min="2" style="0" width="22.9489795918367"/>
    <col collapsed="false" hidden="false" max="6" min="4" style="0" width="19.9795918367347"/>
    <col collapsed="false" hidden="false" max="8" min="7" style="0" width="31.8571428571429"/>
    <col collapsed="false" hidden="false" max="9" min="9" style="0" width="24.7040816326531"/>
    <col collapsed="false" hidden="false" max="1025" min="10" style="0" width="10.530612244898"/>
  </cols>
  <sheetData>
    <row r="1" customFormat="false" ht="18.75" hidden="false" customHeight="false" outlineLevel="0" collapsed="false">
      <c r="A1" s="1" t="s">
        <v>0</v>
      </c>
      <c r="B1" s="1" t="s">
        <v>1</v>
      </c>
    </row>
    <row r="3" customFormat="false" ht="15" hidden="false" customHeight="fals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customFormat="false" ht="15" hidden="false" customHeight="false" outlineLevel="0" collapsed="false">
      <c r="A4" s="3" t="n">
        <v>0.005</v>
      </c>
      <c r="B4" s="4" t="n">
        <v>4.8104</v>
      </c>
      <c r="C4" s="5" t="n">
        <f aca="false">1-(5-Tabelle1[[#This Row],[Konzentration PC]])/5</f>
        <v>0.96208</v>
      </c>
      <c r="D4" s="6" t="n">
        <v>4.3</v>
      </c>
      <c r="E4" s="7" t="n">
        <v>0.7</v>
      </c>
      <c r="F4" s="8" t="n">
        <v>1.0405</v>
      </c>
      <c r="G4" s="9" t="n">
        <v>1.55</v>
      </c>
      <c r="H4" s="4" t="n">
        <f aca="false">(Tabelle1[[#This Row],[Probengröße]]+Tabelle1[[#This Row],[Drift]]*10^-6*Tabelle1[[#This Row],[Zeit]])/(Tabelle1[[#This Row],[VEQ]]+Tabelle1[[#This Row],[Drift v]]*Tabelle1[[#This Row],[Zeit]]/1000)*1000</f>
        <v>4.80677525117969</v>
      </c>
      <c r="I4" s="0" t="n">
        <f aca="false">1-(5-Tabelle1[[#This Row],[Korrekturkonzentration manuell]])/5</f>
        <v>0.961355050235939</v>
      </c>
    </row>
    <row r="5" customFormat="false" ht="15" hidden="false" customHeight="false" outlineLevel="0" collapsed="false">
      <c r="A5" s="3" t="n">
        <v>0.005</v>
      </c>
      <c r="B5" s="4" t="n">
        <v>5.189543</v>
      </c>
      <c r="C5" s="5" t="n">
        <f aca="false">1-(5-Tabelle1[[#This Row],[Konzentration PC]])/5</f>
        <v>1.0379086</v>
      </c>
      <c r="D5" s="6" t="n">
        <v>1.1</v>
      </c>
      <c r="E5" s="7" t="n">
        <v>0.2</v>
      </c>
      <c r="F5" s="8" t="n">
        <v>0.96375</v>
      </c>
      <c r="G5" s="9" t="n">
        <v>1.37</v>
      </c>
      <c r="H5" s="4" t="n">
        <f aca="false">(Tabelle1[[#This Row],[Probengröße]]+Tabelle1[[#This Row],[Drift]]*10^-6*Tabelle1[[#This Row],[Zeit]])/(Tabelle1[[#This Row],[VEQ]]+Tabelle1[[#This Row],[Drift v]]*Tabelle1[[#This Row],[Zeit]]/1000)*1000</f>
        <v>5.18815610399741</v>
      </c>
      <c r="I5" s="0" t="n">
        <f aca="false">1-(5-Tabelle1[[#This Row],[Korrekturkonzentration manuell]])/5</f>
        <v>1.03763122079948</v>
      </c>
    </row>
    <row r="6" customFormat="false" ht="15" hidden="false" customHeight="false" outlineLevel="0" collapsed="false">
      <c r="A6" s="3" t="n">
        <v>0.005</v>
      </c>
      <c r="B6" s="4" t="n">
        <v>5.682012</v>
      </c>
      <c r="C6" s="5" t="n">
        <f aca="false">1-(5-Tabelle1[[#This Row],[Konzentration PC]])/5</f>
        <v>1.1364024</v>
      </c>
      <c r="D6" s="6"/>
      <c r="E6" s="5"/>
    </row>
    <row r="8" customFormat="false" ht="15" hidden="false" customHeight="false" outlineLevel="0" collapsed="false">
      <c r="B8" s="0" t="s">
        <v>11</v>
      </c>
      <c r="C8" s="0" t="s">
        <v>11</v>
      </c>
      <c r="H8" s="0" t="s">
        <v>11</v>
      </c>
      <c r="I8" s="0" t="s">
        <v>11</v>
      </c>
    </row>
    <row r="9" customFormat="false" ht="15" hidden="false" customHeight="false" outlineLevel="0" collapsed="false">
      <c r="B9" s="10" t="n">
        <f aca="false">AVERAGE(Tabelle1[Konzentration PC])</f>
        <v>5.22731833333333</v>
      </c>
      <c r="C9" s="11" t="n">
        <f aca="false">AVERAGE(Tabelle1[Korrekturfaktor PC])</f>
        <v>1.04546366666667</v>
      </c>
      <c r="H9" s="10" t="n">
        <f aca="false">AVERAGE(H4:H5)</f>
        <v>4.99746567758855</v>
      </c>
      <c r="I9" s="11" t="n">
        <f aca="false">AVERAGE(I4:I5)</f>
        <v>0.999493135517711</v>
      </c>
    </row>
    <row r="10" customFormat="false" ht="15" hidden="false" customHeight="false" outlineLevel="0" collapsed="false">
      <c r="B10" s="0" t="s">
        <v>12</v>
      </c>
      <c r="C10" s="0" t="s">
        <v>12</v>
      </c>
      <c r="H10" s="0" t="s">
        <v>12</v>
      </c>
      <c r="I10" s="0" t="s">
        <v>12</v>
      </c>
    </row>
    <row r="11" customFormat="false" ht="15" hidden="false" customHeight="false" outlineLevel="0" collapsed="false">
      <c r="B11" s="10" t="n">
        <f aca="false">_xlfn.STDEV.S(Tabelle1[Konzentration PC])</f>
        <v>0.437032151554475</v>
      </c>
      <c r="C11" s="0" t="n">
        <f aca="false">_xlfn.STDEV.S(Tabelle1[Korrekturfaktor PC])</f>
        <v>0.0874064303108951</v>
      </c>
      <c r="H11" s="10" t="n">
        <f aca="false">_xlfn.STDEV.S(H4:H5)</f>
        <v>0.269676987242118</v>
      </c>
      <c r="I11" s="0" t="n">
        <f aca="false">_xlfn.STDEV.S(I4:I5)</f>
        <v>0.0539353974484237</v>
      </c>
    </row>
    <row r="12" customFormat="false" ht="15" hidden="false" customHeight="false" outlineLevel="0" collapsed="false">
      <c r="B12" s="0" t="s">
        <v>13</v>
      </c>
      <c r="C12" s="0" t="s">
        <v>13</v>
      </c>
      <c r="H12" s="0" t="s">
        <v>13</v>
      </c>
      <c r="I12" s="0" t="s">
        <v>13</v>
      </c>
    </row>
    <row r="13" customFormat="false" ht="15" hidden="false" customHeight="false" outlineLevel="0" collapsed="false">
      <c r="B13" s="12" t="n">
        <f aca="false">B11/AVERAGE(Tabelle1[Konzentration PC])</f>
        <v>0.0836054213051514</v>
      </c>
      <c r="C13" s="12" t="n">
        <f aca="false">C11/AVERAGE(Tabelle1[Korrekturfaktor PC])</f>
        <v>0.0836054213051514</v>
      </c>
      <c r="D13" s="12"/>
      <c r="E13" s="12"/>
      <c r="F13" s="12"/>
      <c r="H13" s="12" t="n">
        <f aca="false">H11/AVERAGE(H4:H5)</f>
        <v>0.0539627492493848</v>
      </c>
      <c r="I13" s="12" t="n">
        <f aca="false">I11/AVERAGE(Tabelle1[Korrekturfaktor manuell])</f>
        <v>0.0539627492493849</v>
      </c>
    </row>
    <row r="14" customFormat="false" ht="21" hidden="false" customHeight="false" outlineLevel="0" collapsed="false">
      <c r="A14" s="13" t="s">
        <v>14</v>
      </c>
    </row>
    <row r="16" customFormat="false" ht="15" hidden="false" customHeight="false" outlineLevel="0" collapsed="false">
      <c r="A16" s="2" t="s">
        <v>2</v>
      </c>
      <c r="B16" s="2" t="s">
        <v>15</v>
      </c>
      <c r="C16" s="2" t="s">
        <v>16</v>
      </c>
      <c r="D16" s="2" t="s">
        <v>5</v>
      </c>
      <c r="E16" s="2" t="s">
        <v>6</v>
      </c>
      <c r="F16" s="2" t="s">
        <v>7</v>
      </c>
      <c r="G16" s="2" t="s">
        <v>8</v>
      </c>
      <c r="H16" s="2" t="s">
        <v>17</v>
      </c>
      <c r="I16" s="2" t="s">
        <v>18</v>
      </c>
    </row>
    <row r="17" customFormat="false" ht="15" hidden="false" customHeight="false" outlineLevel="0" collapsed="false">
      <c r="A17" s="14" t="n">
        <v>0.4037</v>
      </c>
      <c r="B17" s="15" t="n">
        <v>3.6E-005</v>
      </c>
      <c r="C17" s="16" t="n">
        <f aca="false">Tabelle13[[#This Row],[Probengröße]]*Tabelle13[[#This Row],[Massenprozent H20]]*1000</f>
        <v>0.0145332</v>
      </c>
      <c r="D17" s="6" t="n">
        <v>28.6</v>
      </c>
      <c r="E17" s="7" t="n">
        <v>5.5</v>
      </c>
      <c r="F17" s="8" t="n">
        <v>0.00925</v>
      </c>
      <c r="G17" s="9" t="n">
        <v>1.18</v>
      </c>
      <c r="H17" s="17" t="n">
        <f aca="false">((Tabelle13[[#This Row],[VEQ]]+Tabelle13[[#This Row],[Zeit]]*Tabelle13[[#This Row],[Drift v]]/1000)*$B$9+Tabelle13[[#This Row],[Drift]]*Tabelle13[[#This Row],[Zeit]]/1000)/(1000*Tabelle13[[#This Row],[Probengröße]])</f>
        <v>0.000287406466600611</v>
      </c>
      <c r="I17" s="18" t="n">
        <f aca="false">Tabelle13[[#This Row],[Probengröße]]*Tabelle13[[#This Row],[Massenprozent H2O manuell]]*1000</f>
        <v>0.116025990566667</v>
      </c>
    </row>
    <row r="18" customFormat="false" ht="15" hidden="false" customHeight="false" outlineLevel="0" collapsed="false">
      <c r="A18" s="14" t="n">
        <v>0.3716</v>
      </c>
      <c r="B18" s="19" t="n">
        <v>0.003553</v>
      </c>
      <c r="C18" s="16" t="n">
        <f aca="false">Tabelle13[[#This Row],[Probengröße]]*Tabelle13[[#This Row],[Massenprozent H20]]*1000</f>
        <v>1.3202948</v>
      </c>
      <c r="D18" s="6"/>
      <c r="E18" s="7"/>
      <c r="F18" s="8"/>
      <c r="G18" s="9"/>
      <c r="H18" s="20" t="s">
        <v>19</v>
      </c>
      <c r="I18" s="16"/>
    </row>
    <row r="19" customFormat="false" ht="15" hidden="false" customHeight="false" outlineLevel="0" collapsed="false">
      <c r="G19" s="21"/>
    </row>
    <row r="20" customFormat="false" ht="15" hidden="false" customHeight="false" outlineLevel="0" collapsed="false">
      <c r="B20" s="0" t="s">
        <v>11</v>
      </c>
      <c r="C20" s="0" t="s">
        <v>11</v>
      </c>
    </row>
    <row r="21" customFormat="false" ht="15" hidden="false" customHeight="false" outlineLevel="0" collapsed="false">
      <c r="B21" s="19" t="n">
        <f aca="false">AVERAGE(Tabelle13[Massenprozent H20])</f>
        <v>0.0017945</v>
      </c>
      <c r="C21" s="22" t="n">
        <f aca="false">AVERAGE(Tabelle13[Masse H20])</f>
        <v>0.667414</v>
      </c>
    </row>
    <row r="22" customFormat="false" ht="15" hidden="false" customHeight="false" outlineLevel="0" collapsed="false">
      <c r="B22" s="0" t="s">
        <v>20</v>
      </c>
      <c r="C22" s="0" t="s">
        <v>20</v>
      </c>
    </row>
    <row r="23" customFormat="false" ht="15" hidden="false" customHeight="false" outlineLevel="0" collapsed="false">
      <c r="B23" s="19" t="n">
        <f aca="false">_xlfn.STDEV.S(Tabelle13[Massenprozent H20])</f>
        <v>0.00248689454943309</v>
      </c>
      <c r="C23" s="22" t="n">
        <f aca="false">_xlfn.STDEV.S(Tabelle13[Masse H20])</f>
        <v>0.923312881972996</v>
      </c>
    </row>
    <row r="24" customFormat="false" ht="15" hidden="false" customHeight="false" outlineLevel="0" collapsed="false">
      <c r="B24" s="0" t="s">
        <v>21</v>
      </c>
      <c r="C24" s="0" t="s">
        <v>21</v>
      </c>
    </row>
    <row r="25" customFormat="false" ht="15" hidden="false" customHeight="false" outlineLevel="0" collapsed="false">
      <c r="B25" s="23" t="n">
        <f aca="false">B23/B21</f>
        <v>1.38584260208029</v>
      </c>
      <c r="C25" s="24" t="n">
        <f aca="false">C23/C21</f>
        <v>1.38341851080888</v>
      </c>
    </row>
    <row r="26" customFormat="false" ht="15" hidden="false" customHeight="false" outlineLevel="0" collapsed="false">
      <c r="B26" s="25" t="s">
        <v>22</v>
      </c>
    </row>
    <row r="27" customFormat="false" ht="19.7" hidden="false" customHeight="false" outlineLevel="0" collapsed="false">
      <c r="A27" s="26" t="s">
        <v>23</v>
      </c>
      <c r="B27" s="27"/>
      <c r="C27" s="27"/>
      <c r="D27" s="27"/>
      <c r="E27" s="27"/>
    </row>
    <row r="28" customFormat="false" ht="13.8" hidden="false" customHeight="false" outlineLevel="0" collapsed="false">
      <c r="A28" s="27"/>
      <c r="B28" s="27"/>
      <c r="C28" s="27"/>
      <c r="D28" s="27"/>
      <c r="E28" s="27"/>
    </row>
    <row r="29" customFormat="false" ht="13.8" hidden="false" customHeight="false" outlineLevel="0" collapsed="false">
      <c r="A29" s="28" t="s">
        <v>2</v>
      </c>
      <c r="B29" s="28" t="s">
        <v>24</v>
      </c>
      <c r="C29" s="27"/>
      <c r="D29" s="27" t="s">
        <v>11</v>
      </c>
      <c r="E29" s="27"/>
    </row>
    <row r="30" customFormat="false" ht="13.8" hidden="false" customHeight="false" outlineLevel="0" collapsed="false">
      <c r="A30" s="29" t="n">
        <v>0.005</v>
      </c>
      <c r="B30" s="30" t="n">
        <v>4.8104</v>
      </c>
      <c r="C30" s="31"/>
      <c r="D30" s="30" t="n">
        <f aca="false">AVERAGE(Tabelle134[Konzentration H2O])</f>
        <v>5.22731833333333</v>
      </c>
      <c r="E30" s="32"/>
      <c r="G30" s="9"/>
      <c r="H30" s="19"/>
      <c r="I30" s="33"/>
    </row>
    <row r="31" customFormat="false" ht="13.8" hidden="false" customHeight="false" outlineLevel="0" collapsed="false">
      <c r="A31" s="29" t="n">
        <v>0.005</v>
      </c>
      <c r="B31" s="30" t="n">
        <v>5.189543</v>
      </c>
      <c r="C31" s="31"/>
      <c r="D31" s="27" t="s">
        <v>20</v>
      </c>
      <c r="E31" s="27"/>
      <c r="G31" s="9"/>
      <c r="H31" s="20"/>
      <c r="I31" s="16"/>
    </row>
    <row r="32" customFormat="false" ht="13.8" hidden="false" customHeight="false" outlineLevel="0" collapsed="false">
      <c r="A32" s="29" t="n">
        <v>0.005</v>
      </c>
      <c r="B32" s="30" t="n">
        <v>5.682012</v>
      </c>
      <c r="C32" s="34"/>
      <c r="D32" s="30" t="n">
        <f aca="false">_xlfn.STDEV.S(Tabelle134[Konzentration H2O])</f>
        <v>0.437032151554475</v>
      </c>
      <c r="E32" s="32"/>
      <c r="G32" s="21"/>
    </row>
    <row r="33" customFormat="false" ht="13.8" hidden="false" customHeight="false" outlineLevel="0" collapsed="false">
      <c r="A33" s="35"/>
      <c r="B33" s="27"/>
      <c r="C33" s="27"/>
      <c r="D33" s="27" t="s">
        <v>21</v>
      </c>
      <c r="E33" s="27"/>
    </row>
    <row r="34" customFormat="false" ht="13.8" hidden="false" customHeight="false" outlineLevel="0" collapsed="false">
      <c r="A34" s="36" t="s">
        <v>25</v>
      </c>
      <c r="B34" s="37"/>
      <c r="C34" s="27"/>
      <c r="D34" s="38" t="n">
        <f aca="false">D32/D30</f>
        <v>0.0836054213051514</v>
      </c>
      <c r="E34" s="38"/>
    </row>
    <row r="36" customFormat="false" ht="21" hidden="false" customHeight="false" outlineLevel="0" collapsed="false">
      <c r="A36" s="13" t="s">
        <v>26</v>
      </c>
    </row>
    <row r="38" customFormat="false" ht="15" hidden="false" customHeight="false" outlineLevel="0" collapsed="false">
      <c r="A38" s="2" t="s">
        <v>2</v>
      </c>
      <c r="B38" s="2" t="s">
        <v>15</v>
      </c>
      <c r="C38" s="2" t="s">
        <v>16</v>
      </c>
      <c r="E38" s="0" t="s">
        <v>11</v>
      </c>
      <c r="F38" s="0" t="s">
        <v>11</v>
      </c>
    </row>
    <row r="39" customFormat="false" ht="15" hidden="false" customHeight="false" outlineLevel="0" collapsed="false">
      <c r="A39" s="14" t="n">
        <v>0.7401</v>
      </c>
      <c r="B39" s="19" t="n">
        <v>0.000435</v>
      </c>
      <c r="C39" s="16" t="n">
        <f aca="false">Tabelle4[[#This Row],[Massenprozent H20]]*Tabelle4[[#This Row],[Probengröße]]*1000</f>
        <v>0.3219435</v>
      </c>
      <c r="E39" s="19" t="n">
        <f aca="false">AVERAGE(Tabelle4[Massenprozent H20])</f>
        <v>0.00040725</v>
      </c>
      <c r="F39" s="22" t="n">
        <f aca="false">AVERAGE(Tabelle4[Masse H20])</f>
        <v>0.3535851</v>
      </c>
    </row>
    <row r="40" customFormat="false" ht="15" hidden="false" customHeight="false" outlineLevel="0" collapsed="false">
      <c r="A40" s="14" t="n">
        <v>0.8851</v>
      </c>
      <c r="B40" s="19" t="n">
        <v>0.000384</v>
      </c>
      <c r="C40" s="16" t="n">
        <f aca="false">Tabelle4[[#This Row],[Massenprozent H20]]*Tabelle4[[#This Row],[Probengröße]]*1000</f>
        <v>0.3398784</v>
      </c>
      <c r="E40" s="0" t="s">
        <v>20</v>
      </c>
      <c r="F40" s="0" t="s">
        <v>20</v>
      </c>
    </row>
    <row r="41" customFormat="false" ht="15" hidden="false" customHeight="false" outlineLevel="0" collapsed="false">
      <c r="A41" s="14" t="n">
        <v>0.9157</v>
      </c>
      <c r="B41" s="19" t="n">
        <v>0.000431</v>
      </c>
      <c r="C41" s="16" t="n">
        <f aca="false">Tabelle4[[#This Row],[Massenprozent H20]]*Tabelle4[[#This Row],[Probengröße]]*1000</f>
        <v>0.3946667</v>
      </c>
      <c r="E41" s="19" t="n">
        <f aca="false">_xlfn.STDEV.S(Tabelle4[Massenprozent H20])</f>
        <v>2.9848227194704E-005</v>
      </c>
      <c r="F41" s="22" t="n">
        <f aca="false">_xlfn.STDEV.S(Tabelle4[Masse H20])</f>
        <v>0.0310642724197214</v>
      </c>
    </row>
    <row r="42" customFormat="false" ht="15" hidden="false" customHeight="false" outlineLevel="0" collapsed="false">
      <c r="A42" s="14" t="n">
        <v>0.9442</v>
      </c>
      <c r="B42" s="19" t="n">
        <v>0.000379</v>
      </c>
      <c r="C42" s="16" t="n">
        <f aca="false">Tabelle4[[#This Row],[Massenprozent H20]]*Tabelle4[[#This Row],[Probengröße]]*1000</f>
        <v>0.3578518</v>
      </c>
      <c r="E42" s="0" t="s">
        <v>21</v>
      </c>
      <c r="F42" s="0" t="s">
        <v>21</v>
      </c>
    </row>
    <row r="43" customFormat="false" ht="15" hidden="false" customHeight="false" outlineLevel="0" collapsed="false">
      <c r="A43" s="14"/>
      <c r="C43" s="16"/>
      <c r="E43" s="39" t="n">
        <f aca="false">E41/E39</f>
        <v>0.0732921478077446</v>
      </c>
      <c r="F43" s="24" t="n">
        <f aca="false">F41/F39</f>
        <v>0.0878551511919519</v>
      </c>
    </row>
    <row r="44" customFormat="false" ht="21" hidden="false" customHeight="false" outlineLevel="0" collapsed="false">
      <c r="A44" s="13" t="s">
        <v>27</v>
      </c>
    </row>
    <row r="46" customFormat="false" ht="15" hidden="false" customHeight="false" outlineLevel="0" collapsed="false">
      <c r="A46" s="2" t="s">
        <v>2</v>
      </c>
      <c r="B46" s="2" t="s">
        <v>15</v>
      </c>
      <c r="C46" s="2" t="s">
        <v>16</v>
      </c>
      <c r="E46" s="0" t="s">
        <v>11</v>
      </c>
      <c r="F46" s="0" t="s">
        <v>11</v>
      </c>
    </row>
    <row r="47" customFormat="false" ht="15" hidden="false" customHeight="false" outlineLevel="0" collapsed="false">
      <c r="A47" s="14" t="n">
        <v>0.1996</v>
      </c>
      <c r="B47" s="19" t="n">
        <v>0.023217</v>
      </c>
      <c r="C47" s="16" t="n">
        <f aca="false">Tabelle46[[#This Row],[Massenprozent H20]]*Tabelle46[[#This Row],[Probengröße]]*1000</f>
        <v>4.6341132</v>
      </c>
      <c r="E47" s="19" t="n">
        <f aca="false">AVERAGE(Tabelle46[Massenprozent H20])</f>
        <v>0.021203</v>
      </c>
      <c r="F47" s="22" t="n">
        <f aca="false">AVERAGE(Tabelle46[Masse H20])</f>
        <v>4.2628212</v>
      </c>
    </row>
    <row r="48" customFormat="false" ht="15" hidden="false" customHeight="false" outlineLevel="0" collapsed="false">
      <c r="A48" s="14" t="n">
        <v>0.2028</v>
      </c>
      <c r="B48" s="19" t="n">
        <v>0.019189</v>
      </c>
      <c r="C48" s="16" t="n">
        <f aca="false">Tabelle46[[#This Row],[Massenprozent H20]]*Tabelle46[[#This Row],[Probengröße]]*1000</f>
        <v>3.8915292</v>
      </c>
      <c r="E48" s="0" t="s">
        <v>20</v>
      </c>
      <c r="F48" s="0" t="s">
        <v>20</v>
      </c>
    </row>
    <row r="49" customFormat="false" ht="15" hidden="false" customHeight="false" outlineLevel="0" collapsed="false">
      <c r="A49" s="14"/>
      <c r="B49" s="19"/>
      <c r="C49" s="16"/>
      <c r="E49" s="19" t="n">
        <f aca="false">_xlfn.STDEV.S(Tabelle46[Massenprozent H20])</f>
        <v>0.00284822611461941</v>
      </c>
      <c r="F49" s="22" t="n">
        <f aca="false">_xlfn.STDEV.S(Tabelle46[Masse H20])</f>
        <v>0.525086182000632</v>
      </c>
    </row>
    <row r="50" customFormat="false" ht="15" hidden="false" customHeight="false" outlineLevel="0" collapsed="false">
      <c r="A50" s="14"/>
      <c r="B50" s="19"/>
      <c r="C50" s="16"/>
      <c r="E50" s="0" t="s">
        <v>21</v>
      </c>
      <c r="F50" s="0" t="s">
        <v>21</v>
      </c>
    </row>
    <row r="51" customFormat="false" ht="15" hidden="false" customHeight="false" outlineLevel="0" collapsed="false">
      <c r="A51" s="14"/>
      <c r="C51" s="16"/>
      <c r="E51" s="39" t="n">
        <f aca="false">E49/E47</f>
        <v>0.134331279282149</v>
      </c>
      <c r="F51" s="24" t="n">
        <f aca="false">F49/F47</f>
        <v>0.123178092011138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2020-06-02T08:54:16Z</dcterms:created>
  <dc:creator>Roman Zank</dc:creator>
  <dc:description/>
  <dc:language>de-DE</dc:language>
  <cp:lastModifiedBy/>
  <dcterms:modified xsi:type="dcterms:W3CDTF">2020-06-05T17:32:10Z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