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\Desktop\унік\"/>
    </mc:Choice>
  </mc:AlternateContent>
  <bookViews>
    <workbookView xWindow="0" yWindow="0" windowWidth="20490" windowHeight="7650" tabRatio="500"/>
  </bookViews>
  <sheets>
    <sheet name="Аркуш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1" l="1"/>
  <c r="N2" i="1"/>
  <c r="AC42" i="1"/>
  <c r="AA42" i="1"/>
  <c r="AA40" i="1"/>
  <c r="AA39" i="1"/>
  <c r="AB27" i="1"/>
  <c r="AB26" i="1"/>
  <c r="AB32" i="1" s="1"/>
  <c r="E9" i="1"/>
  <c r="F9" i="1" s="1"/>
  <c r="J9" i="1" s="1"/>
  <c r="D9" i="1"/>
  <c r="I9" i="1" s="1"/>
  <c r="E8" i="1"/>
  <c r="F8" i="1" s="1"/>
  <c r="J8" i="1" s="1"/>
  <c r="D8" i="1"/>
  <c r="I8" i="1" s="1"/>
  <c r="E7" i="1"/>
  <c r="F7" i="1" s="1"/>
  <c r="J7" i="1" s="1"/>
  <c r="D7" i="1"/>
  <c r="I7" i="1" s="1"/>
  <c r="E6" i="1"/>
  <c r="F6" i="1" s="1"/>
  <c r="J6" i="1" s="1"/>
  <c r="D6" i="1"/>
  <c r="I6" i="1" s="1"/>
  <c r="E5" i="1"/>
  <c r="F5" i="1" s="1"/>
  <c r="J5" i="1" s="1"/>
  <c r="D5" i="1"/>
  <c r="I5" i="1" s="1"/>
  <c r="E4" i="1"/>
  <c r="F4" i="1" s="1"/>
  <c r="J4" i="1" s="1"/>
  <c r="D4" i="1"/>
  <c r="I4" i="1" s="1"/>
  <c r="E3" i="1"/>
  <c r="F3" i="1" s="1"/>
  <c r="J3" i="1" s="1"/>
  <c r="D3" i="1"/>
  <c r="I3" i="1" s="1"/>
  <c r="F2" i="1"/>
  <c r="J2" i="1" s="1"/>
  <c r="AC43" i="1" s="1" a="1"/>
  <c r="D2" i="1"/>
  <c r="I2" i="1" s="1"/>
  <c r="AF38" i="1"/>
  <c r="AG38" i="1"/>
  <c r="H9" i="1" l="1"/>
  <c r="AC48" i="1"/>
  <c r="AC44" i="1"/>
  <c r="AC47" i="1"/>
  <c r="AC50" i="1"/>
  <c r="AC46" i="1"/>
  <c r="AC43" i="1"/>
  <c r="AC49" i="1"/>
  <c r="AC45" i="1"/>
  <c r="AA17" i="1" a="1"/>
  <c r="AA43" i="1" a="1"/>
  <c r="C13" i="1"/>
  <c r="H2" i="1"/>
  <c r="H4" i="1"/>
  <c r="H6" i="1"/>
  <c r="H8" i="1"/>
  <c r="H3" i="1"/>
  <c r="H5" i="1"/>
  <c r="H7" i="1"/>
  <c r="AA50" i="1" l="1"/>
  <c r="AA46" i="1"/>
  <c r="AA43" i="1"/>
  <c r="AA49" i="1"/>
  <c r="AA45" i="1"/>
  <c r="AA48" i="1"/>
  <c r="AA44" i="1"/>
  <c r="AA47" i="1"/>
  <c r="A13" i="1"/>
  <c r="B13" i="1" s="1"/>
  <c r="AB21" i="1"/>
  <c r="AB19" i="1"/>
  <c r="AB25" i="1" s="1"/>
  <c r="AB17" i="1"/>
  <c r="AA21" i="1"/>
  <c r="AA19" i="1"/>
  <c r="AB20" i="1"/>
  <c r="AB18" i="1"/>
  <c r="AA17" i="1"/>
  <c r="AA20" i="1"/>
  <c r="AA18" i="1"/>
  <c r="AB33" i="1" l="1"/>
  <c r="AB34" i="1"/>
  <c r="AF32" i="1"/>
  <c r="AE32" i="1"/>
  <c r="AB28" i="1"/>
  <c r="AB24" i="1"/>
  <c r="AC33" i="1"/>
  <c r="AD33" i="1"/>
  <c r="AD32" i="1"/>
  <c r="AC34" i="1"/>
  <c r="AC32" i="1"/>
  <c r="AC39" i="1" a="1"/>
  <c r="AB39" i="1" a="1"/>
  <c r="AB39" i="1" l="1"/>
  <c r="AB40" i="1"/>
  <c r="AB43" i="1" s="1" a="1"/>
  <c r="AC40" i="1"/>
  <c r="AC39" i="1"/>
  <c r="AB49" i="1" l="1"/>
  <c r="AB45" i="1"/>
  <c r="AB48" i="1"/>
  <c r="AB44" i="1"/>
  <c r="AB47" i="1"/>
  <c r="AB50" i="1"/>
  <c r="AB46" i="1"/>
  <c r="AB43" i="1"/>
  <c r="AD43" i="1" s="1" a="1"/>
  <c r="AF39" i="1" a="1"/>
  <c r="AG39" i="1" a="1"/>
  <c r="AD39" i="1" a="1"/>
  <c r="AD47" i="1" l="1"/>
  <c r="AD50" i="1"/>
  <c r="AD46" i="1"/>
  <c r="AD43" i="1"/>
  <c r="AD49" i="1"/>
  <c r="AD45" i="1"/>
  <c r="AD48" i="1"/>
  <c r="AD44" i="1"/>
  <c r="AD40" i="1"/>
  <c r="AD39" i="1"/>
  <c r="AE39" i="1" s="1" a="1"/>
  <c r="AG40" i="1"/>
  <c r="AG39" i="1"/>
  <c r="Z54" i="1"/>
  <c r="AF39" i="1"/>
  <c r="AF40" i="1"/>
  <c r="AE39" i="1" l="1"/>
  <c r="AE40" i="1"/>
</calcChain>
</file>

<file path=xl/sharedStrings.xml><?xml version="1.0" encoding="utf-8"?>
<sst xmlns="http://schemas.openxmlformats.org/spreadsheetml/2006/main" count="42" uniqueCount="39">
  <si>
    <t>N</t>
  </si>
  <si>
    <t>I, A</t>
  </si>
  <si>
    <t>U, B</t>
  </si>
  <si>
    <t>W, Вт</t>
  </si>
  <si>
    <t>Tλ, K</t>
  </si>
  <si>
    <t>T, K</t>
  </si>
  <si>
    <t>aT</t>
  </si>
  <si>
    <t>σ</t>
  </si>
  <si>
    <t>lg(W/aT)</t>
  </si>
  <si>
    <t>lg(T)</t>
  </si>
  <si>
    <t>Tλ, C</t>
  </si>
  <si>
    <t>ΔT, K</t>
  </si>
  <si>
    <t>S</t>
  </si>
  <si>
    <t>&lt; σ &gt;</t>
  </si>
  <si>
    <t>S &lt;σ &gt;</t>
  </si>
  <si>
    <t>n</t>
  </si>
  <si>
    <t>Regression</t>
  </si>
  <si>
    <t>Regression Model</t>
  </si>
  <si>
    <t>Linear</t>
  </si>
  <si>
    <t>LINEST raw output</t>
  </si>
  <si>
    <t>Regression Statistics</t>
  </si>
  <si>
    <t>R^2</t>
  </si>
  <si>
    <t>Standard Error</t>
  </si>
  <si>
    <t>Count of X variables</t>
  </si>
  <si>
    <t>Observations</t>
  </si>
  <si>
    <t>Adjusted R^2</t>
  </si>
  <si>
    <t>Analysis of Variance (ANOVA)</t>
  </si>
  <si>
    <t>df</t>
  </si>
  <si>
    <t>SS</t>
  </si>
  <si>
    <t>MS</t>
  </si>
  <si>
    <t>F</t>
  </si>
  <si>
    <t>Significance F</t>
  </si>
  <si>
    <t>Residual</t>
  </si>
  <si>
    <t>Total</t>
  </si>
  <si>
    <t>Confidence level</t>
  </si>
  <si>
    <t>Coefficients</t>
  </si>
  <si>
    <t>t-Statistic</t>
  </si>
  <si>
    <t>P-value</t>
  </si>
  <si>
    <t>Predicted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</si>
</sst>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E9F3"/>
        <bgColor indexed="64"/>
      </patternFill>
    </fill>
    <fill>
      <patternFill patternType="solid">
        <fgColor rgb="FFFDE9F3"/>
        <bgColor rgb="FFCCFFCC"/>
      </patternFill>
    </fill>
    <fill>
      <patternFill patternType="solid">
        <fgColor rgb="FFFDE9F3"/>
        <bgColor rgb="FFE8F2A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164" fontId="0" fillId="0" borderId="0" xfId="0" applyNumberFormat="1"/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E9F3"/>
      <color rgb="FFFCDC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Аркуш1!$AB$42</c:f>
              <c:strCache>
                <c:ptCount val="1"/>
                <c:pt idx="0">
                  <c:v>Predicted 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Аркуш1!$AA$43:$AA$50</c:f>
              <c:numCache>
                <c:formatCode>General</c:formatCode>
                <c:ptCount val="8"/>
                <c:pt idx="0">
                  <c:v>1.3253893415234259</c:v>
                </c:pt>
                <c:pt idx="1">
                  <c:v>1.5298793038824621</c:v>
                </c:pt>
                <c:pt idx="2">
                  <c:v>1.6786428699973139</c:v>
                </c:pt>
                <c:pt idx="3">
                  <c:v>1.8026941914611694</c:v>
                </c:pt>
                <c:pt idx="4">
                  <c:v>1.9027990673772446</c:v>
                </c:pt>
                <c:pt idx="5">
                  <c:v>1.9880319512787423</c:v>
                </c:pt>
                <c:pt idx="6">
                  <c:v>2.0704576776427679</c:v>
                </c:pt>
                <c:pt idx="7">
                  <c:v>2.1106982974936899</c:v>
                </c:pt>
              </c:numCache>
            </c:numRef>
          </c:xVal>
          <c:yVal>
            <c:numRef>
              <c:f>Аркуш1!$AB$43:$AB$50</c:f>
              <c:numCache>
                <c:formatCode>General</c:formatCode>
                <c:ptCount val="8"/>
                <c:pt idx="0">
                  <c:v>3.1176278837642513</c:v>
                </c:pt>
                <c:pt idx="1">
                  <c:v>3.1901316400655313</c:v>
                </c:pt>
                <c:pt idx="2">
                  <c:v>3.2428771011124802</c:v>
                </c:pt>
                <c:pt idx="3">
                  <c:v>3.2868606134399725</c:v>
                </c:pt>
                <c:pt idx="4">
                  <c:v>3.3223536980112618</c:v>
                </c:pt>
                <c:pt idx="5">
                  <c:v>3.3525737839849654</c:v>
                </c:pt>
                <c:pt idx="6">
                  <c:v>3.3817985669929476</c:v>
                </c:pt>
                <c:pt idx="7">
                  <c:v>3.3960662408749602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18-4A01-8035-09930BFDB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07577"/>
        <c:axId val="44620266"/>
      </c:scatterChart>
      <c:valAx>
        <c:axId val="3210757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20266"/>
        <c:crosses val="autoZero"/>
        <c:crossBetween val="midCat"/>
      </c:valAx>
      <c:valAx>
        <c:axId val="446202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10757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Аркуш1!$I$2:$I$9</c:f>
              <c:numCache>
                <c:formatCode>#\ ##0.000</c:formatCode>
                <c:ptCount val="8"/>
                <c:pt idx="0">
                  <c:v>1.3253893415234259</c:v>
                </c:pt>
                <c:pt idx="1">
                  <c:v>1.5298793038824621</c:v>
                </c:pt>
                <c:pt idx="2">
                  <c:v>1.6786428699973139</c:v>
                </c:pt>
                <c:pt idx="3">
                  <c:v>1.8026941914611694</c:v>
                </c:pt>
                <c:pt idx="4">
                  <c:v>1.9027990673772446</c:v>
                </c:pt>
                <c:pt idx="5">
                  <c:v>1.9880319512787423</c:v>
                </c:pt>
                <c:pt idx="6">
                  <c:v>2.0704576776427679</c:v>
                </c:pt>
                <c:pt idx="7">
                  <c:v>2.1106982974936899</c:v>
                </c:pt>
              </c:numCache>
            </c:numRef>
          </c:xVal>
          <c:yVal>
            <c:numRef>
              <c:f>Аркуш1!$J$2:$J$9</c:f>
              <c:numCache>
                <c:formatCode>#\ ##0.000</c:formatCode>
                <c:ptCount val="8"/>
                <c:pt idx="0">
                  <c:v>3.1078405957385025</c:v>
                </c:pt>
                <c:pt idx="1">
                  <c:v>3.189088679360689</c:v>
                </c:pt>
                <c:pt idx="2">
                  <c:v>3.2498535863632005</c:v>
                </c:pt>
                <c:pt idx="3">
                  <c:v>3.2969261272269441</c:v>
                </c:pt>
                <c:pt idx="4">
                  <c:v>3.3312470623488792</c:v>
                </c:pt>
                <c:pt idx="5">
                  <c:v>3.3572543003366593</c:v>
                </c:pt>
                <c:pt idx="6">
                  <c:v>3.3756928707089235</c:v>
                </c:pt>
                <c:pt idx="7">
                  <c:v>3.3823863061625699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85-4282-BB42-998D565CE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11353"/>
        <c:axId val="67537463"/>
      </c:scatterChart>
      <c:valAx>
        <c:axId val="845113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537463"/>
        <c:crosses val="autoZero"/>
        <c:crossBetween val="midCat"/>
      </c:valAx>
      <c:valAx>
        <c:axId val="67537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1135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328200</xdr:colOff>
      <xdr:row>10</xdr:row>
      <xdr:rowOff>4350</xdr:rowOff>
    </xdr:from>
    <xdr:to>
      <xdr:col>17</xdr:col>
      <xdr:colOff>322200</xdr:colOff>
      <xdr:row>28</xdr:row>
      <xdr:rowOff>89310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515880</xdr:colOff>
      <xdr:row>10</xdr:row>
      <xdr:rowOff>5400</xdr:rowOff>
    </xdr:from>
    <xdr:to>
      <xdr:col>10</xdr:col>
      <xdr:colOff>128880</xdr:colOff>
      <xdr:row>28</xdr:row>
      <xdr:rowOff>76320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zoomScaleNormal="100" workbookViewId="0">
      <selection activeCell="O9" sqref="O9"/>
    </sheetView>
  </sheetViews>
  <sheetFormatPr defaultColWidth="8.5703125" defaultRowHeight="15" x14ac:dyDescent="0.25"/>
  <cols>
    <col min="1" max="3" width="12" customWidth="1"/>
    <col min="4" max="4" width="7" customWidth="1"/>
    <col min="5" max="5" width="12.140625" customWidth="1"/>
    <col min="6" max="6" width="8" customWidth="1"/>
    <col min="7" max="7" width="6" customWidth="1"/>
    <col min="8" max="10" width="12" customWidth="1"/>
    <col min="12" max="12" width="12.140625" customWidth="1"/>
  </cols>
  <sheetData>
    <row r="1" spans="1:2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"/>
      <c r="L1" s="11" t="s">
        <v>10</v>
      </c>
      <c r="M1" s="12" t="s">
        <v>11</v>
      </c>
      <c r="N1" s="11" t="s">
        <v>12</v>
      </c>
    </row>
    <row r="2" spans="1:28" x14ac:dyDescent="0.25">
      <c r="A2" s="3">
        <v>1</v>
      </c>
      <c r="B2" s="3">
        <v>2.2000000000000002</v>
      </c>
      <c r="C2" s="3">
        <v>1.5</v>
      </c>
      <c r="D2" s="3">
        <f t="shared" ref="D2:D9" si="0">C2*B2</f>
        <v>3.3000000000000003</v>
      </c>
      <c r="E2" s="3">
        <f>L2+273</f>
        <v>1233.8600000000001</v>
      </c>
      <c r="F2" s="3">
        <f t="shared" ref="F2:F9" si="1">E2+M2</f>
        <v>1281.8600000000001</v>
      </c>
      <c r="G2" s="3">
        <v>0.156</v>
      </c>
      <c r="H2" s="4">
        <f t="shared" ref="H2:H9" si="2">D2/($N$2*G2*POWER(F2,4))*10^8</f>
        <v>17.410628337792907</v>
      </c>
      <c r="I2" s="4">
        <f t="shared" ref="I2:I9" si="3">LOG10(D2/G2)</f>
        <v>1.3253893415234259</v>
      </c>
      <c r="J2" s="4">
        <f t="shared" ref="J2:J9" si="4">LOG10(F2)</f>
        <v>3.1078405957385025</v>
      </c>
      <c r="K2" s="1"/>
      <c r="L2" s="5">
        <v>960.86</v>
      </c>
      <c r="M2" s="1">
        <v>48</v>
      </c>
      <c r="N2" s="1">
        <f>45*0.000001</f>
        <v>4.4999999999999996E-5</v>
      </c>
    </row>
    <row r="3" spans="1:28" x14ac:dyDescent="0.25">
      <c r="A3" s="3">
        <v>2</v>
      </c>
      <c r="B3" s="3">
        <v>2.71</v>
      </c>
      <c r="C3" s="3">
        <v>2.5</v>
      </c>
      <c r="D3" s="3">
        <f t="shared" si="0"/>
        <v>6.7750000000000004</v>
      </c>
      <c r="E3" s="3">
        <f t="shared" ref="E2:E9" si="5">L3+273</f>
        <v>1473.57</v>
      </c>
      <c r="F3" s="3">
        <f t="shared" si="1"/>
        <v>1545.57</v>
      </c>
      <c r="G3" s="3">
        <v>0.2</v>
      </c>
      <c r="H3" s="4">
        <f t="shared" si="2"/>
        <v>13.192043438173664</v>
      </c>
      <c r="I3" s="4">
        <f t="shared" si="3"/>
        <v>1.5298793038824621</v>
      </c>
      <c r="J3" s="4">
        <f t="shared" si="4"/>
        <v>3.189088679360689</v>
      </c>
      <c r="K3" s="1"/>
      <c r="L3" s="5">
        <v>1200.57</v>
      </c>
      <c r="M3" s="1">
        <v>72</v>
      </c>
      <c r="N3" s="1"/>
    </row>
    <row r="4" spans="1:28" x14ac:dyDescent="0.25">
      <c r="A4" s="3">
        <v>3</v>
      </c>
      <c r="B4" s="3">
        <v>3.19</v>
      </c>
      <c r="C4" s="3">
        <v>3.5</v>
      </c>
      <c r="D4" s="3">
        <f t="shared" si="0"/>
        <v>11.164999999999999</v>
      </c>
      <c r="E4" s="3">
        <f t="shared" si="5"/>
        <v>1682.68</v>
      </c>
      <c r="F4" s="3">
        <f t="shared" si="1"/>
        <v>1777.68</v>
      </c>
      <c r="G4" s="3">
        <v>0.23400000000000001</v>
      </c>
      <c r="H4" s="4">
        <f t="shared" si="2"/>
        <v>10.617346985568128</v>
      </c>
      <c r="I4" s="4">
        <f t="shared" si="3"/>
        <v>1.6786428699973139</v>
      </c>
      <c r="J4" s="4">
        <f t="shared" si="4"/>
        <v>3.2498535863632005</v>
      </c>
      <c r="K4" s="1"/>
      <c r="L4" s="5">
        <v>1409.68</v>
      </c>
      <c r="M4" s="1">
        <v>95</v>
      </c>
      <c r="N4" s="1"/>
    </row>
    <row r="5" spans="1:28" x14ac:dyDescent="0.25">
      <c r="A5" s="3">
        <v>4</v>
      </c>
      <c r="B5" s="3">
        <v>3.64</v>
      </c>
      <c r="C5" s="3">
        <v>4.5</v>
      </c>
      <c r="D5" s="3">
        <f t="shared" si="0"/>
        <v>16.38</v>
      </c>
      <c r="E5" s="3">
        <f t="shared" si="5"/>
        <v>1861.19</v>
      </c>
      <c r="F5" s="3">
        <f t="shared" si="1"/>
        <v>1981.19</v>
      </c>
      <c r="G5" s="3">
        <v>0.25800000000000001</v>
      </c>
      <c r="H5" s="4">
        <f t="shared" si="2"/>
        <v>9.1575050910175939</v>
      </c>
      <c r="I5" s="4">
        <f t="shared" si="3"/>
        <v>1.8026941914611694</v>
      </c>
      <c r="J5" s="4">
        <f t="shared" si="4"/>
        <v>3.2969261272269441</v>
      </c>
      <c r="K5" s="1"/>
      <c r="L5" s="2">
        <v>1588.19</v>
      </c>
      <c r="M5" s="1">
        <v>120</v>
      </c>
      <c r="N5" s="1"/>
    </row>
    <row r="6" spans="1:28" x14ac:dyDescent="0.25">
      <c r="A6" s="3">
        <v>5</v>
      </c>
      <c r="B6" s="3">
        <v>4.07</v>
      </c>
      <c r="C6" s="3">
        <v>5.5</v>
      </c>
      <c r="D6" s="3">
        <f t="shared" si="0"/>
        <v>22.385000000000002</v>
      </c>
      <c r="E6" s="3">
        <f t="shared" si="5"/>
        <v>2009.11</v>
      </c>
      <c r="F6" s="3">
        <f t="shared" si="1"/>
        <v>2144.1099999999997</v>
      </c>
      <c r="G6" s="4">
        <v>0.28000000000000003</v>
      </c>
      <c r="H6" s="4">
        <f t="shared" si="2"/>
        <v>8.4061726247848831</v>
      </c>
      <c r="I6" s="4">
        <f t="shared" si="3"/>
        <v>1.9027990673772446</v>
      </c>
      <c r="J6" s="4">
        <f t="shared" si="4"/>
        <v>3.3312470623488792</v>
      </c>
      <c r="K6" s="1"/>
      <c r="L6" s="2">
        <v>1736.11</v>
      </c>
      <c r="M6" s="1">
        <v>135</v>
      </c>
      <c r="N6" s="1"/>
    </row>
    <row r="7" spans="1:28" x14ac:dyDescent="0.25">
      <c r="A7" s="3">
        <v>6</v>
      </c>
      <c r="B7" s="3">
        <v>4.46</v>
      </c>
      <c r="C7" s="3">
        <v>6.5</v>
      </c>
      <c r="D7" s="3">
        <f t="shared" si="0"/>
        <v>28.99</v>
      </c>
      <c r="E7" s="3">
        <f t="shared" si="5"/>
        <v>2126.4300000000003</v>
      </c>
      <c r="F7" s="3">
        <f t="shared" si="1"/>
        <v>2276.4300000000003</v>
      </c>
      <c r="G7" s="3">
        <v>0.29799999999999999</v>
      </c>
      <c r="H7" s="4">
        <f t="shared" si="2"/>
        <v>8.0501178105573779</v>
      </c>
      <c r="I7" s="4">
        <f t="shared" si="3"/>
        <v>1.9880319512787423</v>
      </c>
      <c r="J7" s="4">
        <f t="shared" si="4"/>
        <v>3.3572543003366593</v>
      </c>
      <c r="K7" s="1"/>
      <c r="L7" s="2">
        <v>1853.43</v>
      </c>
      <c r="M7" s="1">
        <v>150</v>
      </c>
      <c r="N7" s="1"/>
    </row>
    <row r="8" spans="1:28" x14ac:dyDescent="0.25">
      <c r="A8" s="3">
        <v>7</v>
      </c>
      <c r="B8" s="3">
        <v>4.83</v>
      </c>
      <c r="C8" s="3">
        <v>7.5</v>
      </c>
      <c r="D8" s="3">
        <f t="shared" si="0"/>
        <v>36.225000000000001</v>
      </c>
      <c r="E8" s="3">
        <f t="shared" si="5"/>
        <v>2213.16</v>
      </c>
      <c r="F8" s="3">
        <f t="shared" si="1"/>
        <v>2375.16</v>
      </c>
      <c r="G8" s="3">
        <v>0.308</v>
      </c>
      <c r="H8" s="4">
        <f t="shared" si="2"/>
        <v>8.2124678240491402</v>
      </c>
      <c r="I8" s="4">
        <f t="shared" si="3"/>
        <v>2.0704576776427679</v>
      </c>
      <c r="J8" s="4">
        <f t="shared" si="4"/>
        <v>3.3756928707089235</v>
      </c>
      <c r="K8" s="1"/>
      <c r="L8" s="2">
        <v>1940.16</v>
      </c>
      <c r="M8" s="1">
        <v>162</v>
      </c>
      <c r="N8" s="1"/>
    </row>
    <row r="9" spans="1:28" x14ac:dyDescent="0.25">
      <c r="A9" s="3">
        <v>8</v>
      </c>
      <c r="B9" s="3">
        <v>5</v>
      </c>
      <c r="C9" s="3">
        <v>8</v>
      </c>
      <c r="D9" s="3">
        <f t="shared" si="0"/>
        <v>40</v>
      </c>
      <c r="E9" s="3">
        <f t="shared" si="5"/>
        <v>2245.0500000000002</v>
      </c>
      <c r="F9" s="3">
        <f t="shared" si="1"/>
        <v>2412.0500000000002</v>
      </c>
      <c r="G9" s="3">
        <v>0.31</v>
      </c>
      <c r="H9" s="4">
        <f t="shared" si="2"/>
        <v>8.4711146392022361</v>
      </c>
      <c r="I9" s="4">
        <f t="shared" si="3"/>
        <v>2.1106982974936899</v>
      </c>
      <c r="J9" s="4">
        <f t="shared" si="4"/>
        <v>3.3823863061625699</v>
      </c>
      <c r="K9" s="1"/>
      <c r="L9" s="2">
        <v>1972.05</v>
      </c>
      <c r="M9" s="1">
        <v>167</v>
      </c>
      <c r="N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8" x14ac:dyDescent="0.25">
      <c r="A12" s="9" t="s">
        <v>13</v>
      </c>
      <c r="B12" s="9" t="s">
        <v>14</v>
      </c>
      <c r="C12" s="9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8" x14ac:dyDescent="0.25">
      <c r="A13" s="3">
        <f>AVERAGE(H2:H9)</f>
        <v>10.439674593893242</v>
      </c>
      <c r="B13" s="3">
        <f>SQRT(SUM(POWER(H2-$A$13,2),POWER(H3-$A$13,2),POWER(H4-$A$13,2),POWER(H5-$A$13,2),POWER(H6-$A$13,2),POWER(H7-$A$13,2),POWER(H8-$A$13,2),POWER(H9-$A$13,2))/(7))</f>
        <v>3.3064017264657237</v>
      </c>
      <c r="C13" s="3">
        <f>(I9-I2)/(J9-J2)</f>
        <v>2.8603941935835167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AA13" s="6" t="s">
        <v>16</v>
      </c>
    </row>
    <row r="14" spans="1:28" x14ac:dyDescent="0.25">
      <c r="A14" s="5"/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AA14" t="s">
        <v>17</v>
      </c>
      <c r="AB14" t="s">
        <v>18</v>
      </c>
    </row>
    <row r="16" spans="1:28" x14ac:dyDescent="0.25">
      <c r="AA16" t="s">
        <v>19</v>
      </c>
    </row>
    <row r="17" spans="27:32" x14ac:dyDescent="0.25">
      <c r="AA17">
        <f t="array" ref="AA17:AB21">LINEST($J$2:$J$9, $I$2:$I$9, 1, 1)</f>
        <v>0.3545589987149616</v>
      </c>
      <c r="AB17">
        <v>2.6476991659262232</v>
      </c>
    </row>
    <row r="18" spans="27:32" x14ac:dyDescent="0.25">
      <c r="AA18">
        <v>1.3433430397710099E-2</v>
      </c>
      <c r="AB18">
        <v>2.4439750749126674E-2</v>
      </c>
    </row>
    <row r="19" spans="27:32" x14ac:dyDescent="0.25">
      <c r="AA19">
        <v>0.99146067431412677</v>
      </c>
      <c r="AB19">
        <v>9.7663025380482511E-3</v>
      </c>
    </row>
    <row r="20" spans="27:32" x14ac:dyDescent="0.25">
      <c r="AA20">
        <v>696.63159185108179</v>
      </c>
      <c r="AB20">
        <v>6</v>
      </c>
    </row>
    <row r="21" spans="27:32" x14ac:dyDescent="0.25">
      <c r="AA21">
        <v>6.6445184675154575E-2</v>
      </c>
      <c r="AB21">
        <v>5.7228399158812621E-4</v>
      </c>
    </row>
    <row r="23" spans="27:32" x14ac:dyDescent="0.25">
      <c r="AA23" t="s">
        <v>20</v>
      </c>
    </row>
    <row r="24" spans="27:32" x14ac:dyDescent="0.25">
      <c r="AA24" t="s">
        <v>21</v>
      </c>
      <c r="AB24">
        <f>$AA$19</f>
        <v>0.99146067431412677</v>
      </c>
    </row>
    <row r="25" spans="27:32" x14ac:dyDescent="0.25">
      <c r="AA25" t="s">
        <v>22</v>
      </c>
      <c r="AB25">
        <f>$AB$19</f>
        <v>9.7663025380482511E-3</v>
      </c>
    </row>
    <row r="26" spans="27:32" x14ac:dyDescent="0.25">
      <c r="AA26" t="s">
        <v>23</v>
      </c>
      <c r="AB26">
        <f>1</f>
        <v>1</v>
      </c>
    </row>
    <row r="27" spans="27:32" x14ac:dyDescent="0.25">
      <c r="AA27" t="s">
        <v>24</v>
      </c>
      <c r="AB27">
        <f>8</f>
        <v>8</v>
      </c>
    </row>
    <row r="28" spans="27:32" x14ac:dyDescent="0.25">
      <c r="AA28" t="s">
        <v>25</v>
      </c>
      <c r="AB28">
        <f>1 - (1 - $AA$19)*($AB$27 - 1)/($AB$27 - $AB$26 - 1)</f>
        <v>0.99003745336648119</v>
      </c>
    </row>
    <row r="30" spans="27:32" x14ac:dyDescent="0.25">
      <c r="AA30" t="s">
        <v>26</v>
      </c>
    </row>
    <row r="31" spans="27:32" x14ac:dyDescent="0.25">
      <c r="AB31" t="s">
        <v>27</v>
      </c>
      <c r="AC31" t="s">
        <v>28</v>
      </c>
      <c r="AD31" t="s">
        <v>29</v>
      </c>
      <c r="AE31" t="s">
        <v>30</v>
      </c>
      <c r="AF31" t="s">
        <v>31</v>
      </c>
    </row>
    <row r="32" spans="27:32" x14ac:dyDescent="0.25">
      <c r="AA32" t="s">
        <v>16</v>
      </c>
      <c r="AB32">
        <f>$AB$26</f>
        <v>1</v>
      </c>
      <c r="AC32">
        <f>$AA$21</f>
        <v>6.6445184675154575E-2</v>
      </c>
      <c r="AD32">
        <f>$AA$21 / $AB$32</f>
        <v>6.6445184675154575E-2</v>
      </c>
      <c r="AE32">
        <f>$AA$20</f>
        <v>696.63159185108179</v>
      </c>
      <c r="AF32">
        <f>FDIST($AA$20, $AB$32, $AB$20)</f>
        <v>1.9521644331484957E-7</v>
      </c>
    </row>
    <row r="33" spans="17:33" x14ac:dyDescent="0.25">
      <c r="AA33" t="s">
        <v>32</v>
      </c>
      <c r="AB33">
        <f>$AB$20</f>
        <v>6</v>
      </c>
      <c r="AC33">
        <f>$AB$21</f>
        <v>5.7228399158812621E-4</v>
      </c>
      <c r="AD33">
        <f>$AB$21 / $AB$20</f>
        <v>9.5380665264687697E-5</v>
      </c>
    </row>
    <row r="34" spans="17:33" x14ac:dyDescent="0.25">
      <c r="AA34" t="s">
        <v>33</v>
      </c>
      <c r="AB34">
        <f>$AB$32 + $AB$20</f>
        <v>7</v>
      </c>
      <c r="AC34">
        <f>$AA$21 + $AB$21</f>
        <v>6.7017468666742699E-2</v>
      </c>
    </row>
    <row r="36" spans="17:33" x14ac:dyDescent="0.25">
      <c r="AA36" t="s">
        <v>34</v>
      </c>
      <c r="AB36">
        <v>0.95</v>
      </c>
    </row>
    <row r="38" spans="17:33" x14ac:dyDescent="0.25">
      <c r="AB38" t="s">
        <v>35</v>
      </c>
      <c r="AC38" t="s">
        <v>22</v>
      </c>
      <c r="AD38" t="s">
        <v>36</v>
      </c>
      <c r="AE38" t="s">
        <v>37</v>
      </c>
      <c r="AF38" t="e">
        <f ca="1">_xlfn.CONCAT("Lower ", INT($AB$36 * 100), "%")</f>
        <v>#NAME?</v>
      </c>
      <c r="AG38" t="e">
        <f ca="1">_xlfn.CONCAT("Upper ", INT($AB$36 * 100), "%")</f>
        <v>#NAME?</v>
      </c>
    </row>
    <row r="39" spans="17:33" x14ac:dyDescent="0.25">
      <c r="R39" s="7"/>
      <c r="X39" s="8"/>
      <c r="Y39" s="8"/>
      <c r="AA39" t="str">
        <f>"Intercept"</f>
        <v>Intercept</v>
      </c>
      <c r="AB39">
        <f t="array" ref="AB39:AB40">INDEX($AA$17:$AB$17, 1, 41 - ROW())</f>
        <v>2.6476991659262232</v>
      </c>
      <c r="AC39">
        <f t="array" ref="AC39:AC40">INDEX($AA$18:$AB$18, 1, 41 - ROW())</f>
        <v>2.4439750749126674E-2</v>
      </c>
      <c r="AD39">
        <f t="array" ref="AD39:AD40">$AB$39:$AB$40 / $AC$39:$AC$40</f>
        <v>108.3357679505318</v>
      </c>
      <c r="AE39">
        <f t="array" ref="AE39:AE40">TDIST(ABS($AD$39:$AD$40), $AB$20, 2 )</f>
        <v>4.1695570320068527E-11</v>
      </c>
      <c r="AF39">
        <f t="array" ref="AF39:AF40">$AB$39:$AB$40 - $AC$39:$AC$40 * TINV(1 - $AB$36, $AB$20)</f>
        <v>2.587897250179156</v>
      </c>
      <c r="AG39">
        <f t="array" ref="AG39:AG40">$AB$39:$AB$40 + $AC$39:$AC$40 * TINV(1 - $AB$36, $AB$20)</f>
        <v>2.7075010816732905</v>
      </c>
    </row>
    <row r="40" spans="17:33" x14ac:dyDescent="0.25">
      <c r="AA40" t="str">
        <f>"X1"</f>
        <v>X1</v>
      </c>
      <c r="AB40">
        <v>0.3545589987149616</v>
      </c>
      <c r="AC40">
        <v>1.3433430397710099E-2</v>
      </c>
      <c r="AD40">
        <v>26.393779415822241</v>
      </c>
      <c r="AE40">
        <v>1.9521644331484957E-7</v>
      </c>
      <c r="AF40">
        <v>0.32168857867327372</v>
      </c>
      <c r="AG40">
        <v>0.38742941875664949</v>
      </c>
    </row>
    <row r="41" spans="17:33" x14ac:dyDescent="0.25">
      <c r="R41" s="7"/>
      <c r="T41" s="7"/>
    </row>
    <row r="42" spans="17:33" x14ac:dyDescent="0.25">
      <c r="AA42" t="str">
        <f>"X1"</f>
        <v>X1</v>
      </c>
      <c r="AB42" t="s">
        <v>38</v>
      </c>
      <c r="AC42" t="str">
        <f>"Y"</f>
        <v>Y</v>
      </c>
      <c r="AD42" t="s">
        <v>32</v>
      </c>
    </row>
    <row r="43" spans="17:33" x14ac:dyDescent="0.25">
      <c r="Q43" s="7"/>
      <c r="AA43">
        <f t="array" ref="AA43:AA50">$I$2:$I$9</f>
        <v>1.3253893415234259</v>
      </c>
      <c r="AB43">
        <f t="array" ref="AB43:AB50">MMULT($AA$43:$AA$50, $AB$40) + $AB$39</f>
        <v>3.1176278837642513</v>
      </c>
      <c r="AC43">
        <f t="array" ref="AC43:AC50">$J$2:$J$9</f>
        <v>3.1078405957385025</v>
      </c>
      <c r="AD43">
        <f t="array" ref="AD43:AD50">$AC$43:$AC$50 - $AB$43:$AB$50</f>
        <v>-9.7872880257487971E-3</v>
      </c>
    </row>
    <row r="44" spans="17:33" x14ac:dyDescent="0.25">
      <c r="AA44">
        <v>1.5298793038824621</v>
      </c>
      <c r="AB44">
        <v>3.1901316400655313</v>
      </c>
      <c r="AC44">
        <v>3.189088679360689</v>
      </c>
      <c r="AD44">
        <v>-1.0429607048423328E-3</v>
      </c>
    </row>
    <row r="45" spans="17:33" x14ac:dyDescent="0.25">
      <c r="Q45" s="7"/>
      <c r="S45" s="7"/>
      <c r="AA45">
        <v>1.6786428699973139</v>
      </c>
      <c r="AB45">
        <v>3.2428771011124802</v>
      </c>
      <c r="AC45">
        <v>3.2498535863632005</v>
      </c>
      <c r="AD45">
        <v>6.9764852507203656E-3</v>
      </c>
    </row>
    <row r="46" spans="17:33" x14ac:dyDescent="0.25">
      <c r="AA46">
        <v>1.8026941914611694</v>
      </c>
      <c r="AB46">
        <v>3.2868606134399725</v>
      </c>
      <c r="AC46">
        <v>3.2969261272269441</v>
      </c>
      <c r="AD46">
        <v>1.0065513786971625E-2</v>
      </c>
    </row>
    <row r="47" spans="17:33" x14ac:dyDescent="0.25">
      <c r="AA47">
        <v>1.9027990673772446</v>
      </c>
      <c r="AB47">
        <v>3.3223536980112618</v>
      </c>
      <c r="AC47">
        <v>3.3312470623488792</v>
      </c>
      <c r="AD47">
        <v>8.8933643376174487E-3</v>
      </c>
    </row>
    <row r="48" spans="17:33" x14ac:dyDescent="0.25">
      <c r="AA48">
        <v>1.9880319512787423</v>
      </c>
      <c r="AB48">
        <v>3.3525737839849654</v>
      </c>
      <c r="AC48">
        <v>3.3572543003366593</v>
      </c>
      <c r="AD48">
        <v>4.6805163516938642E-3</v>
      </c>
    </row>
    <row r="49" spans="26:30" x14ac:dyDescent="0.25">
      <c r="AA49">
        <v>2.0704576776427679</v>
      </c>
      <c r="AB49">
        <v>3.3817985669929476</v>
      </c>
      <c r="AC49">
        <v>3.3756928707089235</v>
      </c>
      <c r="AD49">
        <v>-6.1056962840240203E-3</v>
      </c>
    </row>
    <row r="50" spans="26:30" x14ac:dyDescent="0.25">
      <c r="AA50">
        <v>2.1106982974936899</v>
      </c>
      <c r="AB50">
        <v>3.3960662408749602</v>
      </c>
      <c r="AC50">
        <v>3.3823863061625699</v>
      </c>
      <c r="AD50">
        <v>-1.3679934712390374E-2</v>
      </c>
    </row>
    <row r="54" spans="26:30" x14ac:dyDescent="0.25">
      <c r="Z54">
        <f>(AA50-AA43)/(AB50-AB43)</f>
        <v>2.820405076797734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artem</dc:creator>
  <dc:description/>
  <cp:lastModifiedBy>Olya</cp:lastModifiedBy>
  <cp:revision>3</cp:revision>
  <dcterms:created xsi:type="dcterms:W3CDTF">2023-05-17T21:14:23Z</dcterms:created>
  <dcterms:modified xsi:type="dcterms:W3CDTF">2024-05-25T13:57:35Z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